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ket\Dropbox\CSIPL- Mohit G\Bangladesh\GS 3112\CP1\MP5\5.0 GS Review Feedback Round 1\"/>
    </mc:Choice>
  </mc:AlternateContent>
  <xr:revisionPtr revIDLastSave="0" documentId="13_ncr:1_{B925038C-CD9F-4A5B-B4BC-B19CA0371E41}" xr6:coauthVersionLast="47" xr6:coauthVersionMax="47" xr10:uidLastSave="{00000000-0000-0000-0000-000000000000}"/>
  <bookViews>
    <workbookView xWindow="-120" yWindow="-120" windowWidth="29040" windowHeight="15720" tabRatio="763" firstSheet="1" activeTab="1" xr2:uid="{00000000-000D-0000-FFFF-FFFF00000000}"/>
  </bookViews>
  <sheets>
    <sheet name="Introduction" sheetId="50" r:id="rId1"/>
    <sheet name="Default Parameters" sheetId="8" r:id="rId2"/>
    <sheet name="Inst summary and ER calculation" sheetId="48" r:id="rId3"/>
    <sheet name="Monitoring Report Tables" sheetId="54" r:id="rId4"/>
    <sheet name="Sample Size cal and results" sheetId="2" r:id="rId5"/>
    <sheet name="Monitoring Summary MS1" sheetId="53" r:id="rId6"/>
    <sheet name="Monitoring Summary MS2" sheetId="58" r:id="rId7"/>
    <sheet name="SDG Parameters Assessment" sheetId="5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BEy1" localSheetId="0">#REF!</definedName>
    <definedName name="_BEy1" localSheetId="3">#REF!</definedName>
    <definedName name="_BEy1" localSheetId="7">#REF!</definedName>
    <definedName name="_BEy1">#REF!</definedName>
    <definedName name="_BEy10" localSheetId="0">#REF!</definedName>
    <definedName name="_BEy10">#REF!</definedName>
    <definedName name="_BEy2" localSheetId="0">#REF!</definedName>
    <definedName name="_BEy2">#REF!</definedName>
    <definedName name="_BEy3" localSheetId="0">#REF!</definedName>
    <definedName name="_BEy3">#REF!</definedName>
    <definedName name="_BEy4" localSheetId="0">#REF!</definedName>
    <definedName name="_BEy4">#REF!</definedName>
    <definedName name="_BEy5" localSheetId="0">#REF!</definedName>
    <definedName name="_BEy5">#REF!</definedName>
    <definedName name="_BEy6" localSheetId="0">#REF!</definedName>
    <definedName name="_BEy6">#REF!</definedName>
    <definedName name="_BEy7" localSheetId="0">#REF!</definedName>
    <definedName name="_BEy7">#REF!</definedName>
    <definedName name="_BEy8" localSheetId="0">#REF!</definedName>
    <definedName name="_BEy8">#REF!</definedName>
    <definedName name="_BEy9" localSheetId="0">#REF!</definedName>
    <definedName name="_BEy9">#REF!</definedName>
    <definedName name="_xlnm._FilterDatabase" localSheetId="2" hidden="1">'Inst summary and ER calculation'!$A$2:$Q$904</definedName>
    <definedName name="_xlnm._FilterDatabase" localSheetId="0">#REF!</definedName>
    <definedName name="_xlnm._FilterDatabase" localSheetId="3">#REF!</definedName>
    <definedName name="_xlnm._FilterDatabase" localSheetId="5" hidden="1">'Monitoring Summary MS1'!$A$2:$AC$203</definedName>
    <definedName name="_xlnm._FilterDatabase" localSheetId="6" hidden="1">'Monitoring Summary MS2'!$A$2:$AD$202</definedName>
    <definedName name="_xlnm._FilterDatabase" localSheetId="7">#REF!</definedName>
    <definedName name="_xlnm._FilterDatabase">#REF!</definedName>
    <definedName name="a" localSheetId="0">#REF!</definedName>
    <definedName name="a" localSheetId="3">#REF!</definedName>
    <definedName name="a" localSheetId="7">#REF!</definedName>
    <definedName name="a">#REF!</definedName>
    <definedName name="AFbl_fuel1_10thyr" localSheetId="7">[1]Parameters!$D$163</definedName>
    <definedName name="AFbl_fuel1_10thyr">[2]Parameters!$D$163</definedName>
    <definedName name="AFbl_fuel1_1styr" localSheetId="7">[1]Parameters!$D$154</definedName>
    <definedName name="AFbl_fuel1_1styr">[2]Parameters!$D$154</definedName>
    <definedName name="AFbl_fuel1_2ndyr" localSheetId="7">[1]Parameters!$D$155</definedName>
    <definedName name="AFbl_fuel1_2ndyr">[2]Parameters!$D$155</definedName>
    <definedName name="AFbl_fuel1_3rdyr" localSheetId="7">[1]Parameters!$D$156</definedName>
    <definedName name="AFbl_fuel1_3rdyr">[2]Parameters!$D$156</definedName>
    <definedName name="AFbl_fuel1_4thyr" localSheetId="7">[1]Parameters!$D$157</definedName>
    <definedName name="AFbl_fuel1_4thyr">[2]Parameters!$D$157</definedName>
    <definedName name="AFbl_fuel1_5thyr" localSheetId="7">[1]Parameters!$D$158</definedName>
    <definedName name="AFbl_fuel1_5thyr">[2]Parameters!$D$158</definedName>
    <definedName name="AFbl_fuel1_6thyr" localSheetId="7">[1]Parameters!$D$159</definedName>
    <definedName name="AFbl_fuel1_6thyr">[2]Parameters!$D$159</definedName>
    <definedName name="AFbl_fuel1_7thyr" localSheetId="7">[1]Parameters!$D$160</definedName>
    <definedName name="AFbl_fuel1_7thyr">[2]Parameters!$D$160</definedName>
    <definedName name="AFbl_fuel1_8thyr" localSheetId="7">[1]Parameters!$D$161</definedName>
    <definedName name="AFbl_fuel1_8thyr">[2]Parameters!$D$161</definedName>
    <definedName name="AFbl_fuel1_9thyr" localSheetId="7">[1]Parameters!$D$162</definedName>
    <definedName name="AFbl_fuel1_9thyr">[2]Parameters!$D$162</definedName>
    <definedName name="AFbl_fuel1_y8" localSheetId="0">#REF!</definedName>
    <definedName name="AFbl_fuel1_y8" localSheetId="3">#REF!</definedName>
    <definedName name="AFbl_fuel1_y8" localSheetId="7">#REF!</definedName>
    <definedName name="AFbl_fuel1_y8">#REF!</definedName>
    <definedName name="AFbl_fuel1_y9" localSheetId="0">#REF!</definedName>
    <definedName name="AFbl_fuel1_y9">#REF!</definedName>
    <definedName name="AFbl_fuel2" localSheetId="0">#REF!</definedName>
    <definedName name="AFbl_fuel2">#REF!</definedName>
    <definedName name="AFbl_fuel2_10thyr" localSheetId="7">[1]Parameters!$D$200</definedName>
    <definedName name="AFbl_fuel2_10thyr">[2]Parameters!$D$200</definedName>
    <definedName name="AFbl_fuel2_1styr" localSheetId="7">[1]Parameters!$D$191</definedName>
    <definedName name="AFbl_fuel2_1styr">[2]Parameters!$D$191</definedName>
    <definedName name="AFbl_fuel2_2ndyr" localSheetId="7">[1]Parameters!$D$192</definedName>
    <definedName name="AFbl_fuel2_2ndyr">[2]Parameters!$D$192</definedName>
    <definedName name="AFbl_fuel2_3rdyr" localSheetId="7">[1]Parameters!$D$193</definedName>
    <definedName name="AFbl_fuel2_3rdyr">[2]Parameters!$D$193</definedName>
    <definedName name="AFbl_fuel2_4thyr" localSheetId="7">[1]Parameters!$D$194</definedName>
    <definedName name="AFbl_fuel2_4thyr">[2]Parameters!$D$194</definedName>
    <definedName name="AFbl_fuel2_5thyr" localSheetId="7">[1]Parameters!$D$195</definedName>
    <definedName name="AFbl_fuel2_5thyr">[2]Parameters!$D$195</definedName>
    <definedName name="AFbl_fuel2_6thyr" localSheetId="7">[1]Parameters!$D$196</definedName>
    <definedName name="AFbl_fuel2_6thyr">[2]Parameters!$D$196</definedName>
    <definedName name="AFbl_fuel2_7thyr" localSheetId="7">[1]Parameters!$D$197</definedName>
    <definedName name="AFbl_fuel2_7thyr">[2]Parameters!$D$197</definedName>
    <definedName name="AFbl_fuel2_8thyr" localSheetId="7">[1]Parameters!$D$198</definedName>
    <definedName name="AFbl_fuel2_8thyr">[2]Parameters!$D$198</definedName>
    <definedName name="AFbl_fuel2_9thyr" localSheetId="7">[1]Parameters!$D$199</definedName>
    <definedName name="AFbl_fuel2_9thyr">[2]Parameters!$D$199</definedName>
    <definedName name="AFbl_fuel2_y1" localSheetId="0">#REF!</definedName>
    <definedName name="AFbl_fuel2_y1" localSheetId="3">#REF!</definedName>
    <definedName name="AFbl_fuel2_y1" localSheetId="7">#REF!</definedName>
    <definedName name="AFbl_fuel2_y1">#REF!</definedName>
    <definedName name="AFbl_fuel2_y10" localSheetId="0">#REF!</definedName>
    <definedName name="AFbl_fuel2_y10">#REF!</definedName>
    <definedName name="AFbl_fuel2_y2" localSheetId="0">#REF!</definedName>
    <definedName name="AFbl_fuel2_y2">#REF!</definedName>
    <definedName name="AFbl_fuel2_y3" localSheetId="0">#REF!</definedName>
    <definedName name="AFbl_fuel2_y3">#REF!</definedName>
    <definedName name="AFbl_fuel2_y4" localSheetId="0">#REF!</definedName>
    <definedName name="AFbl_fuel2_y4">#REF!</definedName>
    <definedName name="AFbl_fuel2_y5" localSheetId="0">#REF!</definedName>
    <definedName name="AFbl_fuel2_y5">#REF!</definedName>
    <definedName name="AFbl_fuel2_y6" localSheetId="0">#REF!</definedName>
    <definedName name="AFbl_fuel2_y6">#REF!</definedName>
    <definedName name="AFbl_fuel2_y7" localSheetId="0">#REF!</definedName>
    <definedName name="AFbl_fuel2_y7">#REF!</definedName>
    <definedName name="AFbl_fuel2_y8" localSheetId="0">#REF!</definedName>
    <definedName name="AFbl_fuel2_y8">#REF!</definedName>
    <definedName name="AFbl_fuel2_y9" localSheetId="0">#REF!</definedName>
    <definedName name="AFbl_fuel2_y9">#REF!</definedName>
    <definedName name="AFbl_fuel3_10thyr" localSheetId="7">[1]Parameters!$D$237</definedName>
    <definedName name="AFbl_fuel3_10thyr">[2]Parameters!$D$237</definedName>
    <definedName name="AFbl_fuel3_1styr" localSheetId="7">[1]Parameters!$D$228</definedName>
    <definedName name="AFbl_fuel3_1styr">[2]Parameters!$D$228</definedName>
    <definedName name="AFbl_fuel3_2ndyr" localSheetId="7">[1]Parameters!$D$229</definedName>
    <definedName name="AFbl_fuel3_2ndyr">[2]Parameters!$D$229</definedName>
    <definedName name="AFbl_fuel3_3rdyr" localSheetId="7">[1]Parameters!$D$230</definedName>
    <definedName name="AFbl_fuel3_3rdyr">[2]Parameters!$D$230</definedName>
    <definedName name="AFbl_fuel3_4thyr" localSheetId="7">[1]Parameters!$D$231</definedName>
    <definedName name="AFbl_fuel3_4thyr">[2]Parameters!$D$231</definedName>
    <definedName name="AFbl_fuel3_5thyr" localSheetId="7">[1]Parameters!$D$232</definedName>
    <definedName name="AFbl_fuel3_5thyr">[2]Parameters!$D$232</definedName>
    <definedName name="AFbl_fuel3_6thyr" localSheetId="7">[1]Parameters!$D$233</definedName>
    <definedName name="AFbl_fuel3_6thyr">[2]Parameters!$D$233</definedName>
    <definedName name="AFbl_fuel3_7thyr" localSheetId="7">[1]Parameters!$D$234</definedName>
    <definedName name="AFbl_fuel3_7thyr">[2]Parameters!$D$234</definedName>
    <definedName name="AFbl_fuel3_8thyr" localSheetId="7">[1]Parameters!$D$235</definedName>
    <definedName name="AFbl_fuel3_8thyr">[2]Parameters!$D$235</definedName>
    <definedName name="AFbl_fuel3_9thyr" localSheetId="7">[1]Parameters!$D$236</definedName>
    <definedName name="AFbl_fuel3_9thyr">[2]Parameters!$D$236</definedName>
    <definedName name="AFbl_fuel3_y1" localSheetId="0">#REF!</definedName>
    <definedName name="AFbl_fuel3_y1" localSheetId="3">#REF!</definedName>
    <definedName name="AFbl_fuel3_y1" localSheetId="7">#REF!</definedName>
    <definedName name="AFbl_fuel3_y1">#REF!</definedName>
    <definedName name="AFbl_fuel3_y10" localSheetId="0">#REF!</definedName>
    <definedName name="AFbl_fuel3_y10">#REF!</definedName>
    <definedName name="AFbl_fuel3_y2" localSheetId="0">#REF!</definedName>
    <definedName name="AFbl_fuel3_y2">#REF!</definedName>
    <definedName name="AFbl_fuel3_y3" localSheetId="0">#REF!</definedName>
    <definedName name="AFbl_fuel3_y3">#REF!</definedName>
    <definedName name="AFbl_fuel3_y4" localSheetId="0">#REF!</definedName>
    <definedName name="AFbl_fuel3_y4">#REF!</definedName>
    <definedName name="AFbl_fuel3_y5" localSheetId="0">#REF!</definedName>
    <definedName name="AFbl_fuel3_y5">#REF!</definedName>
    <definedName name="AFbl_fuel3_y6" localSheetId="0">#REF!</definedName>
    <definedName name="AFbl_fuel3_y6">#REF!</definedName>
    <definedName name="AFbl_fuel3_y7" localSheetId="0">#REF!</definedName>
    <definedName name="AFbl_fuel3_y7">#REF!</definedName>
    <definedName name="AFbl_fuel3_y8" localSheetId="0">#REF!</definedName>
    <definedName name="AFbl_fuel3_y8">#REF!</definedName>
    <definedName name="AFbl_fuel3_y9" localSheetId="0">#REF!</definedName>
    <definedName name="AFbl_fuel3_y9">#REF!</definedName>
    <definedName name="AFbl_y2_fuel2" localSheetId="0">#REF!</definedName>
    <definedName name="AFbl_y2_fuel2">#REF!</definedName>
    <definedName name="AFble_fuel1_y7" localSheetId="0">#REF!</definedName>
    <definedName name="AFble_fuel1_y7">#REF!</definedName>
    <definedName name="AFlb_fuel3_1styr" localSheetId="0">#REF!</definedName>
    <definedName name="AFlb_fuel3_1styr">#REF!</definedName>
    <definedName name="AFpj_fuel1_10thyr" localSheetId="7">[1]Parameters!$J$163</definedName>
    <definedName name="AFpj_fuel1_10thyr">[2]Parameters!$J$163</definedName>
    <definedName name="AFpj_fuel1_1styr" localSheetId="7">[1]Parameters!$J$154</definedName>
    <definedName name="AFpj_fuel1_1styr">[2]Parameters!$J$154</definedName>
    <definedName name="AFpj_fuel1_2ndyr" localSheetId="7">[1]Parameters!$J$155</definedName>
    <definedName name="AFpj_fuel1_2ndyr">[2]Parameters!$J$155</definedName>
    <definedName name="AFpj_fuel1_3rdyr" localSheetId="7">[1]Parameters!$J$156</definedName>
    <definedName name="AFpj_fuel1_3rdyr">[2]Parameters!$J$156</definedName>
    <definedName name="AFpj_fuel1_4thyr" localSheetId="7">[1]Parameters!$J$157</definedName>
    <definedName name="AFpj_fuel1_4thyr">[2]Parameters!$J$157</definedName>
    <definedName name="AFpj_fuel1_5thyr" localSheetId="7">[1]Parameters!$J$158</definedName>
    <definedName name="AFpj_fuel1_5thyr">[2]Parameters!$J$158</definedName>
    <definedName name="AFpj_fuel1_6thyr" localSheetId="7">[1]Parameters!$J$159</definedName>
    <definedName name="AFpj_fuel1_6thyr">[2]Parameters!$J$159</definedName>
    <definedName name="AFpj_fuel1_7thyr" localSheetId="7">[1]Parameters!$J$160</definedName>
    <definedName name="AFpj_fuel1_7thyr">[2]Parameters!$J$160</definedName>
    <definedName name="AFpj_fuel1_8thyr" localSheetId="7">[1]Parameters!$J$161</definedName>
    <definedName name="AFpj_fuel1_8thyr">[2]Parameters!$J$161</definedName>
    <definedName name="AFpj_fuel1_9thyr" localSheetId="7">[1]Parameters!$J$162</definedName>
    <definedName name="AFpj_fuel1_9thyr">[2]Parameters!$J$162</definedName>
    <definedName name="AFpj_fuel2_10thyr" localSheetId="7">[1]Parameters!$J$200</definedName>
    <definedName name="AFpj_fuel2_10thyr">[2]Parameters!$J$200</definedName>
    <definedName name="AFpj_fuel2_1styr" localSheetId="7">[1]Parameters!$J$191</definedName>
    <definedName name="AFpj_fuel2_1styr">[2]Parameters!$J$191</definedName>
    <definedName name="AFpj_fuel2_2ndyr" localSheetId="7">[1]Parameters!$J$192</definedName>
    <definedName name="AFpj_fuel2_2ndyr">[2]Parameters!$J$192</definedName>
    <definedName name="AFpj_fuel2_3rdyr" localSheetId="7">[1]Parameters!$J$193</definedName>
    <definedName name="AFpj_fuel2_3rdyr">[2]Parameters!$J$193</definedName>
    <definedName name="AFpj_fuel2_4thyr" localSheetId="7">[1]Parameters!$J$194</definedName>
    <definedName name="AFpj_fuel2_4thyr">[2]Parameters!$J$194</definedName>
    <definedName name="AFpj_fuel2_5thyr" localSheetId="7">[1]Parameters!$J$195</definedName>
    <definedName name="AFpj_fuel2_5thyr">[2]Parameters!$J$195</definedName>
    <definedName name="AFpj_fuel2_6thyr" localSheetId="7">[1]Parameters!$J$196</definedName>
    <definedName name="AFpj_fuel2_6thyr">[2]Parameters!$J$196</definedName>
    <definedName name="AFpj_fuel2_7thyr" localSheetId="7">[1]Parameters!$J$197</definedName>
    <definedName name="AFpj_fuel2_7thyr">[2]Parameters!$J$197</definedName>
    <definedName name="AFpj_fuel2_8thyr" localSheetId="7">[1]Parameters!$J$198</definedName>
    <definedName name="AFpj_fuel2_8thyr">[2]Parameters!$J$198</definedName>
    <definedName name="AFpj_fuel2_9thyr" localSheetId="7">[1]Parameters!$J$199</definedName>
    <definedName name="AFpj_fuel2_9thyr">[2]Parameters!$J$199</definedName>
    <definedName name="AFpj_fuel3_10thyr" localSheetId="7">[1]Parameters!$J$237</definedName>
    <definedName name="AFpj_fuel3_10thyr">[2]Parameters!$J$237</definedName>
    <definedName name="AFpj_fuel3_1styr" localSheetId="7">[1]Parameters!$J$228</definedName>
    <definedName name="AFpj_fuel3_1styr">[2]Parameters!$J$228</definedName>
    <definedName name="AFpj_fuel3_2ndyr" localSheetId="7">[1]Parameters!$J$229</definedName>
    <definedName name="AFpj_fuel3_2ndyr">[2]Parameters!$J$229</definedName>
    <definedName name="AFpj_fuel3_3rdyr" localSheetId="7">[1]Parameters!$J$230</definedName>
    <definedName name="AFpj_fuel3_3rdyr">[2]Parameters!$J$230</definedName>
    <definedName name="AFpj_fuel3_4thyr" localSheetId="7">[1]Parameters!$J$231</definedName>
    <definedName name="AFpj_fuel3_4thyr">[2]Parameters!$J$231</definedName>
    <definedName name="AFpj_fuel3_5thyr" localSheetId="7">[1]Parameters!$J$232</definedName>
    <definedName name="AFpj_fuel3_5thyr">[2]Parameters!$J$232</definedName>
    <definedName name="AFpj_fuel3_6thyr" localSheetId="7">[1]Parameters!$J$233</definedName>
    <definedName name="AFpj_fuel3_6thyr">[2]Parameters!$J$233</definedName>
    <definedName name="AFpj_fuel3_7thyr" localSheetId="7">[1]Parameters!$J$234</definedName>
    <definedName name="AFpj_fuel3_7thyr">[2]Parameters!$J$234</definedName>
    <definedName name="AFpj_fuel3_8thyr" localSheetId="7">[1]Parameters!$J$235</definedName>
    <definedName name="AFpj_fuel3_8thyr">[2]Parameters!$J$235</definedName>
    <definedName name="AFpj_fuel3_9thyr" localSheetId="7">[1]Parameters!$J$236</definedName>
    <definedName name="AFpj_fuel3_9thyr">[2]Parameters!$J$236</definedName>
    <definedName name="age0_1" localSheetId="0">#REF!</definedName>
    <definedName name="age0_1" localSheetId="3">#REF!</definedName>
    <definedName name="age0_1" localSheetId="7">#REF!</definedName>
    <definedName name="age0_1">#REF!</definedName>
    <definedName name="age1_2" localSheetId="0">#REF!</definedName>
    <definedName name="age1_2">#REF!</definedName>
    <definedName name="age2_3" localSheetId="0">#REF!</definedName>
    <definedName name="age2_3">#REF!</definedName>
    <definedName name="age3_4" localSheetId="0">#REF!</definedName>
    <definedName name="age3_4">#REF!</definedName>
    <definedName name="age4_5" localSheetId="0">#REF!</definedName>
    <definedName name="age4_5">#REF!</definedName>
    <definedName name="age5_6" localSheetId="0">#REF!</definedName>
    <definedName name="age5_6">#REF!</definedName>
    <definedName name="age6_7" localSheetId="0">#REF!</definedName>
    <definedName name="age6_7">#REF!</definedName>
    <definedName name="age7_8" localSheetId="0">#REF!</definedName>
    <definedName name="age7_8">#REF!</definedName>
    <definedName name="age8_9" localSheetId="0">#REF!</definedName>
    <definedName name="age8_9">#REF!</definedName>
    <definedName name="age9_10" localSheetId="0">#REF!</definedName>
    <definedName name="age9_10">#REF!</definedName>
    <definedName name="alpha" localSheetId="0">#REF!</definedName>
    <definedName name="alpha">#REF!</definedName>
    <definedName name="Ave_nrb_bio1" localSheetId="7">'[1]HH Carbon Calculator'!$D$14</definedName>
    <definedName name="Ave_nrb_bio1">'[2]HH Carbon Calculator'!$D$14</definedName>
    <definedName name="Ave_nrb_bio2" localSheetId="7">'[1]HH Carbon Calculator'!$D$15</definedName>
    <definedName name="Ave_nrb_bio2">'[2]HH Carbon Calculator'!$D$15</definedName>
    <definedName name="Ave_nrb_bio3" localSheetId="7">'[1]HH Carbon Calculator'!$D$16</definedName>
    <definedName name="Ave_nrb_bio3">'[2]HH Carbon Calculator'!$D$16</definedName>
    <definedName name="Ave_sales_growth" localSheetId="0">#REF!</definedName>
    <definedName name="Ave_sales_growth" localSheetId="3">#REF!</definedName>
    <definedName name="Ave_sales_growth" localSheetId="7">#REF!</definedName>
    <definedName name="Ave_sales_growth">#REF!</definedName>
    <definedName name="Bbl_y1" localSheetId="0">#REF!</definedName>
    <definedName name="Bbl_y1">#REF!</definedName>
    <definedName name="Bbl_y10" localSheetId="0">#REF!</definedName>
    <definedName name="Bbl_y10">#REF!</definedName>
    <definedName name="Bbl_y2" localSheetId="0">#REF!</definedName>
    <definedName name="Bbl_y2">#REF!</definedName>
    <definedName name="Bbl_y3" localSheetId="0">#REF!</definedName>
    <definedName name="Bbl_y3">#REF!</definedName>
    <definedName name="Bbl_y4" localSheetId="0">#REF!</definedName>
    <definedName name="Bbl_y4">#REF!</definedName>
    <definedName name="Bbl_y5" localSheetId="0">#REF!</definedName>
    <definedName name="Bbl_y5">#REF!</definedName>
    <definedName name="Bbl_y6" localSheetId="0">#REF!</definedName>
    <definedName name="Bbl_y6">#REF!</definedName>
    <definedName name="Bbl_y7" localSheetId="0">#REF!</definedName>
    <definedName name="Bbl_y7">#REF!</definedName>
    <definedName name="Bbl_y8" localSheetId="0">#REF!</definedName>
    <definedName name="Bbl_y8">#REF!</definedName>
    <definedName name="Bbl_y9" localSheetId="0">#REF!</definedName>
    <definedName name="Bbl_y9">#REF!</definedName>
    <definedName name="bins_array" localSheetId="0">#REF!</definedName>
    <definedName name="bins_array">#REF!</definedName>
    <definedName name="Carbon_price" localSheetId="7">'[1]HH Carbon Calculator'!#REF!</definedName>
    <definedName name="Carbon_price">'[2]HH Carbon Calculator'!#REF!</definedName>
    <definedName name="Confidence" localSheetId="0">#REF!</definedName>
    <definedName name="Confidence" localSheetId="3">#REF!</definedName>
    <definedName name="Confidence" localSheetId="7">#REF!</definedName>
    <definedName name="Confidence">#REF!</definedName>
    <definedName name="CumU1" localSheetId="7">'[1]HH Carbon Calculator'!$D$24</definedName>
    <definedName name="CumU1">'[2]HH Carbon Calculator'!$D$24</definedName>
    <definedName name="CumU10" localSheetId="7">'[1]HH Carbon Calculator'!$M$24</definedName>
    <definedName name="CumU10">'[2]HH Carbon Calculator'!$M$24</definedName>
    <definedName name="CumU2" localSheetId="7">'[1]HH Carbon Calculator'!$E$24</definedName>
    <definedName name="CumU2">'[2]HH Carbon Calculator'!$E$24</definedName>
    <definedName name="CumU3" localSheetId="7">'[1]HH Carbon Calculator'!$F$24</definedName>
    <definedName name="CumU3">'[2]HH Carbon Calculator'!$F$24</definedName>
    <definedName name="CumU4" localSheetId="7">'[1]HH Carbon Calculator'!$G$24</definedName>
    <definedName name="CumU4">'[2]HH Carbon Calculator'!$G$24</definedName>
    <definedName name="CumU5" localSheetId="7">'[1]HH Carbon Calculator'!$H$24</definedName>
    <definedName name="CumU5">'[2]HH Carbon Calculator'!$H$24</definedName>
    <definedName name="CumU6" localSheetId="7">'[1]HH Carbon Calculator'!$I$24</definedName>
    <definedName name="CumU6">'[2]HH Carbon Calculator'!$I$24</definedName>
    <definedName name="CumU7" localSheetId="7">'[1]HH Carbon Calculator'!$J$24</definedName>
    <definedName name="CumU7">'[2]HH Carbon Calculator'!$J$24</definedName>
    <definedName name="CumU8" localSheetId="7">'[1]HH Carbon Calculator'!$K$24</definedName>
    <definedName name="CumU8">'[2]HH Carbon Calculator'!$K$24</definedName>
    <definedName name="CumU9" localSheetId="7">'[1]HH Carbon Calculator'!$L$24</definedName>
    <definedName name="CumU9">'[2]HH Carbon Calculator'!$L$24</definedName>
    <definedName name="D" localSheetId="0">#REF!</definedName>
    <definedName name="D" localSheetId="3">#REF!</definedName>
    <definedName name="D" localSheetId="7">#REF!</definedName>
    <definedName name="D">#REF!</definedName>
    <definedName name="data" localSheetId="0">#REF!</definedName>
    <definedName name="data">#REF!</definedName>
    <definedName name="data_array" localSheetId="0">#REF!</definedName>
    <definedName name="data_array">#REF!</definedName>
    <definedName name="data1" localSheetId="0">#REF!</definedName>
    <definedName name="data1">#REF!</definedName>
    <definedName name="datanew" localSheetId="0">#REF!</definedName>
    <definedName name="datanew">#REF!</definedName>
    <definedName name="Discount_rate" localSheetId="7">'[1]HH Carbon Calculator'!#REF!</definedName>
    <definedName name="Discount_rate">'[2]HH Carbon Calculator'!#REF!</definedName>
    <definedName name="drate" localSheetId="0">#REF!</definedName>
    <definedName name="drate" localSheetId="3">#REF!</definedName>
    <definedName name="drate" localSheetId="7">#REF!</definedName>
    <definedName name="drate">#REF!</definedName>
    <definedName name="drate2" localSheetId="0">#REF!</definedName>
    <definedName name="drate2">#REF!</definedName>
    <definedName name="EF_af_co2_fuel1" localSheetId="0">#REF!</definedName>
    <definedName name="EF_af_co2_fuel1">#REF!</definedName>
    <definedName name="EF_CH4_bio1" localSheetId="7">'[1]HH Carbon Calculator'!$F$14</definedName>
    <definedName name="EF_CH4_bio1">'[2]HH Carbon Calculator'!$F$14</definedName>
    <definedName name="EF_CH4_bio2" localSheetId="7">'[1]HH Carbon Calculator'!$F$15</definedName>
    <definedName name="EF_CH4_bio2">'[2]HH Carbon Calculator'!$F$15</definedName>
    <definedName name="EF_CH4_bio3" localSheetId="7">'[1]HH Carbon Calculator'!$F$16</definedName>
    <definedName name="EF_CH4_bio3">'[2]HH Carbon Calculator'!$F$16</definedName>
    <definedName name="EF_CH4_fuel1" localSheetId="7">'[1]HH Carbon Calculator'!$F$17</definedName>
    <definedName name="EF_CH4_fuel1">'[2]HH Carbon Calculator'!$F$17</definedName>
    <definedName name="EF_CH4_fuel2" localSheetId="7">'[1]HH Carbon Calculator'!$F$18</definedName>
    <definedName name="EF_CH4_fuel2">'[2]HH Carbon Calculator'!$F$18</definedName>
    <definedName name="EF_CH4_fuel3" localSheetId="7">'[1]HH Carbon Calculator'!$F$19</definedName>
    <definedName name="EF_CH4_fuel3">'[2]HH Carbon Calculator'!$F$19</definedName>
    <definedName name="EF_co2_bio1" localSheetId="7">'[1]HH Carbon Calculator'!$E$14</definedName>
    <definedName name="EF_co2_bio1">'[2]HH Carbon Calculator'!$E$14</definedName>
    <definedName name="EF_co2_bio2" localSheetId="7">'[1]HH Carbon Calculator'!$E$15</definedName>
    <definedName name="EF_co2_bio2">'[2]HH Carbon Calculator'!$E$15</definedName>
    <definedName name="EF_co2_bio3" localSheetId="7">'[1]HH Carbon Calculator'!$E$16</definedName>
    <definedName name="EF_co2_bio3">'[2]HH Carbon Calculator'!$E$16</definedName>
    <definedName name="EF_co2_fuel1" localSheetId="7">'[1]HH Carbon Calculator'!$E$17</definedName>
    <definedName name="EF_co2_fuel1">'[2]HH Carbon Calculator'!$E$17</definedName>
    <definedName name="EF_co2_fuel2" localSheetId="7">'[1]HH Carbon Calculator'!$E$18</definedName>
    <definedName name="EF_co2_fuel2">'[2]HH Carbon Calculator'!$E$18</definedName>
    <definedName name="EF_co2_fuel3" localSheetId="7">'[1]HH Carbon Calculator'!$E$19</definedName>
    <definedName name="EF_co2_fuel3">'[2]HH Carbon Calculator'!$E$19</definedName>
    <definedName name="EF_N2O_bio1" localSheetId="7">'[1]HH Carbon Calculator'!$G$14</definedName>
    <definedName name="EF_N2O_bio1">'[2]HH Carbon Calculator'!$G$14</definedName>
    <definedName name="EF_N2O_bio2" localSheetId="7">'[1]HH Carbon Calculator'!$G$15</definedName>
    <definedName name="EF_N2O_bio2">'[2]HH Carbon Calculator'!$G$15</definedName>
    <definedName name="EF_N2O_bio3" localSheetId="7">'[1]HH Carbon Calculator'!$G$16</definedName>
    <definedName name="EF_N2O_bio3">'[2]HH Carbon Calculator'!$G$16</definedName>
    <definedName name="EF_N2O_fuel1" localSheetId="7">'[1]HH Carbon Calculator'!$G$17</definedName>
    <definedName name="EF_N2O_fuel1">'[2]HH Carbon Calculator'!$G$17</definedName>
    <definedName name="EF_N2O_fuel2" localSheetId="7">'[1]HH Carbon Calculator'!$G$18</definedName>
    <definedName name="EF_N2O_fuel2">'[2]HH Carbon Calculator'!$G$18</definedName>
    <definedName name="EF_N2O_fuel3" localSheetId="7">'[1]HH Carbon Calculator'!$G$19</definedName>
    <definedName name="EF_N2O_fuel3">'[2]HH Carbon Calculator'!$G$19</definedName>
    <definedName name="EFaf_co2_fuel1" localSheetId="0">#REF!</definedName>
    <definedName name="EFaf_co2_fuel1" localSheetId="3">#REF!</definedName>
    <definedName name="EFaf_co2_fuel1" localSheetId="7">#REF!</definedName>
    <definedName name="EFaf_co2_fuel1">#REF!</definedName>
    <definedName name="EFaf_co2_fuel2" localSheetId="0">#REF!</definedName>
    <definedName name="EFaf_co2_fuel2">#REF!</definedName>
    <definedName name="EFaf_co2_fuel3" localSheetId="0">#REF!</definedName>
    <definedName name="EFaf_co2_fuel3">#REF!</definedName>
    <definedName name="EFaf_fuel1_CH4" localSheetId="0">#REF!</definedName>
    <definedName name="EFaf_fuel1_CH4">#REF!</definedName>
    <definedName name="EFaf_fuel1_cook_CH4" localSheetId="7">[1]Parameters!$D$148</definedName>
    <definedName name="EFaf_fuel1_cook_CH4">[2]Parameters!$D$148</definedName>
    <definedName name="EFaf_fuel1_cook_CO2" localSheetId="7">[1]Parameters!$D$147</definedName>
    <definedName name="EFaf_fuel1_cook_CO2">[2]Parameters!$D$147</definedName>
    <definedName name="EFaf_fuel1_cook_N2O" localSheetId="7">[1]Parameters!$D$149</definedName>
    <definedName name="EFaf_fuel1_cook_N2O">[2]Parameters!$D$149</definedName>
    <definedName name="EFaf_fuel1_N2O" localSheetId="0">#REF!</definedName>
    <definedName name="EFaf_fuel1_N2O" localSheetId="3">#REF!</definedName>
    <definedName name="EFaf_fuel1_N2O" localSheetId="7">#REF!</definedName>
    <definedName name="EFaf_fuel1_N2O">#REF!</definedName>
    <definedName name="EFaf_fuel1_prod_CH4" localSheetId="7">[1]Parameters!$D$144</definedName>
    <definedName name="EFaf_fuel1_prod_CH4">[2]Parameters!$D$144</definedName>
    <definedName name="EFaf_fuel1_prod_CO2" localSheetId="0">#REF!</definedName>
    <definedName name="EFaf_fuel1_prod_CO2" localSheetId="3">#REF!</definedName>
    <definedName name="EFaf_fuel1_prod_CO2" localSheetId="7">#REF!</definedName>
    <definedName name="EFaf_fuel1_prod_CO2">#REF!</definedName>
    <definedName name="EFaf_fuel1_prod_N2O" localSheetId="7">[1]Parameters!$D$145</definedName>
    <definedName name="EFaf_fuel1_prod_N2O">[2]Parameters!$D$145</definedName>
    <definedName name="EFaf_fuel1_totalCO2" localSheetId="7">[1]Parameters!$D$150</definedName>
    <definedName name="EFaf_fuel1_totalCO2">[2]Parameters!$D$150</definedName>
    <definedName name="EFaf_fuel1_totalnon_CO2" localSheetId="0">#REF!</definedName>
    <definedName name="EFaf_fuel1_totalnon_CO2" localSheetId="3">#REF!</definedName>
    <definedName name="EFaf_fuel1_totalnon_CO2" localSheetId="7">#REF!</definedName>
    <definedName name="EFaf_fuel1_totalnon_CO2">#REF!</definedName>
    <definedName name="EFaf_fuel2_CH4" localSheetId="0">#REF!</definedName>
    <definedName name="EFaf_fuel2_CH4">#REF!</definedName>
    <definedName name="EFaf_fuel2_cook_CH4" localSheetId="7">[1]Parameters!$D$185</definedName>
    <definedName name="EFaf_fuel2_cook_CH4">[2]Parameters!$D$185</definedName>
    <definedName name="EFaf_fuel2_cook_CO2" localSheetId="0">#REF!</definedName>
    <definedName name="EFaf_fuel2_cook_CO2" localSheetId="3">#REF!</definedName>
    <definedName name="EFaf_fuel2_cook_CO2" localSheetId="7">#REF!</definedName>
    <definedName name="EFaf_fuel2_cook_CO2">#REF!</definedName>
    <definedName name="EFaf_fuel2_cook_gas_i" localSheetId="0">#REF!</definedName>
    <definedName name="EFaf_fuel2_cook_gas_i">#REF!</definedName>
    <definedName name="EFaf_fuel2_cook_N2O" localSheetId="7">[1]Parameters!$D$186</definedName>
    <definedName name="EFaf_fuel2_cook_N2O">[2]Parameters!$D$186</definedName>
    <definedName name="EFaf_fuel2_N2O" localSheetId="0">#REF!</definedName>
    <definedName name="EFaf_fuel2_N2O" localSheetId="3">#REF!</definedName>
    <definedName name="EFaf_fuel2_N2O" localSheetId="7">#REF!</definedName>
    <definedName name="EFaf_fuel2_N2O">#REF!</definedName>
    <definedName name="EFaf_fuel2_prod_CH4" localSheetId="7">[1]Parameters!$D$181</definedName>
    <definedName name="EFaf_fuel2_prod_CH4">[2]Parameters!$D$181</definedName>
    <definedName name="EFaf_fuel2_prod_CO2" localSheetId="0">#REF!</definedName>
    <definedName name="EFaf_fuel2_prod_CO2" localSheetId="3">#REF!</definedName>
    <definedName name="EFaf_fuel2_prod_CO2" localSheetId="7">#REF!</definedName>
    <definedName name="EFaf_fuel2_prod_CO2">#REF!</definedName>
    <definedName name="EFaf_fuel2_prod_N2O" localSheetId="7">[1]Parameters!$D$182</definedName>
    <definedName name="EFaf_fuel2_prod_N2O">[2]Parameters!$D$182</definedName>
    <definedName name="EFaf_fuel2_totalCO2" localSheetId="7">[1]Parameters!$D$187</definedName>
    <definedName name="EFaf_fuel2_totalCO2">[2]Parameters!$D$187</definedName>
    <definedName name="EFaf_fuel2_totalnon_CO2" localSheetId="0">#REF!</definedName>
    <definedName name="EFaf_fuel2_totalnon_CO2" localSheetId="3">#REF!</definedName>
    <definedName name="EFaf_fuel2_totalnon_CO2" localSheetId="7">#REF!</definedName>
    <definedName name="EFaf_fuel2_totalnon_CO2">#REF!</definedName>
    <definedName name="EFaf_fuel3_CH4" localSheetId="0">#REF!</definedName>
    <definedName name="EFaf_fuel3_CH4">#REF!</definedName>
    <definedName name="EFaf_fuel3_cook_CH4" localSheetId="7">[1]Parameters!$D$222</definedName>
    <definedName name="EFaf_fuel3_cook_CH4">[2]Parameters!$D$222</definedName>
    <definedName name="EFaf_fuel3_cook_CO2" localSheetId="7">[1]Parameters!$D$221</definedName>
    <definedName name="EFaf_fuel3_cook_CO2">[2]Parameters!$D$221</definedName>
    <definedName name="EFaf_fuel3_cook_N2O" localSheetId="7">[1]Parameters!$D$223</definedName>
    <definedName name="EFaf_fuel3_cook_N2O">[2]Parameters!$D$223</definedName>
    <definedName name="EFaf_fuel3_N2O" localSheetId="0">#REF!</definedName>
    <definedName name="EFaf_fuel3_N2O" localSheetId="3">#REF!</definedName>
    <definedName name="EFaf_fuel3_N2O" localSheetId="7">#REF!</definedName>
    <definedName name="EFaf_fuel3_N2O">#REF!</definedName>
    <definedName name="EFaf_fuel3_prod_CH4" localSheetId="7">[1]Parameters!$D$218</definedName>
    <definedName name="EFaf_fuel3_prod_CH4">[2]Parameters!$D$218</definedName>
    <definedName name="EFaf_fuel3_prod_CO2" localSheetId="0">#REF!</definedName>
    <definedName name="EFaf_fuel3_prod_CO2" localSheetId="3">#REF!</definedName>
    <definedName name="EFaf_fuel3_prod_CO2" localSheetId="7">#REF!</definedName>
    <definedName name="EFaf_fuel3_prod_CO2">#REF!</definedName>
    <definedName name="EFaf_fuel3_prod_N2O" localSheetId="7">[1]Parameters!$D$219</definedName>
    <definedName name="EFaf_fuel3_prod_N2O">[2]Parameters!$D$219</definedName>
    <definedName name="EFaf_fuel3_totalCO2" localSheetId="7">[1]Parameters!$D$224</definedName>
    <definedName name="EFaf_fuel3_totalCO2">[2]Parameters!$D$224</definedName>
    <definedName name="EFaf_fuel3_totalnon_CO2" localSheetId="0">#REF!</definedName>
    <definedName name="EFaf_fuel3_totalnon_CO2" localSheetId="3">#REF!</definedName>
    <definedName name="EFaf_fuel3_totalnon_CO2" localSheetId="7">#REF!</definedName>
    <definedName name="EFaf_fuel3_totalnon_CO2">#REF!</definedName>
    <definedName name="EFaf_fule1_cook_CH4" localSheetId="0">#REF!</definedName>
    <definedName name="EFaf_fule1_cook_CH4">#REF!</definedName>
    <definedName name="EFaf_fule1_cook_CO2" localSheetId="0">#REF!</definedName>
    <definedName name="EFaf_fule1_cook_CO2">#REF!</definedName>
    <definedName name="EFaf_fule1_cook_N2O" localSheetId="0">#REF!</definedName>
    <definedName name="EFaf_fule1_cook_N2O">#REF!</definedName>
    <definedName name="EFaf_fule1_prod_CH4" localSheetId="0">#REF!</definedName>
    <definedName name="EFaf_fule1_prod_CH4">#REF!</definedName>
    <definedName name="EFaf_fule1_prod_CO2" localSheetId="0">#REF!</definedName>
    <definedName name="EFaf_fule1_prod_CO2">#REF!</definedName>
    <definedName name="EFaf_fule1_prod_N2O" localSheetId="0">#REF!</definedName>
    <definedName name="EFaf_fule1_prod_N2O">#REF!</definedName>
    <definedName name="EFaf_fule1_totalCO2" localSheetId="0">#REF!</definedName>
    <definedName name="EFaf_fule1_totalCO2">#REF!</definedName>
    <definedName name="EFaf_fule1_totalnon_CO2" localSheetId="0">#REF!</definedName>
    <definedName name="EFaf_fule1_totalnon_CO2">#REF!</definedName>
    <definedName name="EFaf_prod_co2_fuel1" localSheetId="0">#REF!</definedName>
    <definedName name="EFaf_prod_co2_fuel1">#REF!</definedName>
    <definedName name="EFaf_prod_co2_fuel2" localSheetId="0">#REF!</definedName>
    <definedName name="EFaf_prod_co2_fuel2">#REF!</definedName>
    <definedName name="EFaf_prod_co2_fuel3" localSheetId="0">#REF!</definedName>
    <definedName name="EFaf_prod_co2_fuel3">#REF!</definedName>
    <definedName name="EFbl_bio1_cook_CH4" localSheetId="7">[1]Parameters!$D$25</definedName>
    <definedName name="EFbl_bio1_cook_CH4">[2]Parameters!$D$25</definedName>
    <definedName name="EFbl_bio1_cook_CO2" localSheetId="7">[1]Parameters!$D$24</definedName>
    <definedName name="EFbl_bio1_cook_CO2">[2]Parameters!$D$24</definedName>
    <definedName name="EFbl_bio1_cook_N2O" localSheetId="7">[1]Parameters!$D$26</definedName>
    <definedName name="EFbl_bio1_cook_N2O">[2]Parameters!$D$26</definedName>
    <definedName name="EFbl_bio1_prod_CH4" localSheetId="7">[1]Parameters!$D$21</definedName>
    <definedName name="EFbl_bio1_prod_CH4">[2]Parameters!$D$21</definedName>
    <definedName name="EFbl_bio1_prod_CO2" localSheetId="0">#REF!</definedName>
    <definedName name="EFbl_bio1_prod_CO2" localSheetId="3">#REF!</definedName>
    <definedName name="EFbl_bio1_prod_CO2" localSheetId="7">#REF!</definedName>
    <definedName name="EFbl_bio1_prod_CO2">#REF!</definedName>
    <definedName name="EFbl_bio1_prod_N2O" localSheetId="0">#REF!</definedName>
    <definedName name="EFbl_bio1_prod_N2O">#REF!</definedName>
    <definedName name="EFbl_bio1_totalCO2" localSheetId="7">[1]Parameters!$D$27</definedName>
    <definedName name="EFbl_bio1_totalCO2">[2]Parameters!$D$27</definedName>
    <definedName name="EFbl_bio1_totalnon_CO2" localSheetId="0">#REF!</definedName>
    <definedName name="EFbl_bio1_totalnon_CO2" localSheetId="3">#REF!</definedName>
    <definedName name="EFbl_bio1_totalnon_CO2" localSheetId="7">#REF!</definedName>
    <definedName name="EFbl_bio1_totalnon_CO2">#REF!</definedName>
    <definedName name="EFbl_bio2_cook_CH4" localSheetId="7">[1]Parameters!$D$62</definedName>
    <definedName name="EFbl_bio2_cook_CH4">[2]Parameters!$D$62</definedName>
    <definedName name="EFbl_bio2_cook_CO2" localSheetId="0">#REF!</definedName>
    <definedName name="EFbl_bio2_cook_CO2" localSheetId="3">#REF!</definedName>
    <definedName name="EFbl_bio2_cook_CO2" localSheetId="7">#REF!</definedName>
    <definedName name="EFbl_bio2_cook_CO2">#REF!</definedName>
    <definedName name="EFbl_bio2_cook_N2O" localSheetId="7">[1]Parameters!$D$63</definedName>
    <definedName name="EFbl_bio2_cook_N2O">[2]Parameters!$D$63</definedName>
    <definedName name="EFbl_bio2_prod_CH4" localSheetId="7">[1]Parameters!$D$58</definedName>
    <definedName name="EFbl_bio2_prod_CH4">[2]Parameters!$D$58</definedName>
    <definedName name="EFbl_bio2_prod_CO2" localSheetId="0">#REF!</definedName>
    <definedName name="EFbl_bio2_prod_CO2" localSheetId="3">#REF!</definedName>
    <definedName name="EFbl_bio2_prod_CO2" localSheetId="7">#REF!</definedName>
    <definedName name="EFbl_bio2_prod_CO2">#REF!</definedName>
    <definedName name="EFbl_bio2_prod_N2O" localSheetId="7">[1]Parameters!$D$59</definedName>
    <definedName name="EFbl_bio2_prod_N2O">[2]Parameters!$D$59</definedName>
    <definedName name="EFbl_bio2_total_CO2" localSheetId="0">#REF!</definedName>
    <definedName name="EFbl_bio2_total_CO2" localSheetId="3">#REF!</definedName>
    <definedName name="EFbl_bio2_total_CO2" localSheetId="7">#REF!</definedName>
    <definedName name="EFbl_bio2_total_CO2">#REF!</definedName>
    <definedName name="EFbl_bio2_totalCO2" localSheetId="7">[1]Parameters!$D$64</definedName>
    <definedName name="EFbl_bio2_totalCO2">[2]Parameters!$D$64</definedName>
    <definedName name="EFbl_bio2_totalnon_CO2" localSheetId="0">#REF!</definedName>
    <definedName name="EFbl_bio2_totalnon_CO2" localSheetId="3">#REF!</definedName>
    <definedName name="EFbl_bio2_totalnon_CO2" localSheetId="7">#REF!</definedName>
    <definedName name="EFbl_bio2_totalnon_CO2">#REF!</definedName>
    <definedName name="EFbl_bio3_cook_CH4" localSheetId="7">[1]Parameters!$D$111</definedName>
    <definedName name="EFbl_bio3_cook_CH4">[2]Parameters!$D$111</definedName>
    <definedName name="EFbl_bio3_cook_CO2" localSheetId="7">[1]Parameters!$D$110</definedName>
    <definedName name="EFbl_bio3_cook_CO2">[2]Parameters!$D$110</definedName>
    <definedName name="EFbl_bio3_cook_N2O" localSheetId="7">[1]Parameters!$D$112</definedName>
    <definedName name="EFbl_bio3_cook_N2O">[2]Parameters!$D$112</definedName>
    <definedName name="EFbl_bio3_prod_CH4" localSheetId="7">[1]Parameters!$D$107</definedName>
    <definedName name="EFbl_bio3_prod_CH4">[2]Parameters!$D$107</definedName>
    <definedName name="EFbl_bio3_prod_CO2" localSheetId="0">#REF!</definedName>
    <definedName name="EFbl_bio3_prod_CO2" localSheetId="3">#REF!</definedName>
    <definedName name="EFbl_bio3_prod_CO2" localSheetId="7">#REF!</definedName>
    <definedName name="EFbl_bio3_prod_CO2">#REF!</definedName>
    <definedName name="EFbl_bio3_prod_N2O" localSheetId="7">[1]Parameters!$D$108</definedName>
    <definedName name="EFbl_bio3_prod_N2O">[2]Parameters!$D$108</definedName>
    <definedName name="EFbl_bio3_totalCO2" localSheetId="7">[1]Parameters!$D$113</definedName>
    <definedName name="EFbl_bio3_totalCO2">[2]Parameters!$D$113</definedName>
    <definedName name="EFbl_bio3_totalnon_CO2" localSheetId="0">#REF!</definedName>
    <definedName name="EFbl_bio3_totalnon_CO2" localSheetId="3">#REF!</definedName>
    <definedName name="EFbl_bio3_totalnon_CO2" localSheetId="7">#REF!</definedName>
    <definedName name="EFbl_bio3_totalnon_CO2">#REF!</definedName>
    <definedName name="EFpj_bio1_cook_CH4" localSheetId="7">[1]Parameters!$J$25</definedName>
    <definedName name="EFpj_bio1_cook_CH4">[2]Parameters!$J$25</definedName>
    <definedName name="EFpj_bio1_cook_CO2" localSheetId="0">#REF!</definedName>
    <definedName name="EFpj_bio1_cook_CO2" localSheetId="3">#REF!</definedName>
    <definedName name="EFpj_bio1_cook_CO2" localSheetId="7">#REF!</definedName>
    <definedName name="EFpj_bio1_cook_CO2">#REF!</definedName>
    <definedName name="EFpj_bio1_cook_N2O" localSheetId="7">[1]Parameters!$J$26</definedName>
    <definedName name="EFpj_bio1_cook_N2O">[2]Parameters!$J$26</definedName>
    <definedName name="EFpj_bio1_prod_CH4" localSheetId="7">[1]Parameters!$J$21</definedName>
    <definedName name="EFpj_bio1_prod_CH4">[2]Parameters!$J$21</definedName>
    <definedName name="EFpj_bio1_prod_CO2" localSheetId="0">#REF!</definedName>
    <definedName name="EFpj_bio1_prod_CO2" localSheetId="3">#REF!</definedName>
    <definedName name="EFpj_bio1_prod_CO2" localSheetId="7">#REF!</definedName>
    <definedName name="EFpj_bio1_prod_CO2">#REF!</definedName>
    <definedName name="EFpj_bio1_prod_N2O" localSheetId="7">[1]Parameters!$J$22</definedName>
    <definedName name="EFpj_bio1_prod_N2O">[2]Parameters!$J$22</definedName>
    <definedName name="EFpj_bio1_totalCO2" localSheetId="7">[1]Parameters!$J$27</definedName>
    <definedName name="EFpj_bio1_totalCO2">[2]Parameters!$J$27</definedName>
    <definedName name="EFpj_bio1_totalnon_CO2" localSheetId="0">#REF!</definedName>
    <definedName name="EFpj_bio1_totalnon_CO2" localSheetId="3">#REF!</definedName>
    <definedName name="EFpj_bio1_totalnon_CO2" localSheetId="7">#REF!</definedName>
    <definedName name="EFpj_bio1_totalnon_CO2">#REF!</definedName>
    <definedName name="EFpj_bio2_cook_CH4" localSheetId="7">[1]Parameters!$J$62</definedName>
    <definedName name="EFpj_bio2_cook_CH4">[2]Parameters!$J$62</definedName>
    <definedName name="EFpj_bio2_cook_CO2" localSheetId="0">#REF!</definedName>
    <definedName name="EFpj_bio2_cook_CO2" localSheetId="3">#REF!</definedName>
    <definedName name="EFpj_bio2_cook_CO2" localSheetId="7">#REF!</definedName>
    <definedName name="EFpj_bio2_cook_CO2">#REF!</definedName>
    <definedName name="EFpj_bio2_cook_gas_i" localSheetId="0">#REF!</definedName>
    <definedName name="EFpj_bio2_cook_gas_i">#REF!</definedName>
    <definedName name="EFpj_bio2_cook_N2O" localSheetId="7">[1]Parameters!$J$63</definedName>
    <definedName name="EFpj_bio2_cook_N2O">[2]Parameters!$J$63</definedName>
    <definedName name="EFpj_bio2_prod_CH4" localSheetId="7">[1]Parameters!$J$58</definedName>
    <definedName name="EFpj_bio2_prod_CH4">[2]Parameters!$J$58</definedName>
    <definedName name="EFpj_bio2_prod_CO2" localSheetId="0">#REF!</definedName>
    <definedName name="EFpj_bio2_prod_CO2" localSheetId="3">#REF!</definedName>
    <definedName name="EFpj_bio2_prod_CO2" localSheetId="7">#REF!</definedName>
    <definedName name="EFpj_bio2_prod_CO2">#REF!</definedName>
    <definedName name="EFpj_bio2_prod_N2O" localSheetId="7">[1]Parameters!$J$59</definedName>
    <definedName name="EFpj_bio2_prod_N2O">[2]Parameters!$J$59</definedName>
    <definedName name="EFpj_bio2_totalCO2" localSheetId="7">[1]Parameters!$J$64</definedName>
    <definedName name="EFpj_bio2_totalCO2">[2]Parameters!$J$64</definedName>
    <definedName name="EFpj_bio2_totalnon_CO2" localSheetId="0">#REF!</definedName>
    <definedName name="EFpj_bio2_totalnon_CO2" localSheetId="3">#REF!</definedName>
    <definedName name="EFpj_bio2_totalnon_CO2" localSheetId="7">#REF!</definedName>
    <definedName name="EFpj_bio2_totalnon_CO2">#REF!</definedName>
    <definedName name="EFpj_bio3_cook_CH4" localSheetId="7">[1]Parameters!$J$111</definedName>
    <definedName name="EFpj_bio3_cook_CH4">[2]Parameters!$J$111</definedName>
    <definedName name="EFpj_bio3_cook_CO2" localSheetId="0">#REF!</definedName>
    <definedName name="EFpj_bio3_cook_CO2" localSheetId="3">#REF!</definedName>
    <definedName name="EFpj_bio3_cook_CO2" localSheetId="7">#REF!</definedName>
    <definedName name="EFpj_bio3_cook_CO2">#REF!</definedName>
    <definedName name="EFpj_bio3_cook_gas_i" localSheetId="0">#REF!</definedName>
    <definedName name="EFpj_bio3_cook_gas_i">#REF!</definedName>
    <definedName name="EFpj_bio3_cook_N2O" localSheetId="7">[1]Parameters!$J$112</definedName>
    <definedName name="EFpj_bio3_cook_N2O">[2]Parameters!$J$112</definedName>
    <definedName name="EFpj_bio3_prod_CH4" localSheetId="7">[1]Parameters!$J$107</definedName>
    <definedName name="EFpj_bio3_prod_CH4">[2]Parameters!$J$107</definedName>
    <definedName name="EFpj_bio3_prod_CO2" localSheetId="0">#REF!</definedName>
    <definedName name="EFpj_bio3_prod_CO2" localSheetId="3">#REF!</definedName>
    <definedName name="EFpj_bio3_prod_CO2" localSheetId="7">#REF!</definedName>
    <definedName name="EFpj_bio3_prod_CO2">#REF!</definedName>
    <definedName name="EFpj_bio3_prod_N2O" localSheetId="7">[1]Parameters!$J$108</definedName>
    <definedName name="EFpj_bio3_prod_N2O">[2]Parameters!$J$108</definedName>
    <definedName name="EFpj_bio3_totalCO2" localSheetId="7">[1]Parameters!$J$113</definedName>
    <definedName name="EFpj_bio3_totalCO2">[2]Parameters!$J$113</definedName>
    <definedName name="EFpj_bio3_totalnon_CO2" localSheetId="0">#REF!</definedName>
    <definedName name="EFpj_bio3_totalnon_CO2" localSheetId="3">#REF!</definedName>
    <definedName name="EFpj_bio3_totalnon_CO2" localSheetId="7">#REF!</definedName>
    <definedName name="EFpj_bio3_totalnon_CO2">#REF!</definedName>
    <definedName name="F_1" localSheetId="0">#REF!</definedName>
    <definedName name="F_1">#REF!</definedName>
    <definedName name="F_10">'[3]Shengchang Stove'!$H$14</definedName>
    <definedName name="F_11" localSheetId="0">'[2]HH Carbon Calculator'!#REF!</definedName>
    <definedName name="F_11" localSheetId="7">'[1]HH Carbon Calculator'!#REF!</definedName>
    <definedName name="F_11">'[2]HH Carbon Calculator'!#REF!</definedName>
    <definedName name="F_12" localSheetId="0">'[2]HH Carbon Calculator'!#REF!</definedName>
    <definedName name="F_12" localSheetId="7">'[1]HH Carbon Calculator'!#REF!</definedName>
    <definedName name="F_12">'[2]HH Carbon Calculator'!#REF!</definedName>
    <definedName name="F_13" localSheetId="0">'[2]HH Carbon Calculator'!#REF!</definedName>
    <definedName name="F_13" localSheetId="7">'[1]HH Carbon Calculator'!#REF!</definedName>
    <definedName name="F_13">'[2]HH Carbon Calculator'!#REF!</definedName>
    <definedName name="F_2" localSheetId="0">#REF!</definedName>
    <definedName name="F_2" localSheetId="3">#REF!</definedName>
    <definedName name="F_2" localSheetId="7">#REF!</definedName>
    <definedName name="F_2">#REF!</definedName>
    <definedName name="F_3" localSheetId="0">#REF!</definedName>
    <definedName name="F_3">#REF!</definedName>
    <definedName name="F_4" localSheetId="0">#REF!</definedName>
    <definedName name="F_4">#REF!</definedName>
    <definedName name="F_5" localSheetId="0">'[2]HH Carbon Calculator'!#REF!</definedName>
    <definedName name="F_5" localSheetId="7">'[1]HH Carbon Calculator'!#REF!</definedName>
    <definedName name="F_5">'[2]HH Carbon Calculator'!#REF!</definedName>
    <definedName name="F_6" localSheetId="0">#REF!</definedName>
    <definedName name="F_6" localSheetId="3">#REF!</definedName>
    <definedName name="F_6" localSheetId="7">#REF!</definedName>
    <definedName name="F_6">#REF!</definedName>
    <definedName name="F_7" localSheetId="0">'[2]HH Carbon Calculator'!#REF!</definedName>
    <definedName name="F_7" localSheetId="3">'[2]HH Carbon Calculator'!#REF!</definedName>
    <definedName name="F_7" localSheetId="7">'[1]HH Carbon Calculator'!#REF!</definedName>
    <definedName name="F_7">'[2]HH Carbon Calculator'!#REF!</definedName>
    <definedName name="F_8" localSheetId="0">#REF!</definedName>
    <definedName name="F_8" localSheetId="3">#REF!</definedName>
    <definedName name="F_8" localSheetId="7">#REF!</definedName>
    <definedName name="F_8">#REF!</definedName>
    <definedName name="F_9" localSheetId="0">#REF!</definedName>
    <definedName name="F_9">#REF!</definedName>
    <definedName name="Fbl_bio1_10thyr" localSheetId="7">[1]Parameters!$D$40</definedName>
    <definedName name="Fbl_bio1_10thyr">[2]Parameters!$D$40</definedName>
    <definedName name="Fbl_bio1_1styr" localSheetId="7">[1]Parameters!$D$31</definedName>
    <definedName name="Fbl_bio1_1styr">[2]Parameters!$D$31</definedName>
    <definedName name="Fbl_bio1_2ndyr" localSheetId="7">[1]Parameters!$D$32</definedName>
    <definedName name="Fbl_bio1_2ndyr">[2]Parameters!$D$32</definedName>
    <definedName name="Fbl_bio1_3rdyr" localSheetId="7">[1]Parameters!$D$33</definedName>
    <definedName name="Fbl_bio1_3rdyr">[2]Parameters!$D$33</definedName>
    <definedName name="Fbl_bio1_4thyr" localSheetId="7">[1]Parameters!$D$34</definedName>
    <definedName name="Fbl_bio1_4thyr">[2]Parameters!$D$34</definedName>
    <definedName name="Fbl_bio1_5thyr" localSheetId="7">[1]Parameters!$D$35</definedName>
    <definedName name="Fbl_bio1_5thyr">[2]Parameters!$D$35</definedName>
    <definedName name="Fbl_bio1_6thyr" localSheetId="7">[1]Parameters!$D$36</definedName>
    <definedName name="Fbl_bio1_6thyr">[2]Parameters!$D$36</definedName>
    <definedName name="Fbl_bio1_7thyr" localSheetId="7">[1]Parameters!$D$37</definedName>
    <definedName name="Fbl_bio1_7thyr">[2]Parameters!$D$37</definedName>
    <definedName name="Fbl_bio1_8thyr" localSheetId="7">[1]Parameters!$D$38</definedName>
    <definedName name="Fbl_bio1_8thyr">[2]Parameters!$D$38</definedName>
    <definedName name="Fbl_bio1_9thyr" localSheetId="7">[1]Parameters!$D$39</definedName>
    <definedName name="Fbl_bio1_9thyr">[2]Parameters!$D$39</definedName>
    <definedName name="Fbl_bio2_10thyr" localSheetId="7">[1]Parameters!$D$77</definedName>
    <definedName name="Fbl_bio2_10thyr">[2]Parameters!$D$77</definedName>
    <definedName name="Fbl_bio2_1styr" localSheetId="7">[1]Parameters!$D$68</definedName>
    <definedName name="Fbl_bio2_1styr">[2]Parameters!$D$68</definedName>
    <definedName name="Fbl_bio2_2ndyr" localSheetId="7">[1]Parameters!$D$69</definedName>
    <definedName name="Fbl_bio2_2ndyr">[2]Parameters!$D$69</definedName>
    <definedName name="Fbl_bio2_3rdyr" localSheetId="7">[1]Parameters!$D$70</definedName>
    <definedName name="Fbl_bio2_3rdyr">[2]Parameters!$D$70</definedName>
    <definedName name="Fbl_bio2_4thyr" localSheetId="7">[1]Parameters!$D$71</definedName>
    <definedName name="Fbl_bio2_4thyr">[2]Parameters!$D$71</definedName>
    <definedName name="Fbl_bio2_5thyr" localSheetId="7">[1]Parameters!$D$72</definedName>
    <definedName name="Fbl_bio2_5thyr">[2]Parameters!$D$72</definedName>
    <definedName name="Fbl_bio2_6thyr" localSheetId="7">[1]Parameters!$D$73</definedName>
    <definedName name="Fbl_bio2_6thyr">[2]Parameters!$D$73</definedName>
    <definedName name="Fbl_bio2_7thyr" localSheetId="7">[1]Parameters!$D$74</definedName>
    <definedName name="Fbl_bio2_7thyr">[2]Parameters!$D$74</definedName>
    <definedName name="Fbl_bio2_8thyr" localSheetId="7">[1]Parameters!$D$75</definedName>
    <definedName name="Fbl_bio2_8thyr">[2]Parameters!$D$75</definedName>
    <definedName name="Fbl_bio2_9thyr" localSheetId="7">[1]Parameters!$D$76</definedName>
    <definedName name="Fbl_bio2_9thyr">[2]Parameters!$D$76</definedName>
    <definedName name="Fbl_bio3_10thyr" localSheetId="7">[1]Parameters!$D$126</definedName>
    <definedName name="Fbl_bio3_10thyr">[2]Parameters!$D$126</definedName>
    <definedName name="Fbl_bio3_1styr" localSheetId="7">[1]Parameters!$D$117</definedName>
    <definedName name="Fbl_bio3_1styr">[2]Parameters!$D$117</definedName>
    <definedName name="Fbl_bio3_2ndyr" localSheetId="7">[1]Parameters!$D$118</definedName>
    <definedName name="Fbl_bio3_2ndyr">[2]Parameters!$D$118</definedName>
    <definedName name="Fbl_bio3_3rdyr" localSheetId="7">[1]Parameters!$D$119</definedName>
    <definedName name="Fbl_bio3_3rdyr">[2]Parameters!$D$119</definedName>
    <definedName name="Fbl_bio3_4thyr" localSheetId="7">[1]Parameters!$D$120</definedName>
    <definedName name="Fbl_bio3_4thyr">[2]Parameters!$D$120</definedName>
    <definedName name="Fbl_bio3_5thyr" localSheetId="7">[1]Parameters!$D$121</definedName>
    <definedName name="Fbl_bio3_5thyr">[2]Parameters!$D$121</definedName>
    <definedName name="Fbl_bio3_6thyr" localSheetId="7">[1]Parameters!$D$122</definedName>
    <definedName name="Fbl_bio3_6thyr">[2]Parameters!$D$122</definedName>
    <definedName name="Fbl_bio3_7thyr" localSheetId="7">[1]Parameters!$D$123</definedName>
    <definedName name="Fbl_bio3_7thyr">[2]Parameters!$D$123</definedName>
    <definedName name="Fbl_bio3_8thyr" localSheetId="7">[1]Parameters!$D$124</definedName>
    <definedName name="Fbl_bio3_8thyr">[2]Parameters!$D$124</definedName>
    <definedName name="Fbl_bio3_9thyr" localSheetId="7">[1]Parameters!$D$125</definedName>
    <definedName name="Fbl_bio3_9thyr">[2]Parameters!$D$125</definedName>
    <definedName name="Fpj_bio1_10thyr" localSheetId="7">[1]Parameters!$J$40</definedName>
    <definedName name="Fpj_bio1_10thyr">[2]Parameters!$J$40</definedName>
    <definedName name="Fpj_bio1_1styr" localSheetId="7">[1]Parameters!$J$31</definedName>
    <definedName name="Fpj_bio1_1styr">[2]Parameters!$J$31</definedName>
    <definedName name="Fpj_bio1_2ndyr" localSheetId="7">[1]Parameters!$J$32</definedName>
    <definedName name="Fpj_bio1_2ndyr">[2]Parameters!$J$32</definedName>
    <definedName name="Fpj_bio1_3rdyr" localSheetId="7">[1]Parameters!$J$33</definedName>
    <definedName name="Fpj_bio1_3rdyr">[2]Parameters!$J$33</definedName>
    <definedName name="Fpj_bio1_4thyr" localSheetId="7">[1]Parameters!$J$34</definedName>
    <definedName name="Fpj_bio1_4thyr">[2]Parameters!$J$34</definedName>
    <definedName name="Fpj_bio1_5thyr" localSheetId="7">[1]Parameters!$J$35</definedName>
    <definedName name="Fpj_bio1_5thyr">[2]Parameters!$J$35</definedName>
    <definedName name="Fpj_bio1_6thyr" localSheetId="7">[1]Parameters!$J$36</definedName>
    <definedName name="Fpj_bio1_6thyr">[2]Parameters!$J$36</definedName>
    <definedName name="Fpj_bio1_7thyr" localSheetId="7">[1]Parameters!$J$37</definedName>
    <definedName name="Fpj_bio1_7thyr">[2]Parameters!$J$37</definedName>
    <definedName name="Fpj_bio1_8thyr" localSheetId="7">[1]Parameters!$J$38</definedName>
    <definedName name="Fpj_bio1_8thyr">[2]Parameters!$J$38</definedName>
    <definedName name="Fpj_bio1_9thyr" localSheetId="7">[1]Parameters!$J$39</definedName>
    <definedName name="Fpj_bio1_9thyr">[2]Parameters!$J$39</definedName>
    <definedName name="Fpj_bio2_10thyr" localSheetId="7">[1]Parameters!$J$77</definedName>
    <definedName name="Fpj_bio2_10thyr">[2]Parameters!$J$77</definedName>
    <definedName name="Fpj_bio2_1styr" localSheetId="7">[1]Parameters!$J$68</definedName>
    <definedName name="Fpj_bio2_1styr">[2]Parameters!$J$68</definedName>
    <definedName name="Fpj_bio2_2ndyr" localSheetId="7">[1]Parameters!$J$69</definedName>
    <definedName name="Fpj_bio2_2ndyr">[2]Parameters!$J$69</definedName>
    <definedName name="Fpj_bio2_3rdyr" localSheetId="7">[1]Parameters!$J$70</definedName>
    <definedName name="Fpj_bio2_3rdyr">[2]Parameters!$J$70</definedName>
    <definedName name="Fpj_bio2_4thyr" localSheetId="7">[1]Parameters!$J$71</definedName>
    <definedName name="Fpj_bio2_4thyr">[2]Parameters!$J$71</definedName>
    <definedName name="Fpj_bio2_5thyr" localSheetId="7">[1]Parameters!$J$72</definedName>
    <definedName name="Fpj_bio2_5thyr">[2]Parameters!$J$72</definedName>
    <definedName name="Fpj_bio2_6thyr" localSheetId="7">[1]Parameters!$J$73</definedName>
    <definedName name="Fpj_bio2_6thyr">[2]Parameters!$J$73</definedName>
    <definedName name="Fpj_bio2_7thyr" localSheetId="7">[1]Parameters!$J$74</definedName>
    <definedName name="Fpj_bio2_7thyr">[2]Parameters!$J$74</definedName>
    <definedName name="Fpj_bio2_8thyr" localSheetId="7">[1]Parameters!$J$75</definedName>
    <definedName name="Fpj_bio2_8thyr">[2]Parameters!$J$75</definedName>
    <definedName name="Fpj_bio2_9thyr" localSheetId="7">[1]Parameters!$J$76</definedName>
    <definedName name="Fpj_bio2_9thyr">[2]Parameters!$J$76</definedName>
    <definedName name="Fpj_bio3_10thyr" localSheetId="7">[1]Parameters!$J$126</definedName>
    <definedName name="Fpj_bio3_10thyr">[2]Parameters!$J$126</definedName>
    <definedName name="Fpj_bio3_1styr" localSheetId="7">[1]Parameters!$J$117</definedName>
    <definedName name="Fpj_bio3_1styr">[2]Parameters!$J$117</definedName>
    <definedName name="Fpj_bio3_2ndyr" localSheetId="7">[1]Parameters!$J$118</definedName>
    <definedName name="Fpj_bio3_2ndyr">[2]Parameters!$J$118</definedName>
    <definedName name="Fpj_bio3_3rdyr" localSheetId="7">[1]Parameters!$J$119</definedName>
    <definedName name="Fpj_bio3_3rdyr">[2]Parameters!$J$119</definedName>
    <definedName name="Fpj_bio3_4thyr" localSheetId="7">[1]Parameters!$J$120</definedName>
    <definedName name="Fpj_bio3_4thyr">[2]Parameters!$J$120</definedName>
    <definedName name="Fpj_bio3_5thyr" localSheetId="7">[1]Parameters!$J$121</definedName>
    <definedName name="Fpj_bio3_5thyr">[2]Parameters!$J$121</definedName>
    <definedName name="Fpj_bio3_6thyr" localSheetId="7">[1]Parameters!$J$122</definedName>
    <definedName name="Fpj_bio3_6thyr">[2]Parameters!$J$122</definedName>
    <definedName name="Fpj_bio3_7thyr" localSheetId="7">[1]Parameters!$J$123</definedName>
    <definedName name="Fpj_bio3_7thyr">[2]Parameters!$J$123</definedName>
    <definedName name="Fpj_bio3_8thyr" localSheetId="7">[1]Parameters!$J$124</definedName>
    <definedName name="Fpj_bio3_8thyr">[2]Parameters!$J$124</definedName>
    <definedName name="Fpj_bio3_9thyr" localSheetId="7">[1]Parameters!$J$125</definedName>
    <definedName name="Fpj_bio3_9thyr">[2]Parameters!$J$125</definedName>
    <definedName name="Fuel_adj" localSheetId="7">'[1]HH Carbon Calculator'!$W$64</definedName>
    <definedName name="Fuel_adj">'[2]HH Carbon Calculator'!$W$64</definedName>
    <definedName name="FuelCalorific" localSheetId="7">'[4]Calorific values'!$B$3:$M$91</definedName>
    <definedName name="FuelCalorific">'[5]Calorific values'!$B$3:$M$91</definedName>
    <definedName name="grate" localSheetId="0">#REF!</definedName>
    <definedName name="grate" localSheetId="3">#REF!</definedName>
    <definedName name="grate" localSheetId="7">#REF!</definedName>
    <definedName name="grate">#REF!</definedName>
    <definedName name="Initial_sales" localSheetId="0">#REF!</definedName>
    <definedName name="Initial_sales">#REF!</definedName>
    <definedName name="L_1" localSheetId="0">#REF!</definedName>
    <definedName name="L_1">#REF!</definedName>
    <definedName name="L_10" localSheetId="0">#REF!</definedName>
    <definedName name="L_10">#REF!</definedName>
    <definedName name="L_11" localSheetId="7">'[1]HH Carbon Calculator'!#REF!</definedName>
    <definedName name="L_11">'[2]HH Carbon Calculator'!#REF!</definedName>
    <definedName name="L_12" localSheetId="7">'[1]HH Carbon Calculator'!#REF!</definedName>
    <definedName name="L_12">'[2]HH Carbon Calculator'!#REF!</definedName>
    <definedName name="L_13" localSheetId="7">'[1]HH Carbon Calculator'!#REF!</definedName>
    <definedName name="L_13">'[2]HH Carbon Calculator'!#REF!</definedName>
    <definedName name="L_2" localSheetId="0">#REF!</definedName>
    <definedName name="L_2" localSheetId="3">#REF!</definedName>
    <definedName name="L_2" localSheetId="7">#REF!</definedName>
    <definedName name="L_2">#REF!</definedName>
    <definedName name="L_3" localSheetId="0">#REF!</definedName>
    <definedName name="L_3">#REF!</definedName>
    <definedName name="L_4" localSheetId="0">#REF!</definedName>
    <definedName name="L_4">#REF!</definedName>
    <definedName name="L_5" localSheetId="0">'[2]HH Carbon Calculator'!#REF!</definedName>
    <definedName name="L_5" localSheetId="7">'[1]HH Carbon Calculator'!#REF!</definedName>
    <definedName name="L_5">'[2]HH Carbon Calculator'!#REF!</definedName>
    <definedName name="L_6" localSheetId="0">#REF!</definedName>
    <definedName name="L_6" localSheetId="3">#REF!</definedName>
    <definedName name="L_6" localSheetId="7">#REF!</definedName>
    <definedName name="L_6">#REF!</definedName>
    <definedName name="L_7" localSheetId="0">'[2]HH Carbon Calculator'!#REF!</definedName>
    <definedName name="L_7" localSheetId="3">'[2]HH Carbon Calculator'!#REF!</definedName>
    <definedName name="L_7" localSheetId="7">'[1]HH Carbon Calculator'!#REF!</definedName>
    <definedName name="L_7">'[2]HH Carbon Calculator'!#REF!</definedName>
    <definedName name="L_8" localSheetId="0">#REF!</definedName>
    <definedName name="L_8" localSheetId="3">#REF!</definedName>
    <definedName name="L_8" localSheetId="7">#REF!</definedName>
    <definedName name="L_8">#REF!</definedName>
    <definedName name="L_9" localSheetId="0">#REF!</definedName>
    <definedName name="L_9">#REF!</definedName>
    <definedName name="LE_yr1" localSheetId="7">[1]Parameters!$V$8</definedName>
    <definedName name="LE_yr1">[2]Parameters!$V$8</definedName>
    <definedName name="LE_yr10" localSheetId="7">[1]Parameters!$V$17</definedName>
    <definedName name="LE_yr10">[2]Parameters!$V$17</definedName>
    <definedName name="LE_yr2" localSheetId="7">[1]Parameters!$V$9</definedName>
    <definedName name="LE_yr2">[2]Parameters!$V$9</definedName>
    <definedName name="LE_yr3" localSheetId="7">[1]Parameters!$V$10</definedName>
    <definedName name="LE_yr3">[2]Parameters!$V$10</definedName>
    <definedName name="LE_yr4" localSheetId="7">[1]Parameters!$V$11</definedName>
    <definedName name="LE_yr4">[2]Parameters!$V$11</definedName>
    <definedName name="LE_yr5" localSheetId="7">[1]Parameters!$V$12</definedName>
    <definedName name="LE_yr5">[2]Parameters!$V$12</definedName>
    <definedName name="LE_yr6" localSheetId="7">[1]Parameters!$V$13</definedName>
    <definedName name="LE_yr6">[2]Parameters!$V$13</definedName>
    <definedName name="LE_yr7" localSheetId="7">[1]Parameters!$V$14</definedName>
    <definedName name="LE_yr7">[2]Parameters!$V$14</definedName>
    <definedName name="LE_yr8" localSheetId="7">[1]Parameters!$V$15</definedName>
    <definedName name="LE_yr8">[2]Parameters!$V$15</definedName>
    <definedName name="LE_yr9" localSheetId="7">[1]Parameters!$V$16</definedName>
    <definedName name="LE_yr9">[2]Parameters!$V$16</definedName>
    <definedName name="leakage" localSheetId="0">#REF!</definedName>
    <definedName name="leakage" localSheetId="3">#REF!</definedName>
    <definedName name="leakage" localSheetId="7">#REF!</definedName>
    <definedName name="leakage">#REF!</definedName>
    <definedName name="m" localSheetId="0">#REF!</definedName>
    <definedName name="m">#REF!</definedName>
    <definedName name="n" localSheetId="0">#REF!</definedName>
    <definedName name="n">#REF!</definedName>
    <definedName name="nonCO2cook" localSheetId="0">#REF!</definedName>
    <definedName name="nonCO2cook">#REF!</definedName>
    <definedName name="nonCO2prod" localSheetId="0">#REF!</definedName>
    <definedName name="nonCO2prod">#REF!</definedName>
    <definedName name="nrb_1" localSheetId="0">#REF!</definedName>
    <definedName name="nrb_1">#REF!</definedName>
    <definedName name="nrb_10" localSheetId="0">#REF!</definedName>
    <definedName name="nrb_10">#REF!</definedName>
    <definedName name="nrb_11" localSheetId="7">'[1]HH Carbon Calculator'!#REF!</definedName>
    <definedName name="nrb_11">'[2]HH Carbon Calculator'!#REF!</definedName>
    <definedName name="nrb_12" localSheetId="7">'[1]HH Carbon Calculator'!#REF!</definedName>
    <definedName name="nrb_12">'[2]HH Carbon Calculator'!#REF!</definedName>
    <definedName name="nrb_13" localSheetId="7">'[1]HH Carbon Calculator'!#REF!</definedName>
    <definedName name="nrb_13">'[2]HH Carbon Calculator'!#REF!</definedName>
    <definedName name="nrb_2" localSheetId="0">#REF!</definedName>
    <definedName name="nrb_2" localSheetId="3">#REF!</definedName>
    <definedName name="nrb_2" localSheetId="7">#REF!</definedName>
    <definedName name="nrb_2">#REF!</definedName>
    <definedName name="nrb_3" localSheetId="0">#REF!</definedName>
    <definedName name="nrb_3">#REF!</definedName>
    <definedName name="nrb_4" localSheetId="0">#REF!</definedName>
    <definedName name="nrb_4">#REF!</definedName>
    <definedName name="nrb_5" localSheetId="0">'[2]HH Carbon Calculator'!#REF!</definedName>
    <definedName name="nrb_5" localSheetId="7">'[1]HH Carbon Calculator'!#REF!</definedName>
    <definedName name="nrb_5">'[2]HH Carbon Calculator'!#REF!</definedName>
    <definedName name="nrb_6" localSheetId="0">#REF!</definedName>
    <definedName name="nrb_6" localSheetId="3">#REF!</definedName>
    <definedName name="nrb_6" localSheetId="7">#REF!</definedName>
    <definedName name="nrb_6">#REF!</definedName>
    <definedName name="nrb_7" localSheetId="0">'[2]HH Carbon Calculator'!#REF!</definedName>
    <definedName name="nrb_7" localSheetId="3">'[2]HH Carbon Calculator'!#REF!</definedName>
    <definedName name="nrb_7" localSheetId="7">'[1]HH Carbon Calculator'!#REF!</definedName>
    <definedName name="nrb_7">'[2]HH Carbon Calculator'!#REF!</definedName>
    <definedName name="nrb_8" localSheetId="0">#REF!</definedName>
    <definedName name="nrb_8" localSheetId="3">#REF!</definedName>
    <definedName name="nrb_8" localSheetId="7">#REF!</definedName>
    <definedName name="nrb_8">#REF!</definedName>
    <definedName name="nrb_9" localSheetId="0">#REF!</definedName>
    <definedName name="nrb_9">#REF!</definedName>
    <definedName name="Precision" localSheetId="0">#REF!</definedName>
    <definedName name="Precision" localSheetId="7">#REF!</definedName>
    <definedName name="Precision">#REF!</definedName>
    <definedName name="price" localSheetId="0">#REF!</definedName>
    <definedName name="price">#REF!</definedName>
    <definedName name="_xlnm.Print_Area" localSheetId="4">'Sample Size cal and results'!$A$1:$I$48</definedName>
    <definedName name="Ratio_ND_Domestic" localSheetId="7">'[6]De-bundling'!$C$19</definedName>
    <definedName name="Ratio_ND_Domestic">'[7]De-bundling'!$C$19</definedName>
    <definedName name="reduction" localSheetId="0">#REF!</definedName>
    <definedName name="reduction" localSheetId="3">#REF!</definedName>
    <definedName name="reduction" localSheetId="7">#REF!</definedName>
    <definedName name="reduction">#REF!</definedName>
    <definedName name="Response">'[8]Monitoring data summary'!$A$175:$A$176</definedName>
    <definedName name="rmb" localSheetId="0">#REF!</definedName>
    <definedName name="rmb" localSheetId="3">#REF!</definedName>
    <definedName name="rmb" localSheetId="7">#REF!</definedName>
    <definedName name="rmb">#REF!</definedName>
    <definedName name="start_year" localSheetId="0">#REF!</definedName>
    <definedName name="start_year">#REF!</definedName>
    <definedName name="STOVE">[9]Sheet1!$C$3:$C$4</definedName>
    <definedName name="Subsidized_price" localSheetId="0">'[2]HH Carbon Calculator'!#REF!</definedName>
    <definedName name="Subsidized_price" localSheetId="7">'[1]HH Carbon Calculator'!#REF!</definedName>
    <definedName name="Subsidized_price">'[2]HH Carbon Calculator'!#REF!</definedName>
    <definedName name="subsidy" localSheetId="0">#REF!</definedName>
    <definedName name="subsidy" localSheetId="3">#REF!</definedName>
    <definedName name="subsidy" localSheetId="7">#REF!</definedName>
    <definedName name="subsidy">#REF!</definedName>
    <definedName name="totalCO2" localSheetId="0">#REF!</definedName>
    <definedName name="totalCO2">#REF!</definedName>
    <definedName name="U_1" localSheetId="0">#REF!</definedName>
    <definedName name="U_1">#REF!</definedName>
    <definedName name="U_10">'[3]Shengchang Stove'!$I$14</definedName>
    <definedName name="U_11" localSheetId="0">'[2]HH Carbon Calculator'!#REF!</definedName>
    <definedName name="U_11" localSheetId="7">'[1]HH Carbon Calculator'!#REF!</definedName>
    <definedName name="U_11">'[2]HH Carbon Calculator'!#REF!</definedName>
    <definedName name="U_12" localSheetId="0">'[2]HH Carbon Calculator'!#REF!</definedName>
    <definedName name="U_12" localSheetId="7">'[1]HH Carbon Calculator'!#REF!</definedName>
    <definedName name="U_12">'[2]HH Carbon Calculator'!#REF!</definedName>
    <definedName name="U_13" localSheetId="0">'[2]HH Carbon Calculator'!#REF!</definedName>
    <definedName name="U_13" localSheetId="7">'[1]HH Carbon Calculator'!#REF!</definedName>
    <definedName name="U_13">'[2]HH Carbon Calculator'!#REF!</definedName>
    <definedName name="U_2" localSheetId="0">#REF!</definedName>
    <definedName name="U_2" localSheetId="3">#REF!</definedName>
    <definedName name="U_2" localSheetId="7">#REF!</definedName>
    <definedName name="U_2">#REF!</definedName>
    <definedName name="U_3" localSheetId="0">#REF!</definedName>
    <definedName name="U_3">#REF!</definedName>
    <definedName name="U_4" localSheetId="0">#REF!</definedName>
    <definedName name="U_4">#REF!</definedName>
    <definedName name="U_5" localSheetId="0">'[2]HH Carbon Calculator'!#REF!</definedName>
    <definedName name="U_5" localSheetId="7">'[1]HH Carbon Calculator'!#REF!</definedName>
    <definedName name="U_5">'[2]HH Carbon Calculator'!#REF!</definedName>
    <definedName name="U_6" localSheetId="0">#REF!</definedName>
    <definedName name="U_6" localSheetId="3">#REF!</definedName>
    <definedName name="U_6" localSheetId="7">#REF!</definedName>
    <definedName name="U_6">#REF!</definedName>
    <definedName name="U_7" localSheetId="0">'[2]HH Carbon Calculator'!#REF!</definedName>
    <definedName name="U_7" localSheetId="3">'[2]HH Carbon Calculator'!#REF!</definedName>
    <definedName name="U_7" localSheetId="7">'[1]HH Carbon Calculator'!#REF!</definedName>
    <definedName name="U_7">'[2]HH Carbon Calculator'!#REF!</definedName>
    <definedName name="U_8" localSheetId="0">#REF!</definedName>
    <definedName name="U_8" localSheetId="3">#REF!</definedName>
    <definedName name="U_8" localSheetId="7">#REF!</definedName>
    <definedName name="U_8">#REF!</definedName>
    <definedName name="U_9" localSheetId="0">#REF!</definedName>
    <definedName name="U_9">#REF!</definedName>
    <definedName name="Upj_10thyr" localSheetId="7">[1]Parameters!$P$17</definedName>
    <definedName name="Upj_10thyr">[2]Parameters!$P$17</definedName>
    <definedName name="Upj_1styr" localSheetId="7">[1]Parameters!$P$8</definedName>
    <definedName name="Upj_1styr">[2]Parameters!$P$8</definedName>
    <definedName name="Upj_2ndyr" localSheetId="7">[1]Parameters!$P$9</definedName>
    <definedName name="Upj_2ndyr">[2]Parameters!$P$9</definedName>
    <definedName name="Upj_3rdyr" localSheetId="7">[1]Parameters!$P$10</definedName>
    <definedName name="Upj_3rdyr">[2]Parameters!$P$10</definedName>
    <definedName name="Upj_4thyr" localSheetId="7">[1]Parameters!$P$11</definedName>
    <definedName name="Upj_4thyr">[2]Parameters!$P$11</definedName>
    <definedName name="Upj_5thyr" localSheetId="7">[1]Parameters!$P$12</definedName>
    <definedName name="Upj_5thyr">[2]Parameters!$P$12</definedName>
    <definedName name="Upj_6thyr" localSheetId="7">[1]Parameters!$P$13</definedName>
    <definedName name="Upj_6thyr">[2]Parameters!$P$13</definedName>
    <definedName name="Upj_7thyr" localSheetId="7">[1]Parameters!$P$14</definedName>
    <definedName name="Upj_7thyr">[2]Parameters!$P$14</definedName>
    <definedName name="Upj_8thyr" localSheetId="7">[1]Parameters!$P$15</definedName>
    <definedName name="Upj_8thyr">[2]Parameters!$P$15</definedName>
    <definedName name="Upj_9thyr" localSheetId="7">[1]Parameters!$P$16</definedName>
    <definedName name="Upj_9thyr">[2]Parameters!$P$16</definedName>
    <definedName name="Upj_bio2_1styr" localSheetId="0">#REF!</definedName>
    <definedName name="Upj_bio2_1styr" localSheetId="3">#REF!</definedName>
    <definedName name="Upj_bio2_1styr" localSheetId="7">#REF!</definedName>
    <definedName name="Upj_bio2_1styr">#REF!</definedName>
    <definedName name="Upj_bio2_2ndyr" localSheetId="0">#REF!</definedName>
    <definedName name="Upj_bio2_2ndyr">#REF!</definedName>
    <definedName name="Upj_bio2_3rdyr" localSheetId="0">#REF!</definedName>
    <definedName name="Upj_bio2_3rdyr">#REF!</definedName>
    <definedName name="Upj_bio2_4thyr" localSheetId="0">#REF!</definedName>
    <definedName name="Upj_bio2_4thyr">#REF!</definedName>
    <definedName name="Upj_bio2_5thyr" localSheetId="0">#REF!</definedName>
    <definedName name="Upj_bio2_5thyr">#REF!</definedName>
    <definedName name="Upj_bio2_6thyr" localSheetId="0">#REF!</definedName>
    <definedName name="Upj_bio2_6thyr">#REF!</definedName>
    <definedName name="Upj_bio2_7thyr" localSheetId="0">#REF!</definedName>
    <definedName name="Upj_bio2_7thyr">#REF!</definedName>
    <definedName name="Upj_bio2_8thyr" localSheetId="0">#REF!</definedName>
    <definedName name="Upj_bio2_8thyr">#REF!</definedName>
    <definedName name="Upj_bio2_9thyr" localSheetId="0">#REF!</definedName>
    <definedName name="Upj_bio2_9thyr">#REF!</definedName>
    <definedName name="Upj_bio3_10thyr" localSheetId="0">#REF!</definedName>
    <definedName name="Upj_bio3_10thyr">#REF!</definedName>
    <definedName name="Upj_bio3_1styr" localSheetId="0">#REF!</definedName>
    <definedName name="Upj_bio3_1styr">#REF!</definedName>
    <definedName name="Upj_bio3_2ndyr" localSheetId="0">#REF!</definedName>
    <definedName name="Upj_bio3_2ndyr">#REF!</definedName>
    <definedName name="Upj_bio3_3rdyr" localSheetId="0">#REF!</definedName>
    <definedName name="Upj_bio3_3rdyr">#REF!</definedName>
    <definedName name="Upj_bio3_4thyr" localSheetId="0">#REF!</definedName>
    <definedName name="Upj_bio3_4thyr">#REF!</definedName>
    <definedName name="Upj_bio3_5thyr" localSheetId="0">#REF!</definedName>
    <definedName name="Upj_bio3_5thyr">#REF!</definedName>
    <definedName name="Upj_bio3_6thyr" localSheetId="0">#REF!</definedName>
    <definedName name="Upj_bio3_6thyr">#REF!</definedName>
    <definedName name="Upj_bio3_7thyr" localSheetId="0">#REF!</definedName>
    <definedName name="Upj_bio3_7thyr">#REF!</definedName>
    <definedName name="Upj_bio3_8thyr" localSheetId="0">#REF!</definedName>
    <definedName name="Upj_bio3_8thyr">#REF!</definedName>
    <definedName name="Upj_bio3_9thyr" localSheetId="0">#REF!</definedName>
    <definedName name="Upj_bio3_9thyr">#REF!</definedName>
    <definedName name="Upj_fuel2_10thyr" localSheetId="0">#REF!</definedName>
    <definedName name="Upj_fuel2_10thyr">#REF!</definedName>
    <definedName name="Upj_fuel2_1styr" localSheetId="0">#REF!</definedName>
    <definedName name="Upj_fuel2_1styr">#REF!</definedName>
    <definedName name="Upj_fuel2_2ndyr" localSheetId="0">#REF!</definedName>
    <definedName name="Upj_fuel2_2ndyr">#REF!</definedName>
    <definedName name="Upj_fuel2_3rdyr" localSheetId="0">#REF!</definedName>
    <definedName name="Upj_fuel2_3rdyr">#REF!</definedName>
    <definedName name="Upj_fuel2_4thyr" localSheetId="0">#REF!</definedName>
    <definedName name="Upj_fuel2_4thyr">#REF!</definedName>
    <definedName name="Upj_fuel2_5thyr" localSheetId="0">#REF!</definedName>
    <definedName name="Upj_fuel2_5thyr">#REF!</definedName>
    <definedName name="Upj_fuel2_6thyr" localSheetId="0">#REF!</definedName>
    <definedName name="Upj_fuel2_6thyr">#REF!</definedName>
    <definedName name="Upj_fuel2_7thyr" localSheetId="0">#REF!</definedName>
    <definedName name="Upj_fuel2_7thyr">#REF!</definedName>
    <definedName name="Upj_fuel2_8thyr" localSheetId="0">#REF!</definedName>
    <definedName name="Upj_fuel2_8thyr">#REF!</definedName>
    <definedName name="Upj_fuel2_9thyr" localSheetId="0">#REF!</definedName>
    <definedName name="Upj_fuel2_9thyr">#REF!</definedName>
    <definedName name="Upj_fuel3_10thyr" localSheetId="0">#REF!</definedName>
    <definedName name="Upj_fuel3_10thyr">#REF!</definedName>
    <definedName name="Upj_fuel3_1styr" localSheetId="0">#REF!</definedName>
    <definedName name="Upj_fuel3_1styr">#REF!</definedName>
    <definedName name="Upj_fuel3_2ndyr" localSheetId="0">#REF!</definedName>
    <definedName name="Upj_fuel3_2ndyr">#REF!</definedName>
    <definedName name="Upj_fuel3_3rdyr" localSheetId="0">#REF!</definedName>
    <definedName name="Upj_fuel3_3rdyr">#REF!</definedName>
    <definedName name="Upj_fuel3_4thyr" localSheetId="0">#REF!</definedName>
    <definedName name="Upj_fuel3_4thyr">#REF!</definedName>
    <definedName name="Upj_fuel3_5thyr" localSheetId="0">#REF!</definedName>
    <definedName name="Upj_fuel3_5thyr">#REF!</definedName>
    <definedName name="Upj_fuel3_6thyr" localSheetId="0">#REF!</definedName>
    <definedName name="Upj_fuel3_6thyr">#REF!</definedName>
    <definedName name="Upj_fuel3_7thyr" localSheetId="0">#REF!</definedName>
    <definedName name="Upj_fuel3_7thyr">#REF!</definedName>
    <definedName name="Upj_fuel3_8thyr" localSheetId="0">#REF!</definedName>
    <definedName name="Upj_fuel3_8thyr">#REF!</definedName>
    <definedName name="Upj_fuel3_9thyr" localSheetId="0">#REF!</definedName>
    <definedName name="Upj_fuel3_9thyr">#REF!</definedName>
    <definedName name="Upj_fule1_10thyr" localSheetId="0">#REF!</definedName>
    <definedName name="Upj_fule1_10thyr">#REF!</definedName>
    <definedName name="Upj_fule1_1styr" localSheetId="0">#REF!</definedName>
    <definedName name="Upj_fule1_1styr">#REF!</definedName>
    <definedName name="Upj_fule1_2ndyr" localSheetId="0">#REF!</definedName>
    <definedName name="Upj_fule1_2ndyr">#REF!</definedName>
    <definedName name="Upj_fule1_3rdyr" localSheetId="0">#REF!</definedName>
    <definedName name="Upj_fule1_3rdyr">#REF!</definedName>
    <definedName name="Upj_fule1_4thyr" localSheetId="0">#REF!</definedName>
    <definedName name="Upj_fule1_4thyr">#REF!</definedName>
    <definedName name="Upj_fule1_5thyr" localSheetId="0">#REF!</definedName>
    <definedName name="Upj_fule1_5thyr">#REF!</definedName>
    <definedName name="Upj_fule1_6thyr" localSheetId="0">#REF!</definedName>
    <definedName name="Upj_fule1_6thyr">#REF!</definedName>
    <definedName name="Upj_fule1_7thyr" localSheetId="0">#REF!</definedName>
    <definedName name="Upj_fule1_7thyr">#REF!</definedName>
    <definedName name="Upj_fule1_8thyr" localSheetId="0">#REF!</definedName>
    <definedName name="Upj_fule1_8thyr">#REF!</definedName>
    <definedName name="Upj_fule1_9thyr" localSheetId="0">#REF!</definedName>
    <definedName name="Upj_fule1_9thyr">#REF!</definedName>
    <definedName name="version" localSheetId="0">#REF!</definedName>
    <definedName name="version">#REF!</definedName>
    <definedName name="Xnrb_bl_bio1_yr1" localSheetId="7">[1]Parameters!$D$8</definedName>
    <definedName name="Xnrb_bl_bio1_yr1">[2]Parameters!$D$8</definedName>
    <definedName name="Xnrb_bl_bio1_yr10" localSheetId="7">[1]Parameters!$D$17</definedName>
    <definedName name="Xnrb_bl_bio1_yr10">[2]Parameters!$D$17</definedName>
    <definedName name="Xnrb_bl_bio1_yr2" localSheetId="7">[1]Parameters!$D$9</definedName>
    <definedName name="Xnrb_bl_bio1_yr2">[2]Parameters!$D$9</definedName>
    <definedName name="Xnrb_bl_bio1_yr3" localSheetId="7">[1]Parameters!$D$10</definedName>
    <definedName name="Xnrb_bl_bio1_yr3">[2]Parameters!$D$10</definedName>
    <definedName name="Xnrb_bl_bio1_yr4" localSheetId="7">[1]Parameters!$D$11</definedName>
    <definedName name="Xnrb_bl_bio1_yr4">[2]Parameters!$D$11</definedName>
    <definedName name="Xnrb_bl_bio1_yr5" localSheetId="7">[1]Parameters!$D$12</definedName>
    <definedName name="Xnrb_bl_bio1_yr5">[2]Parameters!$D$12</definedName>
    <definedName name="Xnrb_bl_bio1_yr6" localSheetId="7">[1]Parameters!$D$13</definedName>
    <definedName name="Xnrb_bl_bio1_yr6">[2]Parameters!$D$13</definedName>
    <definedName name="Xnrb_bl_bio1_yr7" localSheetId="7">[1]Parameters!$D$14</definedName>
    <definedName name="Xnrb_bl_bio1_yr7">[2]Parameters!$D$14</definedName>
    <definedName name="Xnrb_bl_bio1_yr8" localSheetId="7">[1]Parameters!$D$15</definedName>
    <definedName name="Xnrb_bl_bio1_yr8">[2]Parameters!$D$15</definedName>
    <definedName name="Xnrb_bl_bio1_yr9" localSheetId="7">[1]Parameters!$D$16</definedName>
    <definedName name="Xnrb_bl_bio1_yr9">[2]Parameters!$D$16</definedName>
    <definedName name="Xnrb_bl_bio2_yr1" localSheetId="7">[1]Parameters!$D$45</definedName>
    <definedName name="Xnrb_bl_bio2_yr1">[2]Parameters!$D$45</definedName>
    <definedName name="Xnrb_bl_bio2_yr10" localSheetId="7">[1]Parameters!$D$54</definedName>
    <definedName name="Xnrb_bl_bio2_yr10">[2]Parameters!$D$54</definedName>
    <definedName name="Xnrb_bl_bio2_yr2" localSheetId="7">[1]Parameters!$D$46</definedName>
    <definedName name="Xnrb_bl_bio2_yr2">[2]Parameters!$D$46</definedName>
    <definedName name="Xnrb_bl_bio2_yr3" localSheetId="7">[1]Parameters!$D$47</definedName>
    <definedName name="Xnrb_bl_bio2_yr3">[2]Parameters!$D$47</definedName>
    <definedName name="Xnrb_bl_bio2_yr4" localSheetId="7">[1]Parameters!$D$48</definedName>
    <definedName name="Xnrb_bl_bio2_yr4">[2]Parameters!$D$48</definedName>
    <definedName name="Xnrb_bl_bio2_yr5" localSheetId="7">[1]Parameters!$D$49</definedName>
    <definedName name="Xnrb_bl_bio2_yr5">[2]Parameters!$D$49</definedName>
    <definedName name="Xnrb_bl_bio2_yr6" localSheetId="7">[1]Parameters!$D$50</definedName>
    <definedName name="Xnrb_bl_bio2_yr6">[2]Parameters!$D$50</definedName>
    <definedName name="Xnrb_bl_bio2_yr7" localSheetId="7">[1]Parameters!$D$51</definedName>
    <definedName name="Xnrb_bl_bio2_yr7">[2]Parameters!$D$51</definedName>
    <definedName name="Xnrb_bl_bio2_yr8" localSheetId="7">[1]Parameters!$D$52</definedName>
    <definedName name="Xnrb_bl_bio2_yr8">[2]Parameters!$D$52</definedName>
    <definedName name="Xnrb_bl_bio2_yr9" localSheetId="7">[1]Parameters!$D$53</definedName>
    <definedName name="Xnrb_bl_bio2_yr9">[2]Parameters!$D$53</definedName>
    <definedName name="Xnrb_bl_bio3_yr1" localSheetId="7">[1]Parameters!$D$94</definedName>
    <definedName name="Xnrb_bl_bio3_yr1">[2]Parameters!$D$94</definedName>
    <definedName name="Xnrb_bl_bio3_yr10" localSheetId="7">[1]Parameters!$D$103</definedName>
    <definedName name="Xnrb_bl_bio3_yr10">[2]Parameters!$D$103</definedName>
    <definedName name="Xnrb_bl_bio3_yr2" localSheetId="7">[1]Parameters!$D$95</definedName>
    <definedName name="Xnrb_bl_bio3_yr2">[2]Parameters!$D$95</definedName>
    <definedName name="Xnrb_bl_bio3_yr3" localSheetId="7">[1]Parameters!$D$96</definedName>
    <definedName name="Xnrb_bl_bio3_yr3">[2]Parameters!$D$96</definedName>
    <definedName name="Xnrb_bl_bio3_yr4" localSheetId="7">[1]Parameters!$D$97</definedName>
    <definedName name="Xnrb_bl_bio3_yr4">[2]Parameters!$D$97</definedName>
    <definedName name="Xnrb_bl_bio3_yr5" localSheetId="7">[1]Parameters!$D$98</definedName>
    <definedName name="Xnrb_bl_bio3_yr5">[2]Parameters!$D$98</definedName>
    <definedName name="Xnrb_bl_bio3_yr6" localSheetId="7">[1]Parameters!$D$99</definedName>
    <definedName name="Xnrb_bl_bio3_yr6">[2]Parameters!$D$99</definedName>
    <definedName name="Xnrb_bl_bio3_yr7" localSheetId="7">[1]Parameters!$D$100</definedName>
    <definedName name="Xnrb_bl_bio3_yr7">[2]Parameters!$D$100</definedName>
    <definedName name="Xnrb_bl_bio3_yr8" localSheetId="7">[1]Parameters!$D$101</definedName>
    <definedName name="Xnrb_bl_bio3_yr8">[2]Parameters!$D$101</definedName>
    <definedName name="Xnrb_bl_bio3_yr9" localSheetId="7">[1]Parameters!$D$102</definedName>
    <definedName name="Xnrb_bl_bio3_yr9">[2]Parameters!$D$102</definedName>
    <definedName name="Xnrb_bl_y1" localSheetId="0">#REF!</definedName>
    <definedName name="Xnrb_bl_y1" localSheetId="3">#REF!</definedName>
    <definedName name="Xnrb_bl_y1" localSheetId="7">#REF!</definedName>
    <definedName name="Xnrb_bl_y1">#REF!</definedName>
    <definedName name="Xnrb_bl_y10" localSheetId="0">#REF!</definedName>
    <definedName name="Xnrb_bl_y10">#REF!</definedName>
    <definedName name="Xnrb_bl_y2" localSheetId="0">#REF!</definedName>
    <definedName name="Xnrb_bl_y2">#REF!</definedName>
    <definedName name="Xnrb_bl_y3" localSheetId="0">#REF!</definedName>
    <definedName name="Xnrb_bl_y3">#REF!</definedName>
    <definedName name="Xnrb_bl_y4" localSheetId="0">#REF!</definedName>
    <definedName name="Xnrb_bl_y4">#REF!</definedName>
    <definedName name="Xnrb_bl_y5" localSheetId="0">#REF!</definedName>
    <definedName name="Xnrb_bl_y5">#REF!</definedName>
    <definedName name="Xnrb_bl_y6" localSheetId="0">#REF!</definedName>
    <definedName name="Xnrb_bl_y6">#REF!</definedName>
    <definedName name="Xnrb_bl_y7" localSheetId="0">#REF!</definedName>
    <definedName name="Xnrb_bl_y7">#REF!</definedName>
    <definedName name="Xnrb_bl_y8" localSheetId="0">#REF!</definedName>
    <definedName name="Xnrb_bl_y8">#REF!</definedName>
    <definedName name="Xnrb_bl_y9" localSheetId="0">#REF!</definedName>
    <definedName name="Xnrb_bl_y9">#REF!</definedName>
    <definedName name="Xnrb_pj_bio1_yr1" localSheetId="7">[1]Parameters!$J$8</definedName>
    <definedName name="Xnrb_pj_bio1_yr1">[2]Parameters!$J$8</definedName>
    <definedName name="Xnrb_pj_bio1_yr10" localSheetId="7">[1]Parameters!$J$17</definedName>
    <definedName name="Xnrb_pj_bio1_yr10">[2]Parameters!$J$17</definedName>
    <definedName name="Xnrb_pj_bio1_yr2" localSheetId="7">[1]Parameters!$J$9</definedName>
    <definedName name="Xnrb_pj_bio1_yr2">[2]Parameters!$J$9</definedName>
    <definedName name="Xnrb_pj_bio1_yr3" localSheetId="7">[1]Parameters!$J$10</definedName>
    <definedName name="Xnrb_pj_bio1_yr3">[2]Parameters!$J$10</definedName>
    <definedName name="Xnrb_pj_bio1_yr4" localSheetId="7">[1]Parameters!$J$11</definedName>
    <definedName name="Xnrb_pj_bio1_yr4">[2]Parameters!$J$11</definedName>
    <definedName name="Xnrb_pj_bio1_yr5" localSheetId="7">[1]Parameters!$J$12</definedName>
    <definedName name="Xnrb_pj_bio1_yr5">[2]Parameters!$J$12</definedName>
    <definedName name="Xnrb_pj_bio1_yr6" localSheetId="7">[1]Parameters!$J$13</definedName>
    <definedName name="Xnrb_pj_bio1_yr6">[2]Parameters!$J$13</definedName>
    <definedName name="Xnrb_pj_bio1_yr7" localSheetId="7">[1]Parameters!$J$14</definedName>
    <definedName name="Xnrb_pj_bio1_yr7">[2]Parameters!$J$14</definedName>
    <definedName name="Xnrb_pj_bio1_yr8" localSheetId="7">[1]Parameters!$J$15</definedName>
    <definedName name="Xnrb_pj_bio1_yr8">[2]Parameters!$J$15</definedName>
    <definedName name="Xnrb_pj_bio1_yr9" localSheetId="7">[1]Parameters!$J$16</definedName>
    <definedName name="Xnrb_pj_bio1_yr9">[2]Parameters!$J$16</definedName>
    <definedName name="Xnrb_pj_bio2_yr1" localSheetId="7">[1]Parameters!$J$45</definedName>
    <definedName name="Xnrb_pj_bio2_yr1">[2]Parameters!$J$45</definedName>
    <definedName name="Xnrb_pj_bio2_yr10" localSheetId="7">[1]Parameters!$J$54</definedName>
    <definedName name="Xnrb_pj_bio2_yr10">[2]Parameters!$J$54</definedName>
    <definedName name="Xnrb_pj_bio2_yr2" localSheetId="7">[1]Parameters!$J$46</definedName>
    <definedName name="Xnrb_pj_bio2_yr2">[2]Parameters!$J$46</definedName>
    <definedName name="Xnrb_pj_bio2_yr3" localSheetId="7">[1]Parameters!$J$47</definedName>
    <definedName name="Xnrb_pj_bio2_yr3">[2]Parameters!$J$47</definedName>
    <definedName name="Xnrb_pj_bio2_yr4" localSheetId="7">[1]Parameters!$J$48</definedName>
    <definedName name="Xnrb_pj_bio2_yr4">[2]Parameters!$J$48</definedName>
    <definedName name="Xnrb_pj_bio2_yr5" localSheetId="7">[1]Parameters!$J$49</definedName>
    <definedName name="Xnrb_pj_bio2_yr5">[2]Parameters!$J$49</definedName>
    <definedName name="Xnrb_pj_bio2_yr6" localSheetId="7">[1]Parameters!$J$50</definedName>
    <definedName name="Xnrb_pj_bio2_yr6">[2]Parameters!$J$50</definedName>
    <definedName name="Xnrb_pj_bio2_yr7" localSheetId="7">[1]Parameters!$J$51</definedName>
    <definedName name="Xnrb_pj_bio2_yr7">[2]Parameters!$J$51</definedName>
    <definedName name="Xnrb_pj_bio2_yr8" localSheetId="7">[1]Parameters!$J$52</definedName>
    <definedName name="Xnrb_pj_bio2_yr8">[2]Parameters!$J$52</definedName>
    <definedName name="Xnrb_pj_bio2_yr9" localSheetId="7">[1]Parameters!$J$53</definedName>
    <definedName name="Xnrb_pj_bio2_yr9">[2]Parameters!$J$53</definedName>
    <definedName name="Xnrb_pj_bio3_yr1" localSheetId="7">[1]Parameters!$J$94</definedName>
    <definedName name="Xnrb_pj_bio3_yr1">[2]Parameters!$J$94</definedName>
    <definedName name="Xnrb_pj_bio3_yr10" localSheetId="7">[1]Parameters!$J$103</definedName>
    <definedName name="Xnrb_pj_bio3_yr10">[2]Parameters!$J$103</definedName>
    <definedName name="Xnrb_pj_bio3_yr2" localSheetId="7">[1]Parameters!$J$95</definedName>
    <definedName name="Xnrb_pj_bio3_yr2">[2]Parameters!$J$95</definedName>
    <definedName name="Xnrb_pj_bio3_yr3" localSheetId="7">[1]Parameters!$J$96</definedName>
    <definedName name="Xnrb_pj_bio3_yr3">[2]Parameters!$J$96</definedName>
    <definedName name="Xnrb_pj_bio3_yr4" localSheetId="7">[1]Parameters!$J$97</definedName>
    <definedName name="Xnrb_pj_bio3_yr4">[2]Parameters!$J$97</definedName>
    <definedName name="Xnrb_pj_bio3_yr5" localSheetId="7">[1]Parameters!$J$98</definedName>
    <definedName name="Xnrb_pj_bio3_yr5">[2]Parameters!$J$98</definedName>
    <definedName name="Xnrb_pj_bio3_yr6" localSheetId="7">[1]Parameters!$J$99</definedName>
    <definedName name="Xnrb_pj_bio3_yr6">[2]Parameters!$J$99</definedName>
    <definedName name="Xnrb_pj_bio3_yr7" localSheetId="7">[1]Parameters!$J$100</definedName>
    <definedName name="Xnrb_pj_bio3_yr7">[2]Parameters!$J$100</definedName>
    <definedName name="Xnrb_pj_bio3_yr8" localSheetId="7">[1]Parameters!$J$101</definedName>
    <definedName name="Xnrb_pj_bio3_yr8">[2]Parameters!$J$101</definedName>
    <definedName name="Xnrb_pj_bio3_yr9" localSheetId="7">[1]Parameters!$J$102</definedName>
    <definedName name="Xnrb_pj_bio3_yr9">[2]Parameters!$J$102</definedName>
    <definedName name="year1" localSheetId="0">'[2]HH Carbon Calculator'!#REF!</definedName>
    <definedName name="year1" localSheetId="7">'[1]HH Carbon Calculator'!#REF!</definedName>
    <definedName name="year1">'[2]HH Carbon Calculator'!#REF!</definedName>
    <definedName name="year2" localSheetId="0">'[2]HH Carbon Calculator'!#REF!</definedName>
    <definedName name="year2" localSheetId="7">'[1]HH Carbon Calculator'!#REF!</definedName>
    <definedName name="year2">'[2]HH Carbon Calculator'!#REF!</definedName>
    <definedName name="year3" localSheetId="0">#REF!</definedName>
    <definedName name="year3" localSheetId="3">#REF!</definedName>
    <definedName name="year3" localSheetId="7">#REF!</definedName>
    <definedName name="year3">#REF!</definedName>
    <definedName name="year4" localSheetId="0">'[10]HH Carbon Calculator'!#REF!</definedName>
    <definedName name="year4" localSheetId="3">'[10]HH Carbon Calculator'!#REF!</definedName>
    <definedName name="year4" localSheetId="7">'[11]HH Carbon Calculator'!#REF!</definedName>
    <definedName name="year4">'[10]HH Carbon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48" l="1"/>
  <c r="V6" i="48"/>
  <c r="V7" i="48"/>
  <c r="V8" i="48"/>
  <c r="V9" i="48"/>
  <c r="V10" i="48"/>
  <c r="V11" i="48"/>
  <c r="V12" i="48"/>
  <c r="V13" i="48"/>
  <c r="V14" i="48"/>
  <c r="V15" i="48"/>
  <c r="V16" i="48"/>
  <c r="V17" i="48"/>
  <c r="V18" i="48"/>
  <c r="V19" i="48"/>
  <c r="V20" i="48"/>
  <c r="V21" i="48"/>
  <c r="V22" i="48"/>
  <c r="V23" i="48"/>
  <c r="V24" i="48"/>
  <c r="V25" i="48"/>
  <c r="V26" i="48"/>
  <c r="V27" i="48"/>
  <c r="V28" i="48"/>
  <c r="V29" i="48"/>
  <c r="V30" i="48"/>
  <c r="V31" i="48"/>
  <c r="V32" i="48"/>
  <c r="V33" i="48"/>
  <c r="V34" i="48"/>
  <c r="V35" i="48"/>
  <c r="V36" i="48"/>
  <c r="V37" i="48"/>
  <c r="V38" i="48"/>
  <c r="V39" i="48"/>
  <c r="V40" i="48"/>
  <c r="D18" i="8"/>
  <c r="H11" i="57"/>
  <c r="G11" i="57"/>
  <c r="H10" i="57"/>
  <c r="G10" i="57"/>
  <c r="H9" i="57"/>
  <c r="G9" i="57"/>
  <c r="H8" i="57"/>
  <c r="G8" i="57"/>
  <c r="V41" i="48" l="1"/>
  <c r="F8" i="8"/>
  <c r="F15" i="8"/>
  <c r="E18" i="8"/>
  <c r="F18" i="8"/>
  <c r="D19" i="8"/>
  <c r="E19" i="8"/>
  <c r="E20" i="8" s="1"/>
  <c r="F19" i="8"/>
  <c r="D20" i="8" l="1"/>
  <c r="F20" i="8"/>
  <c r="F9" i="8" s="1"/>
  <c r="F903" i="48"/>
  <c r="F902" i="48"/>
  <c r="F901" i="48"/>
  <c r="F900" i="48"/>
  <c r="F899" i="48"/>
  <c r="F898" i="48"/>
  <c r="F897" i="48"/>
  <c r="F896" i="48"/>
  <c r="F895" i="48"/>
  <c r="F894" i="48"/>
  <c r="F893" i="48"/>
  <c r="F892" i="48"/>
  <c r="F891" i="48"/>
  <c r="F890" i="48"/>
  <c r="F889" i="48"/>
  <c r="F888" i="48"/>
  <c r="F887" i="48"/>
  <c r="F886" i="48"/>
  <c r="F885" i="48"/>
  <c r="F884" i="48"/>
  <c r="F883" i="48"/>
  <c r="F882" i="48"/>
  <c r="F881" i="48"/>
  <c r="F880" i="48"/>
  <c r="F879" i="48"/>
  <c r="F878" i="48"/>
  <c r="F877" i="48"/>
  <c r="F876" i="48"/>
  <c r="F875" i="48"/>
  <c r="F874" i="48"/>
  <c r="F873" i="48"/>
  <c r="F872" i="48"/>
  <c r="F871" i="48"/>
  <c r="F869" i="48"/>
  <c r="F870" i="48"/>
  <c r="F867" i="48"/>
  <c r="F865" i="48"/>
  <c r="F863" i="48"/>
  <c r="F868" i="48"/>
  <c r="F866" i="48"/>
  <c r="F864" i="48"/>
  <c r="F861" i="48"/>
  <c r="F862" i="48"/>
  <c r="F860" i="48"/>
  <c r="F859" i="48"/>
  <c r="F858" i="48"/>
  <c r="F857" i="48"/>
  <c r="F856" i="48"/>
  <c r="F855" i="48"/>
  <c r="F852" i="48"/>
  <c r="F854" i="48"/>
  <c r="F853" i="48"/>
  <c r="F851" i="48"/>
  <c r="F850" i="48"/>
  <c r="F849" i="48"/>
  <c r="F847" i="48"/>
  <c r="F845" i="48"/>
  <c r="F848" i="48"/>
  <c r="F846" i="48"/>
  <c r="F844" i="48"/>
  <c r="F843" i="48"/>
  <c r="F842" i="48"/>
  <c r="F841" i="48"/>
  <c r="F839" i="48"/>
  <c r="F837" i="48"/>
  <c r="F840" i="48"/>
  <c r="F838" i="48"/>
  <c r="F836" i="48"/>
  <c r="F835" i="48"/>
  <c r="F834" i="48"/>
  <c r="F833" i="48"/>
  <c r="F831" i="48"/>
  <c r="F832" i="48"/>
  <c r="F830" i="48"/>
  <c r="F829" i="48"/>
  <c r="F828" i="48"/>
  <c r="F827" i="48"/>
  <c r="F825" i="48"/>
  <c r="F823" i="48"/>
  <c r="F826" i="48"/>
  <c r="F824" i="48"/>
  <c r="F822" i="48"/>
  <c r="F821" i="48"/>
  <c r="F820" i="48"/>
  <c r="F819" i="48"/>
  <c r="F817" i="48"/>
  <c r="F815" i="48"/>
  <c r="F818" i="48"/>
  <c r="F816" i="48"/>
  <c r="F814" i="48"/>
  <c r="F813" i="48"/>
  <c r="F812" i="48"/>
  <c r="F811" i="48"/>
  <c r="F809" i="48"/>
  <c r="F810" i="48"/>
  <c r="F808" i="48"/>
  <c r="F807" i="48"/>
  <c r="F806" i="48"/>
  <c r="F805" i="48"/>
  <c r="F803" i="48"/>
  <c r="F801" i="48"/>
  <c r="F804" i="48"/>
  <c r="F802" i="48"/>
  <c r="F800" i="48"/>
  <c r="F799" i="48"/>
  <c r="F798" i="48"/>
  <c r="F797" i="48"/>
  <c r="F795" i="48"/>
  <c r="F793" i="48"/>
  <c r="F796" i="48"/>
  <c r="F794" i="48"/>
  <c r="F792" i="48"/>
  <c r="F790" i="48"/>
  <c r="F791" i="48"/>
  <c r="F789" i="48"/>
  <c r="F787" i="48"/>
  <c r="F788" i="48"/>
  <c r="F786" i="48"/>
  <c r="F785" i="48"/>
  <c r="F784" i="48"/>
  <c r="F783" i="48"/>
  <c r="F781" i="48"/>
  <c r="F779" i="48"/>
  <c r="F782" i="48"/>
  <c r="F780" i="48"/>
  <c r="F778" i="48"/>
  <c r="F777" i="48"/>
  <c r="F776" i="48"/>
  <c r="F775" i="48"/>
  <c r="F773" i="48"/>
  <c r="F771" i="48"/>
  <c r="F774" i="48"/>
  <c r="F772" i="48"/>
  <c r="F770" i="48"/>
  <c r="F769" i="48"/>
  <c r="F768" i="48"/>
  <c r="F767" i="48"/>
  <c r="F765" i="48"/>
  <c r="F766" i="48"/>
  <c r="F764" i="48"/>
  <c r="F763" i="48"/>
  <c r="F762" i="48"/>
  <c r="F760" i="48"/>
  <c r="F759" i="48"/>
  <c r="F757" i="48"/>
  <c r="F761" i="48"/>
  <c r="F758" i="48"/>
  <c r="F756" i="48"/>
  <c r="F755" i="48"/>
  <c r="F754" i="48"/>
  <c r="F753" i="48"/>
  <c r="F751" i="48"/>
  <c r="F749" i="48"/>
  <c r="F752" i="48"/>
  <c r="F750" i="48"/>
  <c r="F748" i="48"/>
  <c r="F747" i="48"/>
  <c r="F746" i="48"/>
  <c r="F745" i="48"/>
  <c r="F743" i="48"/>
  <c r="F744" i="48"/>
  <c r="F742" i="48"/>
  <c r="F741" i="48"/>
  <c r="F740" i="48"/>
  <c r="F739" i="48"/>
  <c r="F737" i="48"/>
  <c r="F735" i="48"/>
  <c r="F738" i="48"/>
  <c r="F736" i="48"/>
  <c r="F734" i="48"/>
  <c r="F733" i="48"/>
  <c r="F732" i="48"/>
  <c r="F730" i="48"/>
  <c r="F729" i="48"/>
  <c r="F727" i="48"/>
  <c r="F731" i="48"/>
  <c r="F728" i="48"/>
  <c r="F726" i="48"/>
  <c r="F725" i="48"/>
  <c r="F724" i="48"/>
  <c r="F723" i="48"/>
  <c r="F721" i="48"/>
  <c r="F722" i="48"/>
  <c r="F720" i="48"/>
  <c r="F719" i="48"/>
  <c r="F718" i="48"/>
  <c r="F717" i="48"/>
  <c r="F715" i="48"/>
  <c r="F713" i="48"/>
  <c r="F716" i="48"/>
  <c r="F714" i="48"/>
  <c r="F712" i="48"/>
  <c r="F711" i="48"/>
  <c r="F710" i="48"/>
  <c r="F709" i="48"/>
  <c r="F707" i="48"/>
  <c r="F708" i="48"/>
  <c r="F706" i="48"/>
  <c r="F705" i="48"/>
  <c r="F703" i="48"/>
  <c r="F704" i="48"/>
  <c r="F702" i="48"/>
  <c r="F701" i="48"/>
  <c r="F699" i="48"/>
  <c r="F700" i="48"/>
  <c r="F698" i="48"/>
  <c r="F697" i="48"/>
  <c r="F696" i="48"/>
  <c r="F695" i="48"/>
  <c r="F694" i="48"/>
  <c r="F691" i="48"/>
  <c r="F688" i="48"/>
  <c r="F693" i="48"/>
  <c r="F690" i="48"/>
  <c r="F687" i="48"/>
  <c r="F692" i="48"/>
  <c r="F689" i="48"/>
  <c r="F686" i="48"/>
  <c r="F685" i="48"/>
  <c r="F684" i="48"/>
  <c r="F683" i="48"/>
  <c r="F682" i="48"/>
  <c r="F678" i="48"/>
  <c r="F681" i="48"/>
  <c r="F679" i="48"/>
  <c r="F680" i="48"/>
  <c r="F677" i="48"/>
  <c r="F675" i="48"/>
  <c r="F676" i="48"/>
  <c r="F674" i="48"/>
  <c r="F673" i="48"/>
  <c r="F670" i="48"/>
  <c r="F667" i="48"/>
  <c r="F672" i="48"/>
  <c r="F669" i="48"/>
  <c r="F666" i="48"/>
  <c r="F671" i="48"/>
  <c r="F668" i="48"/>
  <c r="F665" i="48"/>
  <c r="F664" i="48"/>
  <c r="F663" i="48"/>
  <c r="F662" i="48"/>
  <c r="F661" i="48"/>
  <c r="F658" i="48"/>
  <c r="F653" i="48"/>
  <c r="F660" i="48"/>
  <c r="F657" i="48"/>
  <c r="F655" i="48"/>
  <c r="F659" i="48"/>
  <c r="F656" i="48"/>
  <c r="F654" i="48"/>
  <c r="F652" i="48"/>
  <c r="F651" i="48"/>
  <c r="F650" i="48"/>
  <c r="F649" i="48"/>
  <c r="F648" i="48"/>
  <c r="F645" i="48"/>
  <c r="F647" i="48"/>
  <c r="F644" i="48"/>
  <c r="F646" i="48"/>
  <c r="F643" i="48"/>
  <c r="F642" i="48"/>
  <c r="F641" i="48"/>
  <c r="F640" i="48"/>
  <c r="F639" i="48"/>
  <c r="F636" i="48"/>
  <c r="F633" i="48"/>
  <c r="F638" i="48"/>
  <c r="F635" i="48"/>
  <c r="F632" i="48"/>
  <c r="F637" i="48"/>
  <c r="F634" i="48"/>
  <c r="F631" i="48"/>
  <c r="F630" i="48"/>
  <c r="F629" i="48"/>
  <c r="F628" i="48"/>
  <c r="F627" i="48"/>
  <c r="F624" i="48"/>
  <c r="F621" i="48"/>
  <c r="F626" i="48"/>
  <c r="F623" i="48"/>
  <c r="F620" i="48"/>
  <c r="F625" i="48"/>
  <c r="F622" i="48"/>
  <c r="F619" i="48"/>
  <c r="F618" i="48"/>
  <c r="F616" i="48"/>
  <c r="F615" i="48"/>
  <c r="F617" i="48"/>
  <c r="F614" i="48"/>
  <c r="F611" i="48"/>
  <c r="F613" i="48"/>
  <c r="F610" i="48"/>
  <c r="F612" i="48"/>
  <c r="F609" i="48"/>
  <c r="F608" i="48"/>
  <c r="F607" i="48"/>
  <c r="F606" i="48"/>
  <c r="F605" i="48"/>
  <c r="F602" i="48"/>
  <c r="F599" i="48"/>
  <c r="F604" i="48"/>
  <c r="F601" i="48"/>
  <c r="F597" i="48"/>
  <c r="F603" i="48"/>
  <c r="F600" i="48"/>
  <c r="F598" i="48"/>
  <c r="F596" i="48"/>
  <c r="F594" i="48"/>
  <c r="F595" i="48"/>
  <c r="F593" i="48"/>
  <c r="F590" i="48"/>
  <c r="F587" i="48"/>
  <c r="F591" i="48"/>
  <c r="F588" i="48"/>
  <c r="F585" i="48"/>
  <c r="F592" i="48"/>
  <c r="F589" i="48"/>
  <c r="F586" i="48"/>
  <c r="F584" i="48"/>
  <c r="F582" i="48"/>
  <c r="F583" i="48"/>
  <c r="F581" i="48"/>
  <c r="F578" i="48"/>
  <c r="F579" i="48"/>
  <c r="F576" i="48"/>
  <c r="F580" i="48"/>
  <c r="F577" i="48"/>
  <c r="F574" i="48"/>
  <c r="F573" i="48"/>
  <c r="F575" i="48"/>
  <c r="F572" i="48"/>
  <c r="F568" i="48"/>
  <c r="F565" i="48"/>
  <c r="F571" i="48"/>
  <c r="F567" i="48"/>
  <c r="F564" i="48"/>
  <c r="F570" i="48"/>
  <c r="F569" i="48"/>
  <c r="F566" i="48"/>
  <c r="F562" i="48"/>
  <c r="F561" i="48"/>
  <c r="F563" i="48"/>
  <c r="F555" i="48"/>
  <c r="F556" i="48"/>
  <c r="F559" i="48"/>
  <c r="F553" i="48"/>
  <c r="F550" i="48"/>
  <c r="F557" i="48"/>
  <c r="F552" i="48"/>
  <c r="F549" i="48"/>
  <c r="F558" i="48"/>
  <c r="F560" i="48"/>
  <c r="F554" i="48"/>
  <c r="F551" i="48"/>
  <c r="F547" i="48"/>
  <c r="F546" i="48"/>
  <c r="F548" i="48"/>
  <c r="F545" i="48"/>
  <c r="F542" i="48"/>
  <c r="F544" i="48"/>
  <c r="F541" i="48"/>
  <c r="F543" i="48"/>
  <c r="F540" i="48"/>
  <c r="F539" i="48"/>
  <c r="F538" i="48"/>
  <c r="F537" i="48"/>
  <c r="F536" i="48"/>
  <c r="F532" i="48"/>
  <c r="F529" i="48"/>
  <c r="F535" i="48"/>
  <c r="F531" i="48"/>
  <c r="F528" i="48"/>
  <c r="F534" i="48"/>
  <c r="F533" i="48"/>
  <c r="F530" i="48"/>
  <c r="F526" i="48"/>
  <c r="F525" i="48"/>
  <c r="F527" i="48"/>
  <c r="F524" i="48"/>
  <c r="F521" i="48"/>
  <c r="F517" i="48"/>
  <c r="F523" i="48"/>
  <c r="F520" i="48"/>
  <c r="F516" i="48"/>
  <c r="F522" i="48"/>
  <c r="F518" i="48"/>
  <c r="F519" i="48"/>
  <c r="F515" i="48"/>
  <c r="F514" i="48"/>
  <c r="F513" i="48"/>
  <c r="F512" i="48"/>
  <c r="F509" i="48"/>
  <c r="F508" i="48"/>
  <c r="F510" i="48"/>
  <c r="F506" i="48"/>
  <c r="F511" i="48"/>
  <c r="F507" i="48"/>
  <c r="F505" i="48"/>
  <c r="F503" i="48"/>
  <c r="F504" i="48"/>
  <c r="F502" i="48"/>
  <c r="F499" i="48"/>
  <c r="F496" i="48"/>
  <c r="F500" i="48"/>
  <c r="F497" i="48"/>
  <c r="F494" i="48"/>
  <c r="F501" i="48"/>
  <c r="F498" i="48"/>
  <c r="F495" i="48"/>
  <c r="F493" i="48"/>
  <c r="F491" i="48"/>
  <c r="F492" i="48"/>
  <c r="F490" i="48"/>
  <c r="F486" i="48"/>
  <c r="F483" i="48"/>
  <c r="F488" i="48"/>
  <c r="F485" i="48"/>
  <c r="F481" i="48"/>
  <c r="F489" i="48"/>
  <c r="F484" i="48"/>
  <c r="F487" i="48"/>
  <c r="F482" i="48"/>
  <c r="F480" i="48"/>
  <c r="F478" i="48"/>
  <c r="F479" i="48"/>
  <c r="F477" i="48"/>
  <c r="F474" i="48"/>
  <c r="F476" i="48"/>
  <c r="F472" i="48"/>
  <c r="F475" i="48"/>
  <c r="F473" i="48"/>
  <c r="F471" i="48"/>
  <c r="F469" i="48"/>
  <c r="F470" i="48"/>
  <c r="F468" i="48"/>
  <c r="F463" i="48"/>
  <c r="F462" i="48"/>
  <c r="F466" i="48"/>
  <c r="F464" i="48"/>
  <c r="F460" i="48"/>
  <c r="F467" i="48"/>
  <c r="F465" i="48"/>
  <c r="F461" i="48"/>
  <c r="F459" i="48"/>
  <c r="F457" i="48"/>
  <c r="F458" i="48"/>
  <c r="F456" i="48"/>
  <c r="F453" i="48"/>
  <c r="F454" i="48"/>
  <c r="F451" i="48"/>
  <c r="F455" i="48"/>
  <c r="F452" i="48"/>
  <c r="F450" i="48"/>
  <c r="F447" i="48"/>
  <c r="F448" i="48"/>
  <c r="F445" i="48"/>
  <c r="F449" i="48"/>
  <c r="F444" i="48"/>
  <c r="F446" i="48"/>
  <c r="F443" i="48"/>
  <c r="F439" i="48"/>
  <c r="F441" i="48"/>
  <c r="F438" i="48"/>
  <c r="F442" i="48"/>
  <c r="F440" i="48"/>
  <c r="F436" i="48"/>
  <c r="F435" i="48"/>
  <c r="F437" i="48"/>
  <c r="F434" i="48"/>
  <c r="F431" i="48"/>
  <c r="F427" i="48"/>
  <c r="F432" i="48"/>
  <c r="F430" i="48"/>
  <c r="F426" i="48"/>
  <c r="F433" i="48"/>
  <c r="F429" i="48"/>
  <c r="F428" i="48"/>
  <c r="F424" i="48"/>
  <c r="F425" i="48"/>
  <c r="F423" i="48"/>
  <c r="F422" i="48"/>
  <c r="F421" i="48"/>
  <c r="F417" i="48"/>
  <c r="F419" i="48"/>
  <c r="F416" i="48"/>
  <c r="F420" i="48"/>
  <c r="F418" i="48"/>
  <c r="F414" i="48"/>
  <c r="F413" i="48"/>
  <c r="F415" i="48"/>
  <c r="F412" i="48"/>
  <c r="F411" i="48"/>
  <c r="F410" i="48"/>
  <c r="F409" i="48"/>
  <c r="F408" i="48"/>
  <c r="F407" i="48"/>
  <c r="F406" i="48"/>
  <c r="F405" i="48"/>
  <c r="F404" i="48"/>
  <c r="F403" i="48"/>
  <c r="F402" i="48"/>
  <c r="F401" i="48"/>
  <c r="F400" i="48"/>
  <c r="F399" i="48"/>
  <c r="F398" i="48"/>
  <c r="F397" i="48"/>
  <c r="F395" i="48"/>
  <c r="F396" i="48"/>
  <c r="F394" i="48"/>
  <c r="F393" i="48"/>
  <c r="F392" i="48"/>
  <c r="F391" i="48"/>
  <c r="F390" i="48"/>
  <c r="F389" i="48"/>
  <c r="F388" i="48"/>
  <c r="F387" i="48"/>
  <c r="F386" i="48"/>
  <c r="F385" i="48"/>
  <c r="F383" i="48"/>
  <c r="F384" i="48"/>
  <c r="F382" i="48"/>
  <c r="F381" i="48"/>
  <c r="F380" i="48"/>
  <c r="F379" i="48"/>
  <c r="F378" i="48"/>
  <c r="F376" i="48"/>
  <c r="F377" i="48"/>
  <c r="F375" i="48"/>
  <c r="F374" i="48"/>
  <c r="F373" i="48"/>
  <c r="F372" i="48"/>
  <c r="F369" i="48"/>
  <c r="F367" i="48"/>
  <c r="F371" i="48"/>
  <c r="F370" i="48"/>
  <c r="F368" i="48"/>
  <c r="F366" i="48"/>
  <c r="F365" i="48"/>
  <c r="F364" i="48"/>
  <c r="F363" i="48"/>
  <c r="F361" i="48"/>
  <c r="F359" i="48"/>
  <c r="F362" i="48"/>
  <c r="F360" i="48"/>
  <c r="F358" i="48"/>
  <c r="F357" i="48"/>
  <c r="F356" i="48"/>
  <c r="F355" i="48"/>
  <c r="F354" i="48"/>
  <c r="F353" i="48"/>
  <c r="F351" i="48"/>
  <c r="F352" i="48"/>
  <c r="F348" i="48"/>
  <c r="F346" i="48"/>
  <c r="F349" i="48"/>
  <c r="F350" i="48"/>
  <c r="F347" i="48"/>
  <c r="F345" i="48"/>
  <c r="F344" i="48"/>
  <c r="F343" i="48"/>
  <c r="F342" i="48"/>
  <c r="F339" i="48"/>
  <c r="F337" i="48"/>
  <c r="F340" i="48"/>
  <c r="F341" i="48"/>
  <c r="F338" i="48"/>
  <c r="F336" i="48"/>
  <c r="F335" i="48"/>
  <c r="F334" i="48"/>
  <c r="F333" i="48"/>
  <c r="F332" i="48"/>
  <c r="F331" i="48"/>
  <c r="F330" i="48"/>
  <c r="F329" i="48"/>
  <c r="F327" i="48"/>
  <c r="F325" i="48"/>
  <c r="F328" i="48"/>
  <c r="F326" i="48"/>
  <c r="F323" i="48"/>
  <c r="F324" i="48"/>
  <c r="F322" i="48"/>
  <c r="F321" i="48"/>
  <c r="F320" i="48"/>
  <c r="F318" i="48"/>
  <c r="F319" i="48"/>
  <c r="F317" i="48"/>
  <c r="F316" i="48"/>
  <c r="F315" i="48"/>
  <c r="F314" i="48"/>
  <c r="F313" i="48"/>
  <c r="F310" i="48"/>
  <c r="F307" i="48"/>
  <c r="F312" i="48"/>
  <c r="F309" i="48"/>
  <c r="F306" i="48"/>
  <c r="F311" i="48"/>
  <c r="F308" i="48"/>
  <c r="F305" i="48"/>
  <c r="F304" i="48"/>
  <c r="F303" i="48"/>
  <c r="F302" i="48"/>
  <c r="F299" i="48"/>
  <c r="F295" i="48"/>
  <c r="F301" i="48"/>
  <c r="F298" i="48"/>
  <c r="F294" i="48"/>
  <c r="F300" i="48"/>
  <c r="F297" i="48"/>
  <c r="F296" i="48"/>
  <c r="F293" i="48"/>
  <c r="F292" i="48"/>
  <c r="F291" i="48"/>
  <c r="F290" i="48"/>
  <c r="F289" i="48"/>
  <c r="F286" i="48"/>
  <c r="F288" i="48"/>
  <c r="F285" i="48"/>
  <c r="F287" i="48"/>
  <c r="F284" i="48"/>
  <c r="F283" i="48"/>
  <c r="F282" i="48"/>
  <c r="F281" i="48"/>
  <c r="F280" i="48"/>
  <c r="F277" i="48"/>
  <c r="F272" i="48"/>
  <c r="F279" i="48"/>
  <c r="F276" i="48"/>
  <c r="F273" i="48"/>
  <c r="F278" i="48"/>
  <c r="F275" i="48"/>
  <c r="F271" i="48"/>
  <c r="F274" i="48"/>
  <c r="F270" i="48"/>
  <c r="F269" i="48"/>
  <c r="F268" i="48"/>
  <c r="F267" i="48"/>
  <c r="F264" i="48"/>
  <c r="F261" i="48"/>
  <c r="F266" i="48"/>
  <c r="F263" i="48"/>
  <c r="F260" i="48"/>
  <c r="F265" i="48"/>
  <c r="F262" i="48"/>
  <c r="F259" i="48"/>
  <c r="F258" i="48"/>
  <c r="F257" i="48"/>
  <c r="F256" i="48"/>
  <c r="F255" i="48"/>
  <c r="F252" i="48"/>
  <c r="F254" i="48"/>
  <c r="F251" i="48"/>
  <c r="F253" i="48"/>
  <c r="F250" i="48"/>
  <c r="F249" i="48"/>
  <c r="F248" i="48"/>
  <c r="F247" i="48"/>
  <c r="F246" i="48"/>
  <c r="F242" i="48"/>
  <c r="F239" i="48"/>
  <c r="F245" i="48"/>
  <c r="F241" i="48"/>
  <c r="F238" i="48"/>
  <c r="F244" i="48"/>
  <c r="F243" i="48"/>
  <c r="F240" i="48"/>
  <c r="F237" i="48"/>
  <c r="F236" i="48"/>
  <c r="F235" i="48"/>
  <c r="F234" i="48"/>
  <c r="F233" i="48"/>
  <c r="F230" i="48"/>
  <c r="F227" i="48"/>
  <c r="F232" i="48"/>
  <c r="F229" i="48"/>
  <c r="F226" i="48"/>
  <c r="F231" i="48"/>
  <c r="F228" i="48"/>
  <c r="F225" i="48"/>
  <c r="F224" i="48"/>
  <c r="F223" i="48"/>
  <c r="F222" i="48"/>
  <c r="F221" i="48"/>
  <c r="F218" i="48"/>
  <c r="F220" i="48"/>
  <c r="F217" i="48"/>
  <c r="F219" i="48"/>
  <c r="F216" i="48"/>
  <c r="F215" i="48"/>
  <c r="F214" i="48"/>
  <c r="F213" i="48"/>
  <c r="F212" i="48"/>
  <c r="F209" i="48"/>
  <c r="F206" i="48"/>
  <c r="F211" i="48"/>
  <c r="F208" i="48"/>
  <c r="F205" i="48"/>
  <c r="F210" i="48"/>
  <c r="F207" i="48"/>
  <c r="F204" i="48"/>
  <c r="F203" i="48"/>
  <c r="F202" i="48"/>
  <c r="F201" i="48"/>
  <c r="F200" i="48"/>
  <c r="F197" i="48"/>
  <c r="F199" i="48"/>
  <c r="F196" i="48"/>
  <c r="F198" i="48"/>
  <c r="F195" i="48"/>
  <c r="F194" i="48"/>
  <c r="F191" i="48"/>
  <c r="F193" i="48"/>
  <c r="F190" i="48"/>
  <c r="F192" i="48"/>
  <c r="F189" i="48"/>
  <c r="F188" i="48"/>
  <c r="F185" i="48"/>
  <c r="F187" i="48"/>
  <c r="F184" i="48"/>
  <c r="F186" i="48"/>
  <c r="F183" i="48"/>
  <c r="F181" i="48"/>
  <c r="F182" i="48"/>
  <c r="F180" i="48"/>
  <c r="F179" i="48"/>
  <c r="F177" i="48"/>
  <c r="F175" i="48"/>
  <c r="F172" i="48"/>
  <c r="F178" i="48"/>
  <c r="F174" i="48"/>
  <c r="F171" i="48"/>
  <c r="F176" i="48"/>
  <c r="F173" i="48"/>
  <c r="F170" i="48"/>
  <c r="F169" i="48"/>
  <c r="F168" i="48"/>
  <c r="F167" i="48"/>
  <c r="F166" i="48"/>
  <c r="F163" i="48"/>
  <c r="F165" i="48"/>
  <c r="F162" i="48"/>
  <c r="F164" i="48"/>
  <c r="F161" i="48"/>
  <c r="F160" i="48"/>
  <c r="F159" i="48"/>
  <c r="F156" i="48"/>
  <c r="F157" i="48"/>
  <c r="F158" i="48"/>
  <c r="F155" i="48"/>
  <c r="F152" i="48"/>
  <c r="F149" i="48"/>
  <c r="F154" i="48"/>
  <c r="F151" i="48"/>
  <c r="F148" i="48"/>
  <c r="F153" i="48"/>
  <c r="F150" i="48"/>
  <c r="F147" i="48"/>
  <c r="F146" i="48"/>
  <c r="F145" i="48"/>
  <c r="F144" i="48"/>
  <c r="F143" i="48"/>
  <c r="F140" i="48"/>
  <c r="F137" i="48"/>
  <c r="F142" i="48"/>
  <c r="F139" i="48"/>
  <c r="F135" i="48"/>
  <c r="F141" i="48"/>
  <c r="F138" i="48"/>
  <c r="F136" i="48"/>
  <c r="F133" i="48"/>
  <c r="F132" i="48"/>
  <c r="F134" i="48"/>
  <c r="F130" i="48"/>
  <c r="F129" i="48"/>
  <c r="F128" i="48"/>
  <c r="F131" i="48"/>
  <c r="F126" i="48"/>
  <c r="F125" i="48"/>
  <c r="F124" i="48"/>
  <c r="F127" i="48"/>
  <c r="F122" i="48"/>
  <c r="F121" i="48"/>
  <c r="F123" i="48"/>
  <c r="F117" i="48"/>
  <c r="F116" i="48"/>
  <c r="F115" i="48"/>
  <c r="F120" i="48"/>
  <c r="F118" i="48"/>
  <c r="F119" i="48"/>
  <c r="F113" i="48"/>
  <c r="F112" i="48"/>
  <c r="F111" i="48"/>
  <c r="F114" i="48"/>
  <c r="F108" i="48"/>
  <c r="F109" i="48"/>
  <c r="F107" i="48"/>
  <c r="F110" i="48"/>
  <c r="F105" i="48"/>
  <c r="F104" i="48"/>
  <c r="F103" i="48"/>
  <c r="F106" i="48"/>
  <c r="F101" i="48"/>
  <c r="F100" i="48"/>
  <c r="F99" i="48"/>
  <c r="F102" i="48"/>
  <c r="F97" i="48"/>
  <c r="F96" i="48"/>
  <c r="F98" i="48"/>
  <c r="F94" i="48"/>
  <c r="F93" i="48"/>
  <c r="F92" i="48"/>
  <c r="F95" i="48"/>
  <c r="F90" i="48"/>
  <c r="F89" i="48"/>
  <c r="F88" i="48"/>
  <c r="F91" i="48"/>
  <c r="F85" i="48"/>
  <c r="F86" i="48"/>
  <c r="F84" i="48"/>
  <c r="F87" i="48"/>
  <c r="F82" i="48"/>
  <c r="F81" i="48"/>
  <c r="F80" i="48"/>
  <c r="F83" i="48"/>
  <c r="F78" i="48"/>
  <c r="F77" i="48"/>
  <c r="F76" i="48"/>
  <c r="F79" i="48"/>
  <c r="F74" i="48"/>
  <c r="F73" i="48"/>
  <c r="F72" i="48"/>
  <c r="F75" i="48"/>
  <c r="F70" i="48"/>
  <c r="F68" i="48"/>
  <c r="F69" i="48"/>
  <c r="F67" i="48"/>
  <c r="F71" i="48"/>
  <c r="F65" i="48"/>
  <c r="F64" i="48"/>
  <c r="F66" i="48"/>
  <c r="F61" i="48"/>
  <c r="F60" i="48"/>
  <c r="F63" i="48"/>
  <c r="F62" i="48"/>
  <c r="F58" i="48"/>
  <c r="F57" i="48"/>
  <c r="F56" i="48"/>
  <c r="F59" i="48"/>
  <c r="F54" i="48"/>
  <c r="F53" i="48"/>
  <c r="F55" i="48"/>
  <c r="F51" i="48"/>
  <c r="F50" i="48"/>
  <c r="F49" i="48"/>
  <c r="F52" i="48"/>
  <c r="F47" i="48"/>
  <c r="F46" i="48"/>
  <c r="F44" i="48"/>
  <c r="F45" i="48"/>
  <c r="F48" i="48"/>
  <c r="F42" i="48"/>
  <c r="F41" i="48"/>
  <c r="F43" i="48"/>
  <c r="F39" i="48"/>
  <c r="F38" i="48"/>
  <c r="F36" i="48"/>
  <c r="F35" i="48"/>
  <c r="F37" i="48"/>
  <c r="F40" i="48"/>
  <c r="F33" i="48"/>
  <c r="F32" i="48"/>
  <c r="F31" i="48"/>
  <c r="F34" i="48"/>
  <c r="F29" i="48"/>
  <c r="F28" i="48"/>
  <c r="F30" i="48"/>
  <c r="F26" i="48"/>
  <c r="F25" i="48"/>
  <c r="F24" i="48"/>
  <c r="F27" i="48"/>
  <c r="F22" i="48"/>
  <c r="F21" i="48"/>
  <c r="F20" i="48"/>
  <c r="F23" i="48"/>
  <c r="F18" i="48"/>
  <c r="F17" i="48"/>
  <c r="F19" i="48"/>
  <c r="F15" i="48"/>
  <c r="F14" i="48"/>
  <c r="F13" i="48"/>
  <c r="F16" i="48"/>
  <c r="F10" i="48"/>
  <c r="F11" i="48"/>
  <c r="F9" i="48"/>
  <c r="F8" i="48"/>
  <c r="F12" i="48"/>
  <c r="F6" i="48"/>
  <c r="F5" i="48"/>
  <c r="F7" i="48"/>
  <c r="F3" i="48"/>
  <c r="F4" i="48"/>
  <c r="F904" i="48"/>
  <c r="E903" i="48"/>
  <c r="E902" i="48"/>
  <c r="E901" i="48"/>
  <c r="E900" i="48"/>
  <c r="E899" i="48"/>
  <c r="E898" i="48"/>
  <c r="E897" i="48"/>
  <c r="E896" i="48"/>
  <c r="E895" i="48"/>
  <c r="E894" i="48"/>
  <c r="E893" i="48"/>
  <c r="E892" i="48"/>
  <c r="E891" i="48"/>
  <c r="E890" i="48"/>
  <c r="E889" i="48"/>
  <c r="E888" i="48"/>
  <c r="E887" i="48"/>
  <c r="E886" i="48"/>
  <c r="E885" i="48"/>
  <c r="E884" i="48"/>
  <c r="E883" i="48"/>
  <c r="E882" i="48"/>
  <c r="E881" i="48"/>
  <c r="E880" i="48"/>
  <c r="E879" i="48"/>
  <c r="E878" i="48"/>
  <c r="E877" i="48"/>
  <c r="E876" i="48"/>
  <c r="E875" i="48"/>
  <c r="E874" i="48"/>
  <c r="E873" i="48"/>
  <c r="E872" i="48"/>
  <c r="E871" i="48"/>
  <c r="E869" i="48"/>
  <c r="E870" i="48"/>
  <c r="E867" i="48"/>
  <c r="E865" i="48"/>
  <c r="E863" i="48"/>
  <c r="E868" i="48"/>
  <c r="E866" i="48"/>
  <c r="E864" i="48"/>
  <c r="E861" i="48"/>
  <c r="E862" i="48"/>
  <c r="E860" i="48"/>
  <c r="E859" i="48"/>
  <c r="E858" i="48"/>
  <c r="E857" i="48"/>
  <c r="E856" i="48"/>
  <c r="E855" i="48"/>
  <c r="E852" i="48"/>
  <c r="E854" i="48"/>
  <c r="E853" i="48"/>
  <c r="E851" i="48"/>
  <c r="E850" i="48"/>
  <c r="E849" i="48"/>
  <c r="E847" i="48"/>
  <c r="E845" i="48"/>
  <c r="E848" i="48"/>
  <c r="E846" i="48"/>
  <c r="E844" i="48"/>
  <c r="E843" i="48"/>
  <c r="E842" i="48"/>
  <c r="E841" i="48"/>
  <c r="E839" i="48"/>
  <c r="E837" i="48"/>
  <c r="E840" i="48"/>
  <c r="E838" i="48"/>
  <c r="E836" i="48"/>
  <c r="E835" i="48"/>
  <c r="E834" i="48"/>
  <c r="E833" i="48"/>
  <c r="E831" i="48"/>
  <c r="E832" i="48"/>
  <c r="E830" i="48"/>
  <c r="E829" i="48"/>
  <c r="E828" i="48"/>
  <c r="E827" i="48"/>
  <c r="E825" i="48"/>
  <c r="E823" i="48"/>
  <c r="E826" i="48"/>
  <c r="E824" i="48"/>
  <c r="E822" i="48"/>
  <c r="E821" i="48"/>
  <c r="E820" i="48"/>
  <c r="E819" i="48"/>
  <c r="E817" i="48"/>
  <c r="E815" i="48"/>
  <c r="E818" i="48"/>
  <c r="E816" i="48"/>
  <c r="E814" i="48"/>
  <c r="E813" i="48"/>
  <c r="E812" i="48"/>
  <c r="E811" i="48"/>
  <c r="E809" i="48"/>
  <c r="E810" i="48"/>
  <c r="E808" i="48"/>
  <c r="E807" i="48"/>
  <c r="E806" i="48"/>
  <c r="E805" i="48"/>
  <c r="E803" i="48"/>
  <c r="E801" i="48"/>
  <c r="E804" i="48"/>
  <c r="E802" i="48"/>
  <c r="E800" i="48"/>
  <c r="E799" i="48"/>
  <c r="E798" i="48"/>
  <c r="E797" i="48"/>
  <c r="E795" i="48"/>
  <c r="E793" i="48"/>
  <c r="E796" i="48"/>
  <c r="E794" i="48"/>
  <c r="E792" i="48"/>
  <c r="E790" i="48"/>
  <c r="E791" i="48"/>
  <c r="E789" i="48"/>
  <c r="E787" i="48"/>
  <c r="E788" i="48"/>
  <c r="E786" i="48"/>
  <c r="E785" i="48"/>
  <c r="E784" i="48"/>
  <c r="E783" i="48"/>
  <c r="E781" i="48"/>
  <c r="E779" i="48"/>
  <c r="E782" i="48"/>
  <c r="E780" i="48"/>
  <c r="E778" i="48"/>
  <c r="E777" i="48"/>
  <c r="E776" i="48"/>
  <c r="E775" i="48"/>
  <c r="E773" i="48"/>
  <c r="E771" i="48"/>
  <c r="E774" i="48"/>
  <c r="E772" i="48"/>
  <c r="E770" i="48"/>
  <c r="E769" i="48"/>
  <c r="E768" i="48"/>
  <c r="E767" i="48"/>
  <c r="E765" i="48"/>
  <c r="E766" i="48"/>
  <c r="E764" i="48"/>
  <c r="E763" i="48"/>
  <c r="E762" i="48"/>
  <c r="E760" i="48"/>
  <c r="E759" i="48"/>
  <c r="E757" i="48"/>
  <c r="E761" i="48"/>
  <c r="E758" i="48"/>
  <c r="E756" i="48"/>
  <c r="E755" i="48"/>
  <c r="E754" i="48"/>
  <c r="E753" i="48"/>
  <c r="E751" i="48"/>
  <c r="E749" i="48"/>
  <c r="E752" i="48"/>
  <c r="E750" i="48"/>
  <c r="E748" i="48"/>
  <c r="E747" i="48"/>
  <c r="E746" i="48"/>
  <c r="E745" i="48"/>
  <c r="E743" i="48"/>
  <c r="E744" i="48"/>
  <c r="E742" i="48"/>
  <c r="E741" i="48"/>
  <c r="E740" i="48"/>
  <c r="E739" i="48"/>
  <c r="E737" i="48"/>
  <c r="E735" i="48"/>
  <c r="E738" i="48"/>
  <c r="E736" i="48"/>
  <c r="E734" i="48"/>
  <c r="E733" i="48"/>
  <c r="E732" i="48"/>
  <c r="E730" i="48"/>
  <c r="E729" i="48"/>
  <c r="E727" i="48"/>
  <c r="E731" i="48"/>
  <c r="E728" i="48"/>
  <c r="E726" i="48"/>
  <c r="E725" i="48"/>
  <c r="E724" i="48"/>
  <c r="E723" i="48"/>
  <c r="E721" i="48"/>
  <c r="E722" i="48"/>
  <c r="E720" i="48"/>
  <c r="E719" i="48"/>
  <c r="E718" i="48"/>
  <c r="E717" i="48"/>
  <c r="E715" i="48"/>
  <c r="E713" i="48"/>
  <c r="E716" i="48"/>
  <c r="E714" i="48"/>
  <c r="E712" i="48"/>
  <c r="E711" i="48"/>
  <c r="E710" i="48"/>
  <c r="E709" i="48"/>
  <c r="E707" i="48"/>
  <c r="E708" i="48"/>
  <c r="E706" i="48"/>
  <c r="E705" i="48"/>
  <c r="E703" i="48"/>
  <c r="E704" i="48"/>
  <c r="E702" i="48"/>
  <c r="E701" i="48"/>
  <c r="E699" i="48"/>
  <c r="E700" i="48"/>
  <c r="E698" i="48"/>
  <c r="E697" i="48"/>
  <c r="E696" i="48"/>
  <c r="E695" i="48"/>
  <c r="E694" i="48"/>
  <c r="E691" i="48"/>
  <c r="E688" i="48"/>
  <c r="E693" i="48"/>
  <c r="E690" i="48"/>
  <c r="E687" i="48"/>
  <c r="E692" i="48"/>
  <c r="E689" i="48"/>
  <c r="E686" i="48"/>
  <c r="E685" i="48"/>
  <c r="E684" i="48"/>
  <c r="E683" i="48"/>
  <c r="E682" i="48"/>
  <c r="E678" i="48"/>
  <c r="E681" i="48"/>
  <c r="E679" i="48"/>
  <c r="E680" i="48"/>
  <c r="E677" i="48"/>
  <c r="E675" i="48"/>
  <c r="E676" i="48"/>
  <c r="E674" i="48"/>
  <c r="E673" i="48"/>
  <c r="E670" i="48"/>
  <c r="E667" i="48"/>
  <c r="E672" i="48"/>
  <c r="E669" i="48"/>
  <c r="E666" i="48"/>
  <c r="E671" i="48"/>
  <c r="E668" i="48"/>
  <c r="E665" i="48"/>
  <c r="E664" i="48"/>
  <c r="E663" i="48"/>
  <c r="E662" i="48"/>
  <c r="E661" i="48"/>
  <c r="E658" i="48"/>
  <c r="E653" i="48"/>
  <c r="E660" i="48"/>
  <c r="E657" i="48"/>
  <c r="E655" i="48"/>
  <c r="E659" i="48"/>
  <c r="E656" i="48"/>
  <c r="E654" i="48"/>
  <c r="E652" i="48"/>
  <c r="E651" i="48"/>
  <c r="E650" i="48"/>
  <c r="E649" i="48"/>
  <c r="E648" i="48"/>
  <c r="E645" i="48"/>
  <c r="E647" i="48"/>
  <c r="E644" i="48"/>
  <c r="E646" i="48"/>
  <c r="E643" i="48"/>
  <c r="E642" i="48"/>
  <c r="E641" i="48"/>
  <c r="E640" i="48"/>
  <c r="E639" i="48"/>
  <c r="E636" i="48"/>
  <c r="E633" i="48"/>
  <c r="E638" i="48"/>
  <c r="E635" i="48"/>
  <c r="E632" i="48"/>
  <c r="E637" i="48"/>
  <c r="E634" i="48"/>
  <c r="E631" i="48"/>
  <c r="E630" i="48"/>
  <c r="E629" i="48"/>
  <c r="E628" i="48"/>
  <c r="E627" i="48"/>
  <c r="E624" i="48"/>
  <c r="E621" i="48"/>
  <c r="E626" i="48"/>
  <c r="E623" i="48"/>
  <c r="E620" i="48"/>
  <c r="E625" i="48"/>
  <c r="E622" i="48"/>
  <c r="E619" i="48"/>
  <c r="E618" i="48"/>
  <c r="E616" i="48"/>
  <c r="E615" i="48"/>
  <c r="E617" i="48"/>
  <c r="E614" i="48"/>
  <c r="E611" i="48"/>
  <c r="E613" i="48"/>
  <c r="E610" i="48"/>
  <c r="E612" i="48"/>
  <c r="E609" i="48"/>
  <c r="E608" i="48"/>
  <c r="E607" i="48"/>
  <c r="E606" i="48"/>
  <c r="E605" i="48"/>
  <c r="E602" i="48"/>
  <c r="E599" i="48"/>
  <c r="E604" i="48"/>
  <c r="E601" i="48"/>
  <c r="E597" i="48"/>
  <c r="E603" i="48"/>
  <c r="E600" i="48"/>
  <c r="E598" i="48"/>
  <c r="E596" i="48"/>
  <c r="E594" i="48"/>
  <c r="E595" i="48"/>
  <c r="E593" i="48"/>
  <c r="E590" i="48"/>
  <c r="E587" i="48"/>
  <c r="E591" i="48"/>
  <c r="E588" i="48"/>
  <c r="E585" i="48"/>
  <c r="E592" i="48"/>
  <c r="E589" i="48"/>
  <c r="E586" i="48"/>
  <c r="E584" i="48"/>
  <c r="E582" i="48"/>
  <c r="E583" i="48"/>
  <c r="E581" i="48"/>
  <c r="E578" i="48"/>
  <c r="E579" i="48"/>
  <c r="E576" i="48"/>
  <c r="E580" i="48"/>
  <c r="E577" i="48"/>
  <c r="E574" i="48"/>
  <c r="E573" i="48"/>
  <c r="E575" i="48"/>
  <c r="E572" i="48"/>
  <c r="E568" i="48"/>
  <c r="E565" i="48"/>
  <c r="E571" i="48"/>
  <c r="E567" i="48"/>
  <c r="E564" i="48"/>
  <c r="E570" i="48"/>
  <c r="E569" i="48"/>
  <c r="E566" i="48"/>
  <c r="E562" i="48"/>
  <c r="E561" i="48"/>
  <c r="E563" i="48"/>
  <c r="E555" i="48"/>
  <c r="E556" i="48"/>
  <c r="E559" i="48"/>
  <c r="E553" i="48"/>
  <c r="E550" i="48"/>
  <c r="E557" i="48"/>
  <c r="E552" i="48"/>
  <c r="E549" i="48"/>
  <c r="E558" i="48"/>
  <c r="E560" i="48"/>
  <c r="E554" i="48"/>
  <c r="E551" i="48"/>
  <c r="E547" i="48"/>
  <c r="E546" i="48"/>
  <c r="E548" i="48"/>
  <c r="E545" i="48"/>
  <c r="E542" i="48"/>
  <c r="E544" i="48"/>
  <c r="E541" i="48"/>
  <c r="E543" i="48"/>
  <c r="E540" i="48"/>
  <c r="E539" i="48"/>
  <c r="E538" i="48"/>
  <c r="E537" i="48"/>
  <c r="E536" i="48"/>
  <c r="E532" i="48"/>
  <c r="E529" i="48"/>
  <c r="E535" i="48"/>
  <c r="E531" i="48"/>
  <c r="E528" i="48"/>
  <c r="E534" i="48"/>
  <c r="E533" i="48"/>
  <c r="E530" i="48"/>
  <c r="E526" i="48"/>
  <c r="E525" i="48"/>
  <c r="E527" i="48"/>
  <c r="E524" i="48"/>
  <c r="E521" i="48"/>
  <c r="E517" i="48"/>
  <c r="E523" i="48"/>
  <c r="E520" i="48"/>
  <c r="E516" i="48"/>
  <c r="E522" i="48"/>
  <c r="E518" i="48"/>
  <c r="E519" i="48"/>
  <c r="E515" i="48"/>
  <c r="E514" i="48"/>
  <c r="E513" i="48"/>
  <c r="E512" i="48"/>
  <c r="E509" i="48"/>
  <c r="E508" i="48"/>
  <c r="E510" i="48"/>
  <c r="E506" i="48"/>
  <c r="E511" i="48"/>
  <c r="E507" i="48"/>
  <c r="E505" i="48"/>
  <c r="E503" i="48"/>
  <c r="E504" i="48"/>
  <c r="E502" i="48"/>
  <c r="E499" i="48"/>
  <c r="E496" i="48"/>
  <c r="E500" i="48"/>
  <c r="E497" i="48"/>
  <c r="E494" i="48"/>
  <c r="E501" i="48"/>
  <c r="E498" i="48"/>
  <c r="E495" i="48"/>
  <c r="E493" i="48"/>
  <c r="E491" i="48"/>
  <c r="E492" i="48"/>
  <c r="E490" i="48"/>
  <c r="E486" i="48"/>
  <c r="E483" i="48"/>
  <c r="E488" i="48"/>
  <c r="E485" i="48"/>
  <c r="E481" i="48"/>
  <c r="E489" i="48"/>
  <c r="E484" i="48"/>
  <c r="E487" i="48"/>
  <c r="E482" i="48"/>
  <c r="E480" i="48"/>
  <c r="E478" i="48"/>
  <c r="E479" i="48"/>
  <c r="E477" i="48"/>
  <c r="E474" i="48"/>
  <c r="E476" i="48"/>
  <c r="E472" i="48"/>
  <c r="E475" i="48"/>
  <c r="E473" i="48"/>
  <c r="E471" i="48"/>
  <c r="E469" i="48"/>
  <c r="E470" i="48"/>
  <c r="E468" i="48"/>
  <c r="E463" i="48"/>
  <c r="E462" i="48"/>
  <c r="E466" i="48"/>
  <c r="E464" i="48"/>
  <c r="E460" i="48"/>
  <c r="E467" i="48"/>
  <c r="E465" i="48"/>
  <c r="E461" i="48"/>
  <c r="E459" i="48"/>
  <c r="E457" i="48"/>
  <c r="E458" i="48"/>
  <c r="E456" i="48"/>
  <c r="E453" i="48"/>
  <c r="E454" i="48"/>
  <c r="E451" i="48"/>
  <c r="E455" i="48"/>
  <c r="E452" i="48"/>
  <c r="E450" i="48"/>
  <c r="E447" i="48"/>
  <c r="E448" i="48"/>
  <c r="E445" i="48"/>
  <c r="E449" i="48"/>
  <c r="E444" i="48"/>
  <c r="E446" i="48"/>
  <c r="E443" i="48"/>
  <c r="E439" i="48"/>
  <c r="E441" i="48"/>
  <c r="E438" i="48"/>
  <c r="E442" i="48"/>
  <c r="E440" i="48"/>
  <c r="E436" i="48"/>
  <c r="E435" i="48"/>
  <c r="E437" i="48"/>
  <c r="E434" i="48"/>
  <c r="E431" i="48"/>
  <c r="E427" i="48"/>
  <c r="E432" i="48"/>
  <c r="E430" i="48"/>
  <c r="E426" i="48"/>
  <c r="E433" i="48"/>
  <c r="E429" i="48"/>
  <c r="E428" i="48"/>
  <c r="E424" i="48"/>
  <c r="E425" i="48"/>
  <c r="E423" i="48"/>
  <c r="E422" i="48"/>
  <c r="E421" i="48"/>
  <c r="E417" i="48"/>
  <c r="E419" i="48"/>
  <c r="E416" i="48"/>
  <c r="E420" i="48"/>
  <c r="E418" i="48"/>
  <c r="E414" i="48"/>
  <c r="E413" i="48"/>
  <c r="E415" i="48"/>
  <c r="E412" i="48"/>
  <c r="E411" i="48"/>
  <c r="E410" i="48"/>
  <c r="E409" i="48"/>
  <c r="E408" i="48"/>
  <c r="E407" i="48"/>
  <c r="E406" i="48"/>
  <c r="E405" i="48"/>
  <c r="E404" i="48"/>
  <c r="E403" i="48"/>
  <c r="E402" i="48"/>
  <c r="E401" i="48"/>
  <c r="E400" i="48"/>
  <c r="E399" i="48"/>
  <c r="E398" i="48"/>
  <c r="E397" i="48"/>
  <c r="E395" i="48"/>
  <c r="E396" i="48"/>
  <c r="E394" i="48"/>
  <c r="E393" i="48"/>
  <c r="E392" i="48"/>
  <c r="E391" i="48"/>
  <c r="E390" i="48"/>
  <c r="E389" i="48"/>
  <c r="E388" i="48"/>
  <c r="E387" i="48"/>
  <c r="E386" i="48"/>
  <c r="E385" i="48"/>
  <c r="E383" i="48"/>
  <c r="E384" i="48"/>
  <c r="E382" i="48"/>
  <c r="E381" i="48"/>
  <c r="E380" i="48"/>
  <c r="E379" i="48"/>
  <c r="E378" i="48"/>
  <c r="E376" i="48"/>
  <c r="E377" i="48"/>
  <c r="E375" i="48"/>
  <c r="E374" i="48"/>
  <c r="E373" i="48"/>
  <c r="E372" i="48"/>
  <c r="E369" i="48"/>
  <c r="E367" i="48"/>
  <c r="E371" i="48"/>
  <c r="E370" i="48"/>
  <c r="E368" i="48"/>
  <c r="E366" i="48"/>
  <c r="E365" i="48"/>
  <c r="E364" i="48"/>
  <c r="E363" i="48"/>
  <c r="E361" i="48"/>
  <c r="E359" i="48"/>
  <c r="E362" i="48"/>
  <c r="E360" i="48"/>
  <c r="E358" i="48"/>
  <c r="E357" i="48"/>
  <c r="E356" i="48"/>
  <c r="E355" i="48"/>
  <c r="E354" i="48"/>
  <c r="E353" i="48"/>
  <c r="E351" i="48"/>
  <c r="E352" i="48"/>
  <c r="E348" i="48"/>
  <c r="E346" i="48"/>
  <c r="E349" i="48"/>
  <c r="E350" i="48"/>
  <c r="E347" i="48"/>
  <c r="E345" i="48"/>
  <c r="E344" i="48"/>
  <c r="E343" i="48"/>
  <c r="E342" i="48"/>
  <c r="E339" i="48"/>
  <c r="E337" i="48"/>
  <c r="E340" i="48"/>
  <c r="E341" i="48"/>
  <c r="E338" i="48"/>
  <c r="E336" i="48"/>
  <c r="E335" i="48"/>
  <c r="E334" i="48"/>
  <c r="E333" i="48"/>
  <c r="E332" i="48"/>
  <c r="E331" i="48"/>
  <c r="E330" i="48"/>
  <c r="E329" i="48"/>
  <c r="E327" i="48"/>
  <c r="E325" i="48"/>
  <c r="E328" i="48"/>
  <c r="E326" i="48"/>
  <c r="E323" i="48"/>
  <c r="E324" i="48"/>
  <c r="E322" i="48"/>
  <c r="E321" i="48"/>
  <c r="E320" i="48"/>
  <c r="E318" i="48"/>
  <c r="E319" i="48"/>
  <c r="E317" i="48"/>
  <c r="E316" i="48"/>
  <c r="E315" i="48"/>
  <c r="E314" i="48"/>
  <c r="E313" i="48"/>
  <c r="E310" i="48"/>
  <c r="E307" i="48"/>
  <c r="E312" i="48"/>
  <c r="E309" i="48"/>
  <c r="E306" i="48"/>
  <c r="E311" i="48"/>
  <c r="E308" i="48"/>
  <c r="E305" i="48"/>
  <c r="E304" i="48"/>
  <c r="E303" i="48"/>
  <c r="E302" i="48"/>
  <c r="E299" i="48"/>
  <c r="E295" i="48"/>
  <c r="E301" i="48"/>
  <c r="E298" i="48"/>
  <c r="E294" i="48"/>
  <c r="E300" i="48"/>
  <c r="E297" i="48"/>
  <c r="E296" i="48"/>
  <c r="E293" i="48"/>
  <c r="E292" i="48"/>
  <c r="E291" i="48"/>
  <c r="E290" i="48"/>
  <c r="E289" i="48"/>
  <c r="E286" i="48"/>
  <c r="E288" i="48"/>
  <c r="E285" i="48"/>
  <c r="E287" i="48"/>
  <c r="E284" i="48"/>
  <c r="E283" i="48"/>
  <c r="E282" i="48"/>
  <c r="E281" i="48"/>
  <c r="E280" i="48"/>
  <c r="E277" i="48"/>
  <c r="E272" i="48"/>
  <c r="E279" i="48"/>
  <c r="E276" i="48"/>
  <c r="E273" i="48"/>
  <c r="E278" i="48"/>
  <c r="E275" i="48"/>
  <c r="E271" i="48"/>
  <c r="E274" i="48"/>
  <c r="E270" i="48"/>
  <c r="E269" i="48"/>
  <c r="E268" i="48"/>
  <c r="E267" i="48"/>
  <c r="E264" i="48"/>
  <c r="E261" i="48"/>
  <c r="E266" i="48"/>
  <c r="E263" i="48"/>
  <c r="E260" i="48"/>
  <c r="E265" i="48"/>
  <c r="E262" i="48"/>
  <c r="E259" i="48"/>
  <c r="E258" i="48"/>
  <c r="E257" i="48"/>
  <c r="E256" i="48"/>
  <c r="E255" i="48"/>
  <c r="E252" i="48"/>
  <c r="E254" i="48"/>
  <c r="E251" i="48"/>
  <c r="E253" i="48"/>
  <c r="E250" i="48"/>
  <c r="E249" i="48"/>
  <c r="E248" i="48"/>
  <c r="E247" i="48"/>
  <c r="E246" i="48"/>
  <c r="E242" i="48"/>
  <c r="E239" i="48"/>
  <c r="E245" i="48"/>
  <c r="E241" i="48"/>
  <c r="E238" i="48"/>
  <c r="E244" i="48"/>
  <c r="E243" i="48"/>
  <c r="E240" i="48"/>
  <c r="E237" i="48"/>
  <c r="E236" i="48"/>
  <c r="E235" i="48"/>
  <c r="E234" i="48"/>
  <c r="E233" i="48"/>
  <c r="E230" i="48"/>
  <c r="E227" i="48"/>
  <c r="E232" i="48"/>
  <c r="E229" i="48"/>
  <c r="E226" i="48"/>
  <c r="E231" i="48"/>
  <c r="E228" i="48"/>
  <c r="E225" i="48"/>
  <c r="E224" i="48"/>
  <c r="E223" i="48"/>
  <c r="E222" i="48"/>
  <c r="E221" i="48"/>
  <c r="E218" i="48"/>
  <c r="E220" i="48"/>
  <c r="E217" i="48"/>
  <c r="E219" i="48"/>
  <c r="E216" i="48"/>
  <c r="E215" i="48"/>
  <c r="E214" i="48"/>
  <c r="E213" i="48"/>
  <c r="E212" i="48"/>
  <c r="E209" i="48"/>
  <c r="E206" i="48"/>
  <c r="E211" i="48"/>
  <c r="E208" i="48"/>
  <c r="E205" i="48"/>
  <c r="E210" i="48"/>
  <c r="E207" i="48"/>
  <c r="E204" i="48"/>
  <c r="E203" i="48"/>
  <c r="E202" i="48"/>
  <c r="E201" i="48"/>
  <c r="E200" i="48"/>
  <c r="E197" i="48"/>
  <c r="E199" i="48"/>
  <c r="E196" i="48"/>
  <c r="E198" i="48"/>
  <c r="E195" i="48"/>
  <c r="E194" i="48"/>
  <c r="E191" i="48"/>
  <c r="E193" i="48"/>
  <c r="E190" i="48"/>
  <c r="E192" i="48"/>
  <c r="E189" i="48"/>
  <c r="E188" i="48"/>
  <c r="E185" i="48"/>
  <c r="E187" i="48"/>
  <c r="E184" i="48"/>
  <c r="E186" i="48"/>
  <c r="E183" i="48"/>
  <c r="E181" i="48"/>
  <c r="E182" i="48"/>
  <c r="E180" i="48"/>
  <c r="E179" i="48"/>
  <c r="E177" i="48"/>
  <c r="E175" i="48"/>
  <c r="E172" i="48"/>
  <c r="E178" i="48"/>
  <c r="E174" i="48"/>
  <c r="E171" i="48"/>
  <c r="E176" i="48"/>
  <c r="E173" i="48"/>
  <c r="E170" i="48"/>
  <c r="E169" i="48"/>
  <c r="E168" i="48"/>
  <c r="E167" i="48"/>
  <c r="E166" i="48"/>
  <c r="E163" i="48"/>
  <c r="E165" i="48"/>
  <c r="E162" i="48"/>
  <c r="E164" i="48"/>
  <c r="E161" i="48"/>
  <c r="E160" i="48"/>
  <c r="E159" i="48"/>
  <c r="E156" i="48"/>
  <c r="E157" i="48"/>
  <c r="E158" i="48"/>
  <c r="E155" i="48"/>
  <c r="E152" i="48"/>
  <c r="E149" i="48"/>
  <c r="E154" i="48"/>
  <c r="E151" i="48"/>
  <c r="E148" i="48"/>
  <c r="E153" i="48"/>
  <c r="E150" i="48"/>
  <c r="E147" i="48"/>
  <c r="E146" i="48"/>
  <c r="E145" i="48"/>
  <c r="E144" i="48"/>
  <c r="E143" i="48"/>
  <c r="E140" i="48"/>
  <c r="E137" i="48"/>
  <c r="E142" i="48"/>
  <c r="E139" i="48"/>
  <c r="E135" i="48"/>
  <c r="E141" i="48"/>
  <c r="E138" i="48"/>
  <c r="E136" i="48"/>
  <c r="E133" i="48"/>
  <c r="E132" i="48"/>
  <c r="E134" i="48"/>
  <c r="E130" i="48"/>
  <c r="E129" i="48"/>
  <c r="E128" i="48"/>
  <c r="E131" i="48"/>
  <c r="E126" i="48"/>
  <c r="E125" i="48"/>
  <c r="E124" i="48"/>
  <c r="E127" i="48"/>
  <c r="E122" i="48"/>
  <c r="E121" i="48"/>
  <c r="E123" i="48"/>
  <c r="E117" i="48"/>
  <c r="E116" i="48"/>
  <c r="E115" i="48"/>
  <c r="E120" i="48"/>
  <c r="E118" i="48"/>
  <c r="E119" i="48"/>
  <c r="E113" i="48"/>
  <c r="E112" i="48"/>
  <c r="E111" i="48"/>
  <c r="E114" i="48"/>
  <c r="E108" i="48"/>
  <c r="E109" i="48"/>
  <c r="E107" i="48"/>
  <c r="E110" i="48"/>
  <c r="E105" i="48"/>
  <c r="E104" i="48"/>
  <c r="E103" i="48"/>
  <c r="E106" i="48"/>
  <c r="E101" i="48"/>
  <c r="E100" i="48"/>
  <c r="E99" i="48"/>
  <c r="E102" i="48"/>
  <c r="E97" i="48"/>
  <c r="E96" i="48"/>
  <c r="E98" i="48"/>
  <c r="E94" i="48"/>
  <c r="E93" i="48"/>
  <c r="E92" i="48"/>
  <c r="E95" i="48"/>
  <c r="E90" i="48"/>
  <c r="E89" i="48"/>
  <c r="E88" i="48"/>
  <c r="E91" i="48"/>
  <c r="E85" i="48"/>
  <c r="E86" i="48"/>
  <c r="E84" i="48"/>
  <c r="E87" i="48"/>
  <c r="E82" i="48"/>
  <c r="E81" i="48"/>
  <c r="E80" i="48"/>
  <c r="E83" i="48"/>
  <c r="E78" i="48"/>
  <c r="E77" i="48"/>
  <c r="E76" i="48"/>
  <c r="E79" i="48"/>
  <c r="E74" i="48"/>
  <c r="E73" i="48"/>
  <c r="E72" i="48"/>
  <c r="E75" i="48"/>
  <c r="E70" i="48"/>
  <c r="E68" i="48"/>
  <c r="E69" i="48"/>
  <c r="E67" i="48"/>
  <c r="E71" i="48"/>
  <c r="E65" i="48"/>
  <c r="E64" i="48"/>
  <c r="E66" i="48"/>
  <c r="E61" i="48"/>
  <c r="E60" i="48"/>
  <c r="E63" i="48"/>
  <c r="E62" i="48"/>
  <c r="E58" i="48"/>
  <c r="E57" i="48"/>
  <c r="E56" i="48"/>
  <c r="E59" i="48"/>
  <c r="E54" i="48"/>
  <c r="E53" i="48"/>
  <c r="E55" i="48"/>
  <c r="E51" i="48"/>
  <c r="E50" i="48"/>
  <c r="E49" i="48"/>
  <c r="E52" i="48"/>
  <c r="E47" i="48"/>
  <c r="E46" i="48"/>
  <c r="E44" i="48"/>
  <c r="E45" i="48"/>
  <c r="E48" i="48"/>
  <c r="E42" i="48"/>
  <c r="E41" i="48"/>
  <c r="E43" i="48"/>
  <c r="E39" i="48"/>
  <c r="E38" i="48"/>
  <c r="E36" i="48"/>
  <c r="E35" i="48"/>
  <c r="E37" i="48"/>
  <c r="E40" i="48"/>
  <c r="E33" i="48"/>
  <c r="E32" i="48"/>
  <c r="E31" i="48"/>
  <c r="E34" i="48"/>
  <c r="E29" i="48"/>
  <c r="E28" i="48"/>
  <c r="E30" i="48"/>
  <c r="E26" i="48"/>
  <c r="E25" i="48"/>
  <c r="E24" i="48"/>
  <c r="E27" i="48"/>
  <c r="E22" i="48"/>
  <c r="E21" i="48"/>
  <c r="E20" i="48"/>
  <c r="E23" i="48"/>
  <c r="E18" i="48"/>
  <c r="E17" i="48"/>
  <c r="E19" i="48"/>
  <c r="E15" i="48"/>
  <c r="E14" i="48"/>
  <c r="E13" i="48"/>
  <c r="E16" i="48"/>
  <c r="E10" i="48"/>
  <c r="E11" i="48"/>
  <c r="E9" i="48"/>
  <c r="E8" i="48"/>
  <c r="E12" i="48"/>
  <c r="E6" i="48"/>
  <c r="E5" i="48"/>
  <c r="E7" i="48"/>
  <c r="E3" i="48"/>
  <c r="E4" i="48"/>
  <c r="E904" i="48"/>
  <c r="H6" i="48"/>
  <c r="H5" i="48"/>
  <c r="H4" i="48"/>
  <c r="H10" i="48"/>
  <c r="H11" i="48"/>
  <c r="H9" i="48"/>
  <c r="H8" i="48"/>
  <c r="H7" i="48"/>
  <c r="H15" i="48"/>
  <c r="H14" i="48"/>
  <c r="H13" i="48"/>
  <c r="H12" i="48"/>
  <c r="H18" i="48"/>
  <c r="H17" i="48"/>
  <c r="H16" i="48"/>
  <c r="H22" i="48"/>
  <c r="H21" i="48"/>
  <c r="H20" i="48"/>
  <c r="H19" i="48"/>
  <c r="H26" i="48"/>
  <c r="H25" i="48"/>
  <c r="H24" i="48"/>
  <c r="H23" i="48"/>
  <c r="H29" i="48"/>
  <c r="H28" i="48"/>
  <c r="H27" i="48"/>
  <c r="H33" i="48"/>
  <c r="H32" i="48"/>
  <c r="H31" i="48"/>
  <c r="H30" i="48"/>
  <c r="H39" i="48"/>
  <c r="H38" i="48"/>
  <c r="H36" i="48"/>
  <c r="H35" i="48"/>
  <c r="H37" i="48"/>
  <c r="H34" i="48"/>
  <c r="H42" i="48"/>
  <c r="H41" i="48"/>
  <c r="H40" i="48"/>
  <c r="H47" i="48"/>
  <c r="H46" i="48"/>
  <c r="H44" i="48"/>
  <c r="H45" i="48"/>
  <c r="H43" i="48"/>
  <c r="H51" i="48"/>
  <c r="H50" i="48"/>
  <c r="H49" i="48"/>
  <c r="H48" i="48"/>
  <c r="H54" i="48"/>
  <c r="H53" i="48"/>
  <c r="H52" i="48"/>
  <c r="H58" i="48"/>
  <c r="H57" i="48"/>
  <c r="H56" i="48"/>
  <c r="H55" i="48"/>
  <c r="H61" i="48"/>
  <c r="H60" i="48"/>
  <c r="H59" i="48"/>
  <c r="H65" i="48"/>
  <c r="H64" i="48"/>
  <c r="H63" i="48"/>
  <c r="H62" i="48"/>
  <c r="H70" i="48"/>
  <c r="H68" i="48"/>
  <c r="H69" i="48"/>
  <c r="H67" i="48"/>
  <c r="H66" i="48"/>
  <c r="H74" i="48"/>
  <c r="H73" i="48"/>
  <c r="H72" i="48"/>
  <c r="H71" i="48"/>
  <c r="H78" i="48"/>
  <c r="H77" i="48"/>
  <c r="H76" i="48"/>
  <c r="H75" i="48"/>
  <c r="H82" i="48"/>
  <c r="H81" i="48"/>
  <c r="H80" i="48"/>
  <c r="H79" i="48"/>
  <c r="H85" i="48"/>
  <c r="H86" i="48"/>
  <c r="H84" i="48"/>
  <c r="H83" i="48"/>
  <c r="H90" i="48"/>
  <c r="H89" i="48"/>
  <c r="H88" i="48"/>
  <c r="H87" i="48"/>
  <c r="H94" i="48"/>
  <c r="H93" i="48"/>
  <c r="H92" i="48"/>
  <c r="H91" i="48"/>
  <c r="H97" i="48"/>
  <c r="H96" i="48"/>
  <c r="H95" i="48"/>
  <c r="H101" i="48"/>
  <c r="H100" i="48"/>
  <c r="H99" i="48"/>
  <c r="H98" i="48"/>
  <c r="H105" i="48"/>
  <c r="H104" i="48"/>
  <c r="H103" i="48"/>
  <c r="H102" i="48"/>
  <c r="H108" i="48"/>
  <c r="H109" i="48"/>
  <c r="H107" i="48"/>
  <c r="H106" i="48"/>
  <c r="H113" i="48"/>
  <c r="H112" i="48"/>
  <c r="H111" i="48"/>
  <c r="H110" i="48"/>
  <c r="H117" i="48"/>
  <c r="H116" i="48"/>
  <c r="H115" i="48"/>
  <c r="H114" i="48"/>
  <c r="H122" i="48"/>
  <c r="H121" i="48"/>
  <c r="H120" i="48"/>
  <c r="H118" i="48"/>
  <c r="H119" i="48"/>
  <c r="H126" i="48"/>
  <c r="H125" i="48"/>
  <c r="H124" i="48"/>
  <c r="H123" i="48"/>
  <c r="H130" i="48"/>
  <c r="H129" i="48"/>
  <c r="H128" i="48"/>
  <c r="H127" i="48"/>
  <c r="H133" i="48"/>
  <c r="H132" i="48"/>
  <c r="H131" i="48"/>
  <c r="H134" i="48"/>
  <c r="H904" i="48"/>
  <c r="H903" i="48"/>
  <c r="H902" i="48"/>
  <c r="H901" i="48"/>
  <c r="H900" i="48"/>
  <c r="H899" i="48"/>
  <c r="H898" i="48"/>
  <c r="H897" i="48"/>
  <c r="H896" i="48"/>
  <c r="H895" i="48"/>
  <c r="H894" i="48"/>
  <c r="H893" i="48"/>
  <c r="H892" i="48"/>
  <c r="H891" i="48"/>
  <c r="H890" i="48"/>
  <c r="H889" i="48"/>
  <c r="H888" i="48"/>
  <c r="H887" i="48"/>
  <c r="H886" i="48"/>
  <c r="H885" i="48"/>
  <c r="H884" i="48"/>
  <c r="H883" i="48"/>
  <c r="H882" i="48"/>
  <c r="H881" i="48"/>
  <c r="H880" i="48"/>
  <c r="H879" i="48"/>
  <c r="H878" i="48"/>
  <c r="H877" i="48"/>
  <c r="H876" i="48"/>
  <c r="H875" i="48"/>
  <c r="H874" i="48"/>
  <c r="H873" i="48"/>
  <c r="H872" i="48"/>
  <c r="H871" i="48"/>
  <c r="H869" i="48"/>
  <c r="H867" i="48"/>
  <c r="H865" i="48"/>
  <c r="H863" i="48"/>
  <c r="H861" i="48"/>
  <c r="H860" i="48"/>
  <c r="H859" i="48"/>
  <c r="H858" i="48"/>
  <c r="H857" i="48"/>
  <c r="H855" i="48"/>
  <c r="H852" i="48"/>
  <c r="H851" i="48"/>
  <c r="H849" i="48"/>
  <c r="H847" i="48"/>
  <c r="H845" i="48"/>
  <c r="H843" i="48"/>
  <c r="H841" i="48"/>
  <c r="H839" i="48"/>
  <c r="H837" i="48"/>
  <c r="H835" i="48"/>
  <c r="H833" i="48"/>
  <c r="H831" i="48"/>
  <c r="H829" i="48"/>
  <c r="H827" i="48"/>
  <c r="H825" i="48"/>
  <c r="H823" i="48"/>
  <c r="H821" i="48"/>
  <c r="H819" i="48"/>
  <c r="H817" i="48"/>
  <c r="H815" i="48"/>
  <c r="H813" i="48"/>
  <c r="H811" i="48"/>
  <c r="H809" i="48"/>
  <c r="H807" i="48"/>
  <c r="H805" i="48"/>
  <c r="H803" i="48"/>
  <c r="H801" i="48"/>
  <c r="H799" i="48"/>
  <c r="H797" i="48"/>
  <c r="H795" i="48"/>
  <c r="H793" i="48"/>
  <c r="H790" i="48"/>
  <c r="H789" i="48"/>
  <c r="H787" i="48"/>
  <c r="H785" i="48"/>
  <c r="H783" i="48"/>
  <c r="H781" i="48"/>
  <c r="H779" i="48"/>
  <c r="H777" i="48"/>
  <c r="H775" i="48"/>
  <c r="H773" i="48"/>
  <c r="H771" i="48"/>
  <c r="H769" i="48"/>
  <c r="H767" i="48"/>
  <c r="H765" i="48"/>
  <c r="H763" i="48"/>
  <c r="H760" i="48"/>
  <c r="H759" i="48"/>
  <c r="H757" i="48"/>
  <c r="H755" i="48"/>
  <c r="H753" i="48"/>
  <c r="H751" i="48"/>
  <c r="H749" i="48"/>
  <c r="H747" i="48"/>
  <c r="H745" i="48"/>
  <c r="H743" i="48"/>
  <c r="H741" i="48"/>
  <c r="H739" i="48"/>
  <c r="H737" i="48"/>
  <c r="H735" i="48"/>
  <c r="H733" i="48"/>
  <c r="H730" i="48"/>
  <c r="H729" i="48"/>
  <c r="H727" i="48"/>
  <c r="H725" i="48"/>
  <c r="H723" i="48"/>
  <c r="H721" i="48"/>
  <c r="H719" i="48"/>
  <c r="H717" i="48"/>
  <c r="H715" i="48"/>
  <c r="H713" i="48"/>
  <c r="H711" i="48"/>
  <c r="H709" i="48"/>
  <c r="H707" i="48"/>
  <c r="H705" i="48"/>
  <c r="H703" i="48"/>
  <c r="H701" i="48"/>
  <c r="H699" i="48"/>
  <c r="H697" i="48"/>
  <c r="H694" i="48"/>
  <c r="H691" i="48"/>
  <c r="H688" i="48"/>
  <c r="H685" i="48"/>
  <c r="H682" i="48"/>
  <c r="H678" i="48"/>
  <c r="H675" i="48"/>
  <c r="H673" i="48"/>
  <c r="H670" i="48"/>
  <c r="H667" i="48"/>
  <c r="H664" i="48"/>
  <c r="H661" i="48"/>
  <c r="H658" i="48"/>
  <c r="H653" i="48"/>
  <c r="H651" i="48"/>
  <c r="H648" i="48"/>
  <c r="H645" i="48"/>
  <c r="H642" i="48"/>
  <c r="H639" i="48"/>
  <c r="H636" i="48"/>
  <c r="H633" i="48"/>
  <c r="H630" i="48"/>
  <c r="H627" i="48"/>
  <c r="H624" i="48"/>
  <c r="H621" i="48"/>
  <c r="H618" i="48"/>
  <c r="H614" i="48"/>
  <c r="H611" i="48"/>
  <c r="H608" i="48"/>
  <c r="H605" i="48"/>
  <c r="H602" i="48"/>
  <c r="H599" i="48"/>
  <c r="H596" i="48"/>
  <c r="H593" i="48"/>
  <c r="H590" i="48"/>
  <c r="H587" i="48"/>
  <c r="H584" i="48"/>
  <c r="H581" i="48"/>
  <c r="H578" i="48"/>
  <c r="H574" i="48"/>
  <c r="H572" i="48"/>
  <c r="H568" i="48"/>
  <c r="H565" i="48"/>
  <c r="H562" i="48"/>
  <c r="H555" i="48"/>
  <c r="H870" i="48"/>
  <c r="H868" i="48"/>
  <c r="H866" i="48"/>
  <c r="H864" i="48"/>
  <c r="H862" i="48"/>
  <c r="H856" i="48"/>
  <c r="H854" i="48"/>
  <c r="H853" i="48"/>
  <c r="H850" i="48"/>
  <c r="H848" i="48"/>
  <c r="H846" i="48"/>
  <c r="H844" i="48"/>
  <c r="H842" i="48"/>
  <c r="H840" i="48"/>
  <c r="H838" i="48"/>
  <c r="H836" i="48"/>
  <c r="H834" i="48"/>
  <c r="H832" i="48"/>
  <c r="H830" i="48"/>
  <c r="H828" i="48"/>
  <c r="H826" i="48"/>
  <c r="H824" i="48"/>
  <c r="H822" i="48"/>
  <c r="H820" i="48"/>
  <c r="H818" i="48"/>
  <c r="H816" i="48"/>
  <c r="H814" i="48"/>
  <c r="H812" i="48"/>
  <c r="H810" i="48"/>
  <c r="H808" i="48"/>
  <c r="H806" i="48"/>
  <c r="H804" i="48"/>
  <c r="H802" i="48"/>
  <c r="H800" i="48"/>
  <c r="H798" i="48"/>
  <c r="H796" i="48"/>
  <c r="H794" i="48"/>
  <c r="H792" i="48"/>
  <c r="H791" i="48"/>
  <c r="H788" i="48"/>
  <c r="H786" i="48"/>
  <c r="H784" i="48"/>
  <c r="H782" i="48"/>
  <c r="H780" i="48"/>
  <c r="H778" i="48"/>
  <c r="H776" i="48"/>
  <c r="H774" i="48"/>
  <c r="H772" i="48"/>
  <c r="H770" i="48"/>
  <c r="H768" i="48"/>
  <c r="H766" i="48"/>
  <c r="H764" i="48"/>
  <c r="H762" i="48"/>
  <c r="H761" i="48"/>
  <c r="H758" i="48"/>
  <c r="H756" i="48"/>
  <c r="H754" i="48"/>
  <c r="H752" i="48"/>
  <c r="H750" i="48"/>
  <c r="H748" i="48"/>
  <c r="H746" i="48"/>
  <c r="H744" i="48"/>
  <c r="H742" i="48"/>
  <c r="H740" i="48"/>
  <c r="H738" i="48"/>
  <c r="H736" i="48"/>
  <c r="H734" i="48"/>
  <c r="H732" i="48"/>
  <c r="H731" i="48"/>
  <c r="H728" i="48"/>
  <c r="H726" i="48"/>
  <c r="H724" i="48"/>
  <c r="H722" i="48"/>
  <c r="H720" i="48"/>
  <c r="H718" i="48"/>
  <c r="H716" i="48"/>
  <c r="H714" i="48"/>
  <c r="H712" i="48"/>
  <c r="H710" i="48"/>
  <c r="H708" i="48"/>
  <c r="H706" i="48"/>
  <c r="H704" i="48"/>
  <c r="H702" i="48"/>
  <c r="H700" i="48"/>
  <c r="H698" i="48"/>
  <c r="H696" i="48"/>
  <c r="H693" i="48"/>
  <c r="H690" i="48"/>
  <c r="H687" i="48"/>
  <c r="H684" i="48"/>
  <c r="H681" i="48"/>
  <c r="H679" i="48"/>
  <c r="H676" i="48"/>
  <c r="H672" i="48"/>
  <c r="H669" i="48"/>
  <c r="H666" i="48"/>
  <c r="H663" i="48"/>
  <c r="H660" i="48"/>
  <c r="H657" i="48"/>
  <c r="H655" i="48"/>
  <c r="H650" i="48"/>
  <c r="H647" i="48"/>
  <c r="H644" i="48"/>
  <c r="H641" i="48"/>
  <c r="H638" i="48"/>
  <c r="H635" i="48"/>
  <c r="H632" i="48"/>
  <c r="H629" i="48"/>
  <c r="H626" i="48"/>
  <c r="H623" i="48"/>
  <c r="H620" i="48"/>
  <c r="H616" i="48"/>
  <c r="H613" i="48"/>
  <c r="H610" i="48"/>
  <c r="H607" i="48"/>
  <c r="H604" i="48"/>
  <c r="H601" i="48"/>
  <c r="H597" i="48"/>
  <c r="H594" i="48"/>
  <c r="H591" i="48"/>
  <c r="H588" i="48"/>
  <c r="H585" i="48"/>
  <c r="H582" i="48"/>
  <c r="H579" i="48"/>
  <c r="H576" i="48"/>
  <c r="H573" i="48"/>
  <c r="H571" i="48"/>
  <c r="H567" i="48"/>
  <c r="H564" i="48"/>
  <c r="H561" i="48"/>
  <c r="H556" i="48"/>
  <c r="H559" i="48"/>
  <c r="H553" i="48"/>
  <c r="H550" i="48"/>
  <c r="H547" i="48"/>
  <c r="H545" i="48"/>
  <c r="H542" i="48"/>
  <c r="H539" i="48"/>
  <c r="H536" i="48"/>
  <c r="H532" i="48"/>
  <c r="H529" i="48"/>
  <c r="H526" i="48"/>
  <c r="H524" i="48"/>
  <c r="H521" i="48"/>
  <c r="H517" i="48"/>
  <c r="H514" i="48"/>
  <c r="H509" i="48"/>
  <c r="H508" i="48"/>
  <c r="H505" i="48"/>
  <c r="H502" i="48"/>
  <c r="H499" i="48"/>
  <c r="H496" i="48"/>
  <c r="H493" i="48"/>
  <c r="H490" i="48"/>
  <c r="H486" i="48"/>
  <c r="H483" i="48"/>
  <c r="H480" i="48"/>
  <c r="H477" i="48"/>
  <c r="H474" i="48"/>
  <c r="H471" i="48"/>
  <c r="H468" i="48"/>
  <c r="H463" i="48"/>
  <c r="H462" i="48"/>
  <c r="H459" i="48"/>
  <c r="H456" i="48"/>
  <c r="H453" i="48"/>
  <c r="H450" i="48"/>
  <c r="H447" i="48"/>
  <c r="H443" i="48"/>
  <c r="H439" i="48"/>
  <c r="H436" i="48"/>
  <c r="H434" i="48"/>
  <c r="H431" i="48"/>
  <c r="H427" i="48"/>
  <c r="H424" i="48"/>
  <c r="H421" i="48"/>
  <c r="H417" i="48"/>
  <c r="H414" i="48"/>
  <c r="H397" i="48"/>
  <c r="H351" i="48"/>
  <c r="H316" i="48"/>
  <c r="H313" i="48"/>
  <c r="H310" i="48"/>
  <c r="H307" i="48"/>
  <c r="H304" i="48"/>
  <c r="H299" i="48"/>
  <c r="H295" i="48"/>
  <c r="H292" i="48"/>
  <c r="H289" i="48"/>
  <c r="H286" i="48"/>
  <c r="H283" i="48"/>
  <c r="H280" i="48"/>
  <c r="H277" i="48"/>
  <c r="H272" i="48"/>
  <c r="H270" i="48"/>
  <c r="H267" i="48"/>
  <c r="H264" i="48"/>
  <c r="H261" i="48"/>
  <c r="H258" i="48"/>
  <c r="H255" i="48"/>
  <c r="H252" i="48"/>
  <c r="H249" i="48"/>
  <c r="H246" i="48"/>
  <c r="H242" i="48"/>
  <c r="H239" i="48"/>
  <c r="H236" i="48"/>
  <c r="H233" i="48"/>
  <c r="H230" i="48"/>
  <c r="H227" i="48"/>
  <c r="H224" i="48"/>
  <c r="H221" i="48"/>
  <c r="H218" i="48"/>
  <c r="H215" i="48"/>
  <c r="H212" i="48"/>
  <c r="H209" i="48"/>
  <c r="H206" i="48"/>
  <c r="H203" i="48"/>
  <c r="H200" i="48"/>
  <c r="H197" i="48"/>
  <c r="H194" i="48"/>
  <c r="H191" i="48"/>
  <c r="H188" i="48"/>
  <c r="H185" i="48"/>
  <c r="H181" i="48"/>
  <c r="H177" i="48"/>
  <c r="H175" i="48"/>
  <c r="H172" i="48"/>
  <c r="H169" i="48"/>
  <c r="H166" i="48"/>
  <c r="H163" i="48"/>
  <c r="H160" i="48"/>
  <c r="H155" i="48"/>
  <c r="H152" i="48"/>
  <c r="H149" i="48"/>
  <c r="H146" i="48"/>
  <c r="H143" i="48"/>
  <c r="H140" i="48"/>
  <c r="H137" i="48"/>
  <c r="H557" i="48"/>
  <c r="H552" i="48"/>
  <c r="H549" i="48"/>
  <c r="H546" i="48"/>
  <c r="H544" i="48"/>
  <c r="H541" i="48"/>
  <c r="H538" i="48"/>
  <c r="H535" i="48"/>
  <c r="H531" i="48"/>
  <c r="H528" i="48"/>
  <c r="H525" i="48"/>
  <c r="H523" i="48"/>
  <c r="H520" i="48"/>
  <c r="H516" i="48"/>
  <c r="H513" i="48"/>
  <c r="H510" i="48"/>
  <c r="H506" i="48"/>
  <c r="H503" i="48"/>
  <c r="H500" i="48"/>
  <c r="H497" i="48"/>
  <c r="H494" i="48"/>
  <c r="H491" i="48"/>
  <c r="H488" i="48"/>
  <c r="H485" i="48"/>
  <c r="H481" i="48"/>
  <c r="H478" i="48"/>
  <c r="H476" i="48"/>
  <c r="H472" i="48"/>
  <c r="H469" i="48"/>
  <c r="H466" i="48"/>
  <c r="H464" i="48"/>
  <c r="H460" i="48"/>
  <c r="H457" i="48"/>
  <c r="H454" i="48"/>
  <c r="H451" i="48"/>
  <c r="H448" i="48"/>
  <c r="H445" i="48"/>
  <c r="H441" i="48"/>
  <c r="H438" i="48"/>
  <c r="H435" i="48"/>
  <c r="H432" i="48"/>
  <c r="H430" i="48"/>
  <c r="H426" i="48"/>
  <c r="H425" i="48"/>
  <c r="H423" i="48"/>
  <c r="H419" i="48"/>
  <c r="H416" i="48"/>
  <c r="H413" i="48"/>
  <c r="H378" i="48"/>
  <c r="H376" i="48"/>
  <c r="H374" i="48"/>
  <c r="H372" i="48"/>
  <c r="H369" i="48"/>
  <c r="H367" i="48"/>
  <c r="H365" i="48"/>
  <c r="H363" i="48"/>
  <c r="H361" i="48"/>
  <c r="H359" i="48"/>
  <c r="H354" i="48"/>
  <c r="H352" i="48"/>
  <c r="H348" i="48"/>
  <c r="H346" i="48"/>
  <c r="H344" i="48"/>
  <c r="H342" i="48"/>
  <c r="H339" i="48"/>
  <c r="H337" i="48"/>
  <c r="H335" i="48"/>
  <c r="H333" i="48"/>
  <c r="H330" i="48"/>
  <c r="H327" i="48"/>
  <c r="H325" i="48"/>
  <c r="H322" i="48"/>
  <c r="H320" i="48"/>
  <c r="H318" i="48"/>
  <c r="H315" i="48"/>
  <c r="H312" i="48"/>
  <c r="H309" i="48"/>
  <c r="H306" i="48"/>
  <c r="H303" i="48"/>
  <c r="H301" i="48"/>
  <c r="H298" i="48"/>
  <c r="H294" i="48"/>
  <c r="H291" i="48"/>
  <c r="H288" i="48"/>
  <c r="H285" i="48"/>
  <c r="H282" i="48"/>
  <c r="H279" i="48"/>
  <c r="H276" i="48"/>
  <c r="H273" i="48"/>
  <c r="H269" i="48"/>
  <c r="H266" i="48"/>
  <c r="H263" i="48"/>
  <c r="H260" i="48"/>
  <c r="H257" i="48"/>
  <c r="H254" i="48"/>
  <c r="H251" i="48"/>
  <c r="H248" i="48"/>
  <c r="H245" i="48"/>
  <c r="H241" i="48"/>
  <c r="H238" i="48"/>
  <c r="H235" i="48"/>
  <c r="H232" i="48"/>
  <c r="H229" i="48"/>
  <c r="H226" i="48"/>
  <c r="H223" i="48"/>
  <c r="H220" i="48"/>
  <c r="H217" i="48"/>
  <c r="H214" i="48"/>
  <c r="H211" i="48"/>
  <c r="H208" i="48"/>
  <c r="H205" i="48"/>
  <c r="H202" i="48"/>
  <c r="H199" i="48"/>
  <c r="H196" i="48"/>
  <c r="H193" i="48"/>
  <c r="H190" i="48"/>
  <c r="H187" i="48"/>
  <c r="H184" i="48"/>
  <c r="H182" i="48"/>
  <c r="H178" i="48"/>
  <c r="H174" i="48"/>
  <c r="H171" i="48"/>
  <c r="H168" i="48"/>
  <c r="H165" i="48"/>
  <c r="H162" i="48"/>
  <c r="H159" i="48"/>
  <c r="H154" i="48"/>
  <c r="H151" i="48"/>
  <c r="H148" i="48"/>
  <c r="H145" i="48"/>
  <c r="H142" i="48"/>
  <c r="H139" i="48"/>
  <c r="H135" i="48"/>
  <c r="H695" i="48"/>
  <c r="H692" i="48"/>
  <c r="H689" i="48"/>
  <c r="H686" i="48"/>
  <c r="H683" i="48"/>
  <c r="H680" i="48"/>
  <c r="H677" i="48"/>
  <c r="H674" i="48"/>
  <c r="H671" i="48"/>
  <c r="H668" i="48"/>
  <c r="H665" i="48"/>
  <c r="H662" i="48"/>
  <c r="H659" i="48"/>
  <c r="H656" i="48"/>
  <c r="H654" i="48"/>
  <c r="H652" i="48"/>
  <c r="H649" i="48"/>
  <c r="H646" i="48"/>
  <c r="H643" i="48"/>
  <c r="H640" i="48"/>
  <c r="H637" i="48"/>
  <c r="H634" i="48"/>
  <c r="H631" i="48"/>
  <c r="H628" i="48"/>
  <c r="H625" i="48"/>
  <c r="H622" i="48"/>
  <c r="H619" i="48"/>
  <c r="H615" i="48"/>
  <c r="H617" i="48"/>
  <c r="H612" i="48"/>
  <c r="H609" i="48"/>
  <c r="H606" i="48"/>
  <c r="H603" i="48"/>
  <c r="H600" i="48"/>
  <c r="H598" i="48"/>
  <c r="H595" i="48"/>
  <c r="H592" i="48"/>
  <c r="H589" i="48"/>
  <c r="H586" i="48"/>
  <c r="H583" i="48"/>
  <c r="H580" i="48"/>
  <c r="H577" i="48"/>
  <c r="H575" i="48"/>
  <c r="H570" i="48"/>
  <c r="H569" i="48"/>
  <c r="H566" i="48"/>
  <c r="H563" i="48"/>
  <c r="H558" i="48"/>
  <c r="H560" i="48"/>
  <c r="H554" i="48"/>
  <c r="H551" i="48"/>
  <c r="H548" i="48"/>
  <c r="H543" i="48"/>
  <c r="H540" i="48"/>
  <c r="H537" i="48"/>
  <c r="H534" i="48"/>
  <c r="H533" i="48"/>
  <c r="H530" i="48"/>
  <c r="H527" i="48"/>
  <c r="H522" i="48"/>
  <c r="H518" i="48"/>
  <c r="H519" i="48"/>
  <c r="H515" i="48"/>
  <c r="H512" i="48"/>
  <c r="H511" i="48"/>
  <c r="H507" i="48"/>
  <c r="H504" i="48"/>
  <c r="H501" i="48"/>
  <c r="H498" i="48"/>
  <c r="H495" i="48"/>
  <c r="H492" i="48"/>
  <c r="H489" i="48"/>
  <c r="H484" i="48"/>
  <c r="H487" i="48"/>
  <c r="H482" i="48"/>
  <c r="H479" i="48"/>
  <c r="H475" i="48"/>
  <c r="H473" i="48"/>
  <c r="H470" i="48"/>
  <c r="H467" i="48"/>
  <c r="H465" i="48"/>
  <c r="H461" i="48"/>
  <c r="H458" i="48"/>
  <c r="H455" i="48"/>
  <c r="H452" i="48"/>
  <c r="H449" i="48"/>
  <c r="H444" i="48"/>
  <c r="H446" i="48"/>
  <c r="H442" i="48"/>
  <c r="H440" i="48"/>
  <c r="H437" i="48"/>
  <c r="H433" i="48"/>
  <c r="H429" i="48"/>
  <c r="H428" i="48"/>
  <c r="H422" i="48"/>
  <c r="H420" i="48"/>
  <c r="H418" i="48"/>
  <c r="H415" i="48"/>
  <c r="H412" i="48"/>
  <c r="H411" i="48"/>
  <c r="H410" i="48"/>
  <c r="H409" i="48"/>
  <c r="H408" i="48"/>
  <c r="H407" i="48"/>
  <c r="H406" i="48"/>
  <c r="H405" i="48"/>
  <c r="H404" i="48"/>
  <c r="H403" i="48"/>
  <c r="H402" i="48"/>
  <c r="H401" i="48"/>
  <c r="H400" i="48"/>
  <c r="H399" i="48"/>
  <c r="H398" i="48"/>
  <c r="H395" i="48"/>
  <c r="H396" i="48"/>
  <c r="H394" i="48"/>
  <c r="H393" i="48"/>
  <c r="H392" i="48"/>
  <c r="H391" i="48"/>
  <c r="H390" i="48"/>
  <c r="H389" i="48"/>
  <c r="H388" i="48"/>
  <c r="H387" i="48"/>
  <c r="H386" i="48"/>
  <c r="H385" i="48"/>
  <c r="H383" i="48"/>
  <c r="H384" i="48"/>
  <c r="H382" i="48"/>
  <c r="H381" i="48"/>
  <c r="H380" i="48"/>
  <c r="H379" i="48"/>
  <c r="H377" i="48"/>
  <c r="H375" i="48"/>
  <c r="H373" i="48"/>
  <c r="H371" i="48"/>
  <c r="H370" i="48"/>
  <c r="H368" i="48"/>
  <c r="H366" i="48"/>
  <c r="H364" i="48"/>
  <c r="H362" i="48"/>
  <c r="H360" i="48"/>
  <c r="H358" i="48"/>
  <c r="H357" i="48"/>
  <c r="H356" i="48"/>
  <c r="H355" i="48"/>
  <c r="H353" i="48"/>
  <c r="H349" i="48"/>
  <c r="H350" i="48"/>
  <c r="H347" i="48"/>
  <c r="H345" i="48"/>
  <c r="H343" i="48"/>
  <c r="H340" i="48"/>
  <c r="H341" i="48"/>
  <c r="H338" i="48"/>
  <c r="H336" i="48"/>
  <c r="H334" i="48"/>
  <c r="H332" i="48"/>
  <c r="H331" i="48"/>
  <c r="H329" i="48"/>
  <c r="H328" i="48"/>
  <c r="H326" i="48"/>
  <c r="H323" i="48"/>
  <c r="H324" i="48"/>
  <c r="H321" i="48"/>
  <c r="H319" i="48"/>
  <c r="H317" i="48"/>
  <c r="H314" i="48"/>
  <c r="H311" i="48"/>
  <c r="H308" i="48"/>
  <c r="H305" i="48"/>
  <c r="H302" i="48"/>
  <c r="H300" i="48"/>
  <c r="H297" i="48"/>
  <c r="H296" i="48"/>
  <c r="H293" i="48"/>
  <c r="H290" i="48"/>
  <c r="H287" i="48"/>
  <c r="H284" i="48"/>
  <c r="H281" i="48"/>
  <c r="H278" i="48"/>
  <c r="H275" i="48"/>
  <c r="H271" i="48"/>
  <c r="H274" i="48"/>
  <c r="H268" i="48"/>
  <c r="H265" i="48"/>
  <c r="H262" i="48"/>
  <c r="H259" i="48"/>
  <c r="H256" i="48"/>
  <c r="H253" i="48"/>
  <c r="H250" i="48"/>
  <c r="H247" i="48"/>
  <c r="H244" i="48"/>
  <c r="H243" i="48"/>
  <c r="H240" i="48"/>
  <c r="H237" i="48"/>
  <c r="H234" i="48"/>
  <c r="H231" i="48"/>
  <c r="H228" i="48"/>
  <c r="H225" i="48"/>
  <c r="H222" i="48"/>
  <c r="H219" i="48"/>
  <c r="H216" i="48"/>
  <c r="H213" i="48"/>
  <c r="H210" i="48"/>
  <c r="H207" i="48"/>
  <c r="H204" i="48"/>
  <c r="H201" i="48"/>
  <c r="H198" i="48"/>
  <c r="H195" i="48"/>
  <c r="H192" i="48"/>
  <c r="H189" i="48"/>
  <c r="H186" i="48"/>
  <c r="H183" i="48"/>
  <c r="H180" i="48"/>
  <c r="H179" i="48"/>
  <c r="H176" i="48"/>
  <c r="H173" i="48"/>
  <c r="H170" i="48"/>
  <c r="H167" i="48"/>
  <c r="H164" i="48"/>
  <c r="H161" i="48"/>
  <c r="H156" i="48"/>
  <c r="H157" i="48"/>
  <c r="H158" i="48"/>
  <c r="H153" i="48"/>
  <c r="H150" i="48"/>
  <c r="H147" i="48"/>
  <c r="H144" i="48"/>
  <c r="H141" i="48"/>
  <c r="H138" i="48"/>
  <c r="H136" i="48"/>
  <c r="H3" i="48"/>
  <c r="G6" i="48"/>
  <c r="G5" i="48"/>
  <c r="G4" i="48"/>
  <c r="G10" i="48"/>
  <c r="G11" i="48"/>
  <c r="G9" i="48"/>
  <c r="G8" i="48"/>
  <c r="G7" i="48"/>
  <c r="G15" i="48"/>
  <c r="G14" i="48"/>
  <c r="G13" i="48"/>
  <c r="G12" i="48"/>
  <c r="G18" i="48"/>
  <c r="G17" i="48"/>
  <c r="G16" i="48"/>
  <c r="G22" i="48"/>
  <c r="G21" i="48"/>
  <c r="G20" i="48"/>
  <c r="G19" i="48"/>
  <c r="G26" i="48"/>
  <c r="G25" i="48"/>
  <c r="G24" i="48"/>
  <c r="G23" i="48"/>
  <c r="G29" i="48"/>
  <c r="G28" i="48"/>
  <c r="G27" i="48"/>
  <c r="G33" i="48"/>
  <c r="G32" i="48"/>
  <c r="G31" i="48"/>
  <c r="G30" i="48"/>
  <c r="G39" i="48"/>
  <c r="G38" i="48"/>
  <c r="G36" i="48"/>
  <c r="G35" i="48"/>
  <c r="G37" i="48"/>
  <c r="G34" i="48"/>
  <c r="G42" i="48"/>
  <c r="G41" i="48"/>
  <c r="G40" i="48"/>
  <c r="G47" i="48"/>
  <c r="G46" i="48"/>
  <c r="G44" i="48"/>
  <c r="G45" i="48"/>
  <c r="G43" i="48"/>
  <c r="G51" i="48"/>
  <c r="G50" i="48"/>
  <c r="G49" i="48"/>
  <c r="G48" i="48"/>
  <c r="G54" i="48"/>
  <c r="G53" i="48"/>
  <c r="G52" i="48"/>
  <c r="G58" i="48"/>
  <c r="G57" i="48"/>
  <c r="G56" i="48"/>
  <c r="G55" i="48"/>
  <c r="G61" i="48"/>
  <c r="G60" i="48"/>
  <c r="G59" i="48"/>
  <c r="G65" i="48"/>
  <c r="G64" i="48"/>
  <c r="G63" i="48"/>
  <c r="G62" i="48"/>
  <c r="G70" i="48"/>
  <c r="G68" i="48"/>
  <c r="G69" i="48"/>
  <c r="G67" i="48"/>
  <c r="G66" i="48"/>
  <c r="G74" i="48"/>
  <c r="G73" i="48"/>
  <c r="G72" i="48"/>
  <c r="G71" i="48"/>
  <c r="G78" i="48"/>
  <c r="G77" i="48"/>
  <c r="G76" i="48"/>
  <c r="G75" i="48"/>
  <c r="G82" i="48"/>
  <c r="G81" i="48"/>
  <c r="G80" i="48"/>
  <c r="G79" i="48"/>
  <c r="G85" i="48"/>
  <c r="G86" i="48"/>
  <c r="G84" i="48"/>
  <c r="G83" i="48"/>
  <c r="G90" i="48"/>
  <c r="G89" i="48"/>
  <c r="G88" i="48"/>
  <c r="G87" i="48"/>
  <c r="G94" i="48"/>
  <c r="G93" i="48"/>
  <c r="G92" i="48"/>
  <c r="G91" i="48"/>
  <c r="G97" i="48"/>
  <c r="G96" i="48"/>
  <c r="G95" i="48"/>
  <c r="G101" i="48"/>
  <c r="G100" i="48"/>
  <c r="G99" i="48"/>
  <c r="G98" i="48"/>
  <c r="G105" i="48"/>
  <c r="G104" i="48"/>
  <c r="G103" i="48"/>
  <c r="G102" i="48"/>
  <c r="G108" i="48"/>
  <c r="G109" i="48"/>
  <c r="G107" i="48"/>
  <c r="G106" i="48"/>
  <c r="G113" i="48"/>
  <c r="G112" i="48"/>
  <c r="G111" i="48"/>
  <c r="G110" i="48"/>
  <c r="G117" i="48"/>
  <c r="G116" i="48"/>
  <c r="G115" i="48"/>
  <c r="G114" i="48"/>
  <c r="G122" i="48"/>
  <c r="G121" i="48"/>
  <c r="G120" i="48"/>
  <c r="G118" i="48"/>
  <c r="G119" i="48"/>
  <c r="G126" i="48"/>
  <c r="G125" i="48"/>
  <c r="G124" i="48"/>
  <c r="G123" i="48"/>
  <c r="G130" i="48"/>
  <c r="G129" i="48"/>
  <c r="G128" i="48"/>
  <c r="G127" i="48"/>
  <c r="G133" i="48"/>
  <c r="G132" i="48"/>
  <c r="G131" i="48"/>
  <c r="G134" i="48"/>
  <c r="G904" i="48"/>
  <c r="G903" i="48"/>
  <c r="G902" i="48"/>
  <c r="G901" i="48"/>
  <c r="G900" i="48"/>
  <c r="G899" i="48"/>
  <c r="G898" i="48"/>
  <c r="G897" i="48"/>
  <c r="G896" i="48"/>
  <c r="G895" i="48"/>
  <c r="G894" i="48"/>
  <c r="G893" i="48"/>
  <c r="G892" i="48"/>
  <c r="G891" i="48"/>
  <c r="G890" i="48"/>
  <c r="G889" i="48"/>
  <c r="G888" i="48"/>
  <c r="G887" i="48"/>
  <c r="G886" i="48"/>
  <c r="G885" i="48"/>
  <c r="G884" i="48"/>
  <c r="G883" i="48"/>
  <c r="G882" i="48"/>
  <c r="G881" i="48"/>
  <c r="G880" i="48"/>
  <c r="G879" i="48"/>
  <c r="G878" i="48"/>
  <c r="G877" i="48"/>
  <c r="G876" i="48"/>
  <c r="G875" i="48"/>
  <c r="G874" i="48"/>
  <c r="G873" i="48"/>
  <c r="G872" i="48"/>
  <c r="G871" i="48"/>
  <c r="G869" i="48"/>
  <c r="G867" i="48"/>
  <c r="G865" i="48"/>
  <c r="G863" i="48"/>
  <c r="G861" i="48"/>
  <c r="G860" i="48"/>
  <c r="G859" i="48"/>
  <c r="G858" i="48"/>
  <c r="G857" i="48"/>
  <c r="G855" i="48"/>
  <c r="G852" i="48"/>
  <c r="G851" i="48"/>
  <c r="G849" i="48"/>
  <c r="G847" i="48"/>
  <c r="G845" i="48"/>
  <c r="G843" i="48"/>
  <c r="G841" i="48"/>
  <c r="G839" i="48"/>
  <c r="G837" i="48"/>
  <c r="G835" i="48"/>
  <c r="G833" i="48"/>
  <c r="G831" i="48"/>
  <c r="G829" i="48"/>
  <c r="G827" i="48"/>
  <c r="G825" i="48"/>
  <c r="G823" i="48"/>
  <c r="G821" i="48"/>
  <c r="G819" i="48"/>
  <c r="G817" i="48"/>
  <c r="G815" i="48"/>
  <c r="G813" i="48"/>
  <c r="G811" i="48"/>
  <c r="G809" i="48"/>
  <c r="G807" i="48"/>
  <c r="G805" i="48"/>
  <c r="G803" i="48"/>
  <c r="G801" i="48"/>
  <c r="G799" i="48"/>
  <c r="G797" i="48"/>
  <c r="G795" i="48"/>
  <c r="G793" i="48"/>
  <c r="G790" i="48"/>
  <c r="G789" i="48"/>
  <c r="G787" i="48"/>
  <c r="G785" i="48"/>
  <c r="G783" i="48"/>
  <c r="G781" i="48"/>
  <c r="G779" i="48"/>
  <c r="G777" i="48"/>
  <c r="G775" i="48"/>
  <c r="G773" i="48"/>
  <c r="G771" i="48"/>
  <c r="G769" i="48"/>
  <c r="G767" i="48"/>
  <c r="G765" i="48"/>
  <c r="G763" i="48"/>
  <c r="G760" i="48"/>
  <c r="G759" i="48"/>
  <c r="G757" i="48"/>
  <c r="G755" i="48"/>
  <c r="G753" i="48"/>
  <c r="G751" i="48"/>
  <c r="G749" i="48"/>
  <c r="G747" i="48"/>
  <c r="G745" i="48"/>
  <c r="G743" i="48"/>
  <c r="G741" i="48"/>
  <c r="G739" i="48"/>
  <c r="G737" i="48"/>
  <c r="G735" i="48"/>
  <c r="G733" i="48"/>
  <c r="G730" i="48"/>
  <c r="G729" i="48"/>
  <c r="G727" i="48"/>
  <c r="G725" i="48"/>
  <c r="G723" i="48"/>
  <c r="G721" i="48"/>
  <c r="G719" i="48"/>
  <c r="G717" i="48"/>
  <c r="G715" i="48"/>
  <c r="G713" i="48"/>
  <c r="G711" i="48"/>
  <c r="G709" i="48"/>
  <c r="G707" i="48"/>
  <c r="G705" i="48"/>
  <c r="G703" i="48"/>
  <c r="G701" i="48"/>
  <c r="G699" i="48"/>
  <c r="G697" i="48"/>
  <c r="G694" i="48"/>
  <c r="G691" i="48"/>
  <c r="G688" i="48"/>
  <c r="G685" i="48"/>
  <c r="G682" i="48"/>
  <c r="G678" i="48"/>
  <c r="G675" i="48"/>
  <c r="G673" i="48"/>
  <c r="G670" i="48"/>
  <c r="G667" i="48"/>
  <c r="G664" i="48"/>
  <c r="G661" i="48"/>
  <c r="G658" i="48"/>
  <c r="G653" i="48"/>
  <c r="G651" i="48"/>
  <c r="G648" i="48"/>
  <c r="G645" i="48"/>
  <c r="G642" i="48"/>
  <c r="G639" i="48"/>
  <c r="G636" i="48"/>
  <c r="G633" i="48"/>
  <c r="G630" i="48"/>
  <c r="G627" i="48"/>
  <c r="G624" i="48"/>
  <c r="G621" i="48"/>
  <c r="G618" i="48"/>
  <c r="G614" i="48"/>
  <c r="G611" i="48"/>
  <c r="G608" i="48"/>
  <c r="G605" i="48"/>
  <c r="G602" i="48"/>
  <c r="G599" i="48"/>
  <c r="G596" i="48"/>
  <c r="G593" i="48"/>
  <c r="G590" i="48"/>
  <c r="G587" i="48"/>
  <c r="G584" i="48"/>
  <c r="G581" i="48"/>
  <c r="G578" i="48"/>
  <c r="G574" i="48"/>
  <c r="G572" i="48"/>
  <c r="G568" i="48"/>
  <c r="G565" i="48"/>
  <c r="G562" i="48"/>
  <c r="G555" i="48"/>
  <c r="G870" i="48"/>
  <c r="G868" i="48"/>
  <c r="G866" i="48"/>
  <c r="G864" i="48"/>
  <c r="G862" i="48"/>
  <c r="G856" i="48"/>
  <c r="G854" i="48"/>
  <c r="G853" i="48"/>
  <c r="G850" i="48"/>
  <c r="G848" i="48"/>
  <c r="G846" i="48"/>
  <c r="G844" i="48"/>
  <c r="G842" i="48"/>
  <c r="G840" i="48"/>
  <c r="G838" i="48"/>
  <c r="G836" i="48"/>
  <c r="G834" i="48"/>
  <c r="G832" i="48"/>
  <c r="G830" i="48"/>
  <c r="G828" i="48"/>
  <c r="G826" i="48"/>
  <c r="G824" i="48"/>
  <c r="G822" i="48"/>
  <c r="G820" i="48"/>
  <c r="G818" i="48"/>
  <c r="G816" i="48"/>
  <c r="G814" i="48"/>
  <c r="G812" i="48"/>
  <c r="G810" i="48"/>
  <c r="G808" i="48"/>
  <c r="G806" i="48"/>
  <c r="G804" i="48"/>
  <c r="G802" i="48"/>
  <c r="G800" i="48"/>
  <c r="G798" i="48"/>
  <c r="G796" i="48"/>
  <c r="G794" i="48"/>
  <c r="G792" i="48"/>
  <c r="G791" i="48"/>
  <c r="G788" i="48"/>
  <c r="G786" i="48"/>
  <c r="G784" i="48"/>
  <c r="G782" i="48"/>
  <c r="G780" i="48"/>
  <c r="G778" i="48"/>
  <c r="G776" i="48"/>
  <c r="G774" i="48"/>
  <c r="G772" i="48"/>
  <c r="G770" i="48"/>
  <c r="G768" i="48"/>
  <c r="G766" i="48"/>
  <c r="G764" i="48"/>
  <c r="G762" i="48"/>
  <c r="G761" i="48"/>
  <c r="G758" i="48"/>
  <c r="G756" i="48"/>
  <c r="G754" i="48"/>
  <c r="G752" i="48"/>
  <c r="G750" i="48"/>
  <c r="G748" i="48"/>
  <c r="G746" i="48"/>
  <c r="G744" i="48"/>
  <c r="G742" i="48"/>
  <c r="G740" i="48"/>
  <c r="G738" i="48"/>
  <c r="G736" i="48"/>
  <c r="G734" i="48"/>
  <c r="G732" i="48"/>
  <c r="G731" i="48"/>
  <c r="G728" i="48"/>
  <c r="G726" i="48"/>
  <c r="G724" i="48"/>
  <c r="G722" i="48"/>
  <c r="G720" i="48"/>
  <c r="G718" i="48"/>
  <c r="G716" i="48"/>
  <c r="G714" i="48"/>
  <c r="G712" i="48"/>
  <c r="G710" i="48"/>
  <c r="G708" i="48"/>
  <c r="G706" i="48"/>
  <c r="G704" i="48"/>
  <c r="G702" i="48"/>
  <c r="G700" i="48"/>
  <c r="G698" i="48"/>
  <c r="G696" i="48"/>
  <c r="G693" i="48"/>
  <c r="G690" i="48"/>
  <c r="G687" i="48"/>
  <c r="G684" i="48"/>
  <c r="G681" i="48"/>
  <c r="G679" i="48"/>
  <c r="G676" i="48"/>
  <c r="G672" i="48"/>
  <c r="G669" i="48"/>
  <c r="G666" i="48"/>
  <c r="G663" i="48"/>
  <c r="G660" i="48"/>
  <c r="G657" i="48"/>
  <c r="G655" i="48"/>
  <c r="G650" i="48"/>
  <c r="G647" i="48"/>
  <c r="G644" i="48"/>
  <c r="G641" i="48"/>
  <c r="G638" i="48"/>
  <c r="G635" i="48"/>
  <c r="G632" i="48"/>
  <c r="G629" i="48"/>
  <c r="G626" i="48"/>
  <c r="G623" i="48"/>
  <c r="G620" i="48"/>
  <c r="G616" i="48"/>
  <c r="G613" i="48"/>
  <c r="G610" i="48"/>
  <c r="G607" i="48"/>
  <c r="G604" i="48"/>
  <c r="G601" i="48"/>
  <c r="G597" i="48"/>
  <c r="G594" i="48"/>
  <c r="G591" i="48"/>
  <c r="G588" i="48"/>
  <c r="G585" i="48"/>
  <c r="G582" i="48"/>
  <c r="G579" i="48"/>
  <c r="G576" i="48"/>
  <c r="G573" i="48"/>
  <c r="G571" i="48"/>
  <c r="G567" i="48"/>
  <c r="G564" i="48"/>
  <c r="G561" i="48"/>
  <c r="G556" i="48"/>
  <c r="G559" i="48"/>
  <c r="G553" i="48"/>
  <c r="G550" i="48"/>
  <c r="G547" i="48"/>
  <c r="G545" i="48"/>
  <c r="G542" i="48"/>
  <c r="G539" i="48"/>
  <c r="G536" i="48"/>
  <c r="G532" i="48"/>
  <c r="G529" i="48"/>
  <c r="G526" i="48"/>
  <c r="G524" i="48"/>
  <c r="G521" i="48"/>
  <c r="G517" i="48"/>
  <c r="G514" i="48"/>
  <c r="G509" i="48"/>
  <c r="G508" i="48"/>
  <c r="G505" i="48"/>
  <c r="G502" i="48"/>
  <c r="G499" i="48"/>
  <c r="G496" i="48"/>
  <c r="G493" i="48"/>
  <c r="G490" i="48"/>
  <c r="G486" i="48"/>
  <c r="G483" i="48"/>
  <c r="G480" i="48"/>
  <c r="G477" i="48"/>
  <c r="G474" i="48"/>
  <c r="G471" i="48"/>
  <c r="G468" i="48"/>
  <c r="G463" i="48"/>
  <c r="G462" i="48"/>
  <c r="G459" i="48"/>
  <c r="G456" i="48"/>
  <c r="G453" i="48"/>
  <c r="G450" i="48"/>
  <c r="G447" i="48"/>
  <c r="G443" i="48"/>
  <c r="G439" i="48"/>
  <c r="G436" i="48"/>
  <c r="G434" i="48"/>
  <c r="G431" i="48"/>
  <c r="G427" i="48"/>
  <c r="G424" i="48"/>
  <c r="G421" i="48"/>
  <c r="G417" i="48"/>
  <c r="G414" i="48"/>
  <c r="G397" i="48"/>
  <c r="G351" i="48"/>
  <c r="G316" i="48"/>
  <c r="G313" i="48"/>
  <c r="G310" i="48"/>
  <c r="G307" i="48"/>
  <c r="G304" i="48"/>
  <c r="G299" i="48"/>
  <c r="G295" i="48"/>
  <c r="G292" i="48"/>
  <c r="G289" i="48"/>
  <c r="G286" i="48"/>
  <c r="G283" i="48"/>
  <c r="G280" i="48"/>
  <c r="G277" i="48"/>
  <c r="G272" i="48"/>
  <c r="G270" i="48"/>
  <c r="G267" i="48"/>
  <c r="G264" i="48"/>
  <c r="G261" i="48"/>
  <c r="G258" i="48"/>
  <c r="G255" i="48"/>
  <c r="G252" i="48"/>
  <c r="G249" i="48"/>
  <c r="G246" i="48"/>
  <c r="G242" i="48"/>
  <c r="G239" i="48"/>
  <c r="G236" i="48"/>
  <c r="G233" i="48"/>
  <c r="G230" i="48"/>
  <c r="G227" i="48"/>
  <c r="G224" i="48"/>
  <c r="G221" i="48"/>
  <c r="G218" i="48"/>
  <c r="G215" i="48"/>
  <c r="G212" i="48"/>
  <c r="G209" i="48"/>
  <c r="G206" i="48"/>
  <c r="G203" i="48"/>
  <c r="G200" i="48"/>
  <c r="G197" i="48"/>
  <c r="G194" i="48"/>
  <c r="G191" i="48"/>
  <c r="G188" i="48"/>
  <c r="G185" i="48"/>
  <c r="G181" i="48"/>
  <c r="G177" i="48"/>
  <c r="G175" i="48"/>
  <c r="G172" i="48"/>
  <c r="G169" i="48"/>
  <c r="G166" i="48"/>
  <c r="G163" i="48"/>
  <c r="G160" i="48"/>
  <c r="G155" i="48"/>
  <c r="G152" i="48"/>
  <c r="G149" i="48"/>
  <c r="G146" i="48"/>
  <c r="G143" i="48"/>
  <c r="G140" i="48"/>
  <c r="G137" i="48"/>
  <c r="G557" i="48"/>
  <c r="G552" i="48"/>
  <c r="G549" i="48"/>
  <c r="G546" i="48"/>
  <c r="G544" i="48"/>
  <c r="G541" i="48"/>
  <c r="G538" i="48"/>
  <c r="G535" i="48"/>
  <c r="G531" i="48"/>
  <c r="G528" i="48"/>
  <c r="G525" i="48"/>
  <c r="G523" i="48"/>
  <c r="G520" i="48"/>
  <c r="G516" i="48"/>
  <c r="G513" i="48"/>
  <c r="G510" i="48"/>
  <c r="G506" i="48"/>
  <c r="G503" i="48"/>
  <c r="G500" i="48"/>
  <c r="G497" i="48"/>
  <c r="G494" i="48"/>
  <c r="G491" i="48"/>
  <c r="G488" i="48"/>
  <c r="G485" i="48"/>
  <c r="G481" i="48"/>
  <c r="G478" i="48"/>
  <c r="G476" i="48"/>
  <c r="G472" i="48"/>
  <c r="G469" i="48"/>
  <c r="G466" i="48"/>
  <c r="G464" i="48"/>
  <c r="G460" i="48"/>
  <c r="G457" i="48"/>
  <c r="G454" i="48"/>
  <c r="G451" i="48"/>
  <c r="G448" i="48"/>
  <c r="G445" i="48"/>
  <c r="G441" i="48"/>
  <c r="G438" i="48"/>
  <c r="G435" i="48"/>
  <c r="G432" i="48"/>
  <c r="G430" i="48"/>
  <c r="G426" i="48"/>
  <c r="G425" i="48"/>
  <c r="G423" i="48"/>
  <c r="G419" i="48"/>
  <c r="G416" i="48"/>
  <c r="G413" i="48"/>
  <c r="G378" i="48"/>
  <c r="G376" i="48"/>
  <c r="G374" i="48"/>
  <c r="G372" i="48"/>
  <c r="G369" i="48"/>
  <c r="G367" i="48"/>
  <c r="G365" i="48"/>
  <c r="G363" i="48"/>
  <c r="G361" i="48"/>
  <c r="G359" i="48"/>
  <c r="G354" i="48"/>
  <c r="G352" i="48"/>
  <c r="G348" i="48"/>
  <c r="G346" i="48"/>
  <c r="G344" i="48"/>
  <c r="G342" i="48"/>
  <c r="G339" i="48"/>
  <c r="G337" i="48"/>
  <c r="G335" i="48"/>
  <c r="G333" i="48"/>
  <c r="G330" i="48"/>
  <c r="G327" i="48"/>
  <c r="G325" i="48"/>
  <c r="G322" i="48"/>
  <c r="G320" i="48"/>
  <c r="G318" i="48"/>
  <c r="G315" i="48"/>
  <c r="G312" i="48"/>
  <c r="G309" i="48"/>
  <c r="G306" i="48"/>
  <c r="G303" i="48"/>
  <c r="G301" i="48"/>
  <c r="G298" i="48"/>
  <c r="G294" i="48"/>
  <c r="G291" i="48"/>
  <c r="G288" i="48"/>
  <c r="G285" i="48"/>
  <c r="G282" i="48"/>
  <c r="G279" i="48"/>
  <c r="G276" i="48"/>
  <c r="G273" i="48"/>
  <c r="G269" i="48"/>
  <c r="G266" i="48"/>
  <c r="G263" i="48"/>
  <c r="G260" i="48"/>
  <c r="G257" i="48"/>
  <c r="G254" i="48"/>
  <c r="G251" i="48"/>
  <c r="G248" i="48"/>
  <c r="G245" i="48"/>
  <c r="G241" i="48"/>
  <c r="G238" i="48"/>
  <c r="G235" i="48"/>
  <c r="G232" i="48"/>
  <c r="G229" i="48"/>
  <c r="G226" i="48"/>
  <c r="G223" i="48"/>
  <c r="G220" i="48"/>
  <c r="G217" i="48"/>
  <c r="G214" i="48"/>
  <c r="G211" i="48"/>
  <c r="G208" i="48"/>
  <c r="G205" i="48"/>
  <c r="G202" i="48"/>
  <c r="G199" i="48"/>
  <c r="G196" i="48"/>
  <c r="G193" i="48"/>
  <c r="G190" i="48"/>
  <c r="G187" i="48"/>
  <c r="G184" i="48"/>
  <c r="G182" i="48"/>
  <c r="G178" i="48"/>
  <c r="G174" i="48"/>
  <c r="G171" i="48"/>
  <c r="G168" i="48"/>
  <c r="G165" i="48"/>
  <c r="G162" i="48"/>
  <c r="G159" i="48"/>
  <c r="G154" i="48"/>
  <c r="G151" i="48"/>
  <c r="G148" i="48"/>
  <c r="G145" i="48"/>
  <c r="G142" i="48"/>
  <c r="G139" i="48"/>
  <c r="G135" i="48"/>
  <c r="G695" i="48"/>
  <c r="G692" i="48"/>
  <c r="G689" i="48"/>
  <c r="G686" i="48"/>
  <c r="G683" i="48"/>
  <c r="G680" i="48"/>
  <c r="G677" i="48"/>
  <c r="G674" i="48"/>
  <c r="G671" i="48"/>
  <c r="G668" i="48"/>
  <c r="G665" i="48"/>
  <c r="G662" i="48"/>
  <c r="G659" i="48"/>
  <c r="G656" i="48"/>
  <c r="G654" i="48"/>
  <c r="G652" i="48"/>
  <c r="G649" i="48"/>
  <c r="G646" i="48"/>
  <c r="G643" i="48"/>
  <c r="G640" i="48"/>
  <c r="G637" i="48"/>
  <c r="G634" i="48"/>
  <c r="G631" i="48"/>
  <c r="G628" i="48"/>
  <c r="G625" i="48"/>
  <c r="G622" i="48"/>
  <c r="G619" i="48"/>
  <c r="G615" i="48"/>
  <c r="G617" i="48"/>
  <c r="G612" i="48"/>
  <c r="G609" i="48"/>
  <c r="G606" i="48"/>
  <c r="G603" i="48"/>
  <c r="G600" i="48"/>
  <c r="G598" i="48"/>
  <c r="G595" i="48"/>
  <c r="G592" i="48"/>
  <c r="G589" i="48"/>
  <c r="G586" i="48"/>
  <c r="G583" i="48"/>
  <c r="G580" i="48"/>
  <c r="G577" i="48"/>
  <c r="G575" i="48"/>
  <c r="G570" i="48"/>
  <c r="G569" i="48"/>
  <c r="G566" i="48"/>
  <c r="G563" i="48"/>
  <c r="G558" i="48"/>
  <c r="G560" i="48"/>
  <c r="G554" i="48"/>
  <c r="G551" i="48"/>
  <c r="G548" i="48"/>
  <c r="G543" i="48"/>
  <c r="G540" i="48"/>
  <c r="G537" i="48"/>
  <c r="G534" i="48"/>
  <c r="G533" i="48"/>
  <c r="G530" i="48"/>
  <c r="G527" i="48"/>
  <c r="G522" i="48"/>
  <c r="G518" i="48"/>
  <c r="G519" i="48"/>
  <c r="G515" i="48"/>
  <c r="G512" i="48"/>
  <c r="G511" i="48"/>
  <c r="G507" i="48"/>
  <c r="G504" i="48"/>
  <c r="G501" i="48"/>
  <c r="G498" i="48"/>
  <c r="G495" i="48"/>
  <c r="G492" i="48"/>
  <c r="G489" i="48"/>
  <c r="G484" i="48"/>
  <c r="G487" i="48"/>
  <c r="G482" i="48"/>
  <c r="G479" i="48"/>
  <c r="G475" i="48"/>
  <c r="G473" i="48"/>
  <c r="G470" i="48"/>
  <c r="G467" i="48"/>
  <c r="G465" i="48"/>
  <c r="G461" i="48"/>
  <c r="G458" i="48"/>
  <c r="G455" i="48"/>
  <c r="G452" i="48"/>
  <c r="G449" i="48"/>
  <c r="G444" i="48"/>
  <c r="G446" i="48"/>
  <c r="G442" i="48"/>
  <c r="G440" i="48"/>
  <c r="G437" i="48"/>
  <c r="G433" i="48"/>
  <c r="G429" i="48"/>
  <c r="G428" i="48"/>
  <c r="G422" i="48"/>
  <c r="G420" i="48"/>
  <c r="G418" i="48"/>
  <c r="G415" i="48"/>
  <c r="G412" i="48"/>
  <c r="G411" i="48"/>
  <c r="G410" i="48"/>
  <c r="G409" i="48"/>
  <c r="G408" i="48"/>
  <c r="G407" i="48"/>
  <c r="G406" i="48"/>
  <c r="G405" i="48"/>
  <c r="G404" i="48"/>
  <c r="G403" i="48"/>
  <c r="G402" i="48"/>
  <c r="G401" i="48"/>
  <c r="G400" i="48"/>
  <c r="G399" i="48"/>
  <c r="G398" i="48"/>
  <c r="G395" i="48"/>
  <c r="G396" i="48"/>
  <c r="G394" i="48"/>
  <c r="G393" i="48"/>
  <c r="G392" i="48"/>
  <c r="G391" i="48"/>
  <c r="G390" i="48"/>
  <c r="G389" i="48"/>
  <c r="G388" i="48"/>
  <c r="G387" i="48"/>
  <c r="G386" i="48"/>
  <c r="G385" i="48"/>
  <c r="G383" i="48"/>
  <c r="G384" i="48"/>
  <c r="G382" i="48"/>
  <c r="G381" i="48"/>
  <c r="G380" i="48"/>
  <c r="G379" i="48"/>
  <c r="G377" i="48"/>
  <c r="G375" i="48"/>
  <c r="G373" i="48"/>
  <c r="G371" i="48"/>
  <c r="G370" i="48"/>
  <c r="G368" i="48"/>
  <c r="G366" i="48"/>
  <c r="G364" i="48"/>
  <c r="G362" i="48"/>
  <c r="G360" i="48"/>
  <c r="G358" i="48"/>
  <c r="G357" i="48"/>
  <c r="G356" i="48"/>
  <c r="G355" i="48"/>
  <c r="G353" i="48"/>
  <c r="G349" i="48"/>
  <c r="G350" i="48"/>
  <c r="G347" i="48"/>
  <c r="G345" i="48"/>
  <c r="G343" i="48"/>
  <c r="G340" i="48"/>
  <c r="G341" i="48"/>
  <c r="G338" i="48"/>
  <c r="G336" i="48"/>
  <c r="G334" i="48"/>
  <c r="G332" i="48"/>
  <c r="G331" i="48"/>
  <c r="G329" i="48"/>
  <c r="G328" i="48"/>
  <c r="G326" i="48"/>
  <c r="G323" i="48"/>
  <c r="G324" i="48"/>
  <c r="G321" i="48"/>
  <c r="G319" i="48"/>
  <c r="G317" i="48"/>
  <c r="G314" i="48"/>
  <c r="G311" i="48"/>
  <c r="G308" i="48"/>
  <c r="G305" i="48"/>
  <c r="G302" i="48"/>
  <c r="G300" i="48"/>
  <c r="G297" i="48"/>
  <c r="G296" i="48"/>
  <c r="G293" i="48"/>
  <c r="G290" i="48"/>
  <c r="G287" i="48"/>
  <c r="G284" i="48"/>
  <c r="G281" i="48"/>
  <c r="G278" i="48"/>
  <c r="G275" i="48"/>
  <c r="G271" i="48"/>
  <c r="G274" i="48"/>
  <c r="G268" i="48"/>
  <c r="G265" i="48"/>
  <c r="G262" i="48"/>
  <c r="G259" i="48"/>
  <c r="G256" i="48"/>
  <c r="G253" i="48"/>
  <c r="G250" i="48"/>
  <c r="G247" i="48"/>
  <c r="G244" i="48"/>
  <c r="G243" i="48"/>
  <c r="G240" i="48"/>
  <c r="G237" i="48"/>
  <c r="G234" i="48"/>
  <c r="G231" i="48"/>
  <c r="G228" i="48"/>
  <c r="G225" i="48"/>
  <c r="G222" i="48"/>
  <c r="G219" i="48"/>
  <c r="G216" i="48"/>
  <c r="G213" i="48"/>
  <c r="G210" i="48"/>
  <c r="G207" i="48"/>
  <c r="G204" i="48"/>
  <c r="G201" i="48"/>
  <c r="G198" i="48"/>
  <c r="G195" i="48"/>
  <c r="G192" i="48"/>
  <c r="G189" i="48"/>
  <c r="G186" i="48"/>
  <c r="G183" i="48"/>
  <c r="G180" i="48"/>
  <c r="G179" i="48"/>
  <c r="G176" i="48"/>
  <c r="G173" i="48"/>
  <c r="G170" i="48"/>
  <c r="G167" i="48"/>
  <c r="G164" i="48"/>
  <c r="G161" i="48"/>
  <c r="G156" i="48"/>
  <c r="G157" i="48"/>
  <c r="G158" i="48"/>
  <c r="G153" i="48"/>
  <c r="G150" i="48"/>
  <c r="G147" i="48"/>
  <c r="G144" i="48"/>
  <c r="G141" i="48"/>
  <c r="G138" i="48"/>
  <c r="G136" i="48"/>
  <c r="G3" i="48"/>
  <c r="U118" i="58" l="1"/>
  <c r="H19" i="2" l="1"/>
  <c r="B71" i="57"/>
  <c r="I903" i="48" l="1"/>
  <c r="I902" i="48"/>
  <c r="I901" i="48"/>
  <c r="I900" i="48"/>
  <c r="I899" i="48"/>
  <c r="I898" i="48"/>
  <c r="I897" i="48"/>
  <c r="I896" i="48"/>
  <c r="I895" i="48"/>
  <c r="I894" i="48"/>
  <c r="I893" i="48"/>
  <c r="I892" i="48"/>
  <c r="I891" i="48"/>
  <c r="I890" i="48"/>
  <c r="I889" i="48"/>
  <c r="I888" i="48"/>
  <c r="I887" i="48"/>
  <c r="I886" i="48"/>
  <c r="I885" i="48"/>
  <c r="I884" i="48"/>
  <c r="I883" i="48"/>
  <c r="I882" i="48"/>
  <c r="I881" i="48"/>
  <c r="I880" i="48"/>
  <c r="I879" i="48"/>
  <c r="I878" i="48"/>
  <c r="I877" i="48"/>
  <c r="I876" i="48"/>
  <c r="I875" i="48"/>
  <c r="I874" i="48"/>
  <c r="I873" i="48"/>
  <c r="I872" i="48"/>
  <c r="I871" i="48"/>
  <c r="I869" i="48"/>
  <c r="I867" i="48"/>
  <c r="I865" i="48"/>
  <c r="I863" i="48"/>
  <c r="I861" i="48"/>
  <c r="I860" i="48"/>
  <c r="I859" i="48"/>
  <c r="I858" i="48"/>
  <c r="I857" i="48"/>
  <c r="I855" i="48"/>
  <c r="I852" i="48"/>
  <c r="I851" i="48"/>
  <c r="I849" i="48"/>
  <c r="I847" i="48"/>
  <c r="I845" i="48"/>
  <c r="I843" i="48"/>
  <c r="I841" i="48"/>
  <c r="I839" i="48"/>
  <c r="I837" i="48"/>
  <c r="I835" i="48"/>
  <c r="I833" i="48"/>
  <c r="I831" i="48"/>
  <c r="I829" i="48"/>
  <c r="I827" i="48"/>
  <c r="I825" i="48"/>
  <c r="I823" i="48"/>
  <c r="I821" i="48"/>
  <c r="I819" i="48"/>
  <c r="I817" i="48"/>
  <c r="I815" i="48"/>
  <c r="I813" i="48"/>
  <c r="I811" i="48"/>
  <c r="I809" i="48"/>
  <c r="I807" i="48"/>
  <c r="I805" i="48"/>
  <c r="I803" i="48"/>
  <c r="I801" i="48"/>
  <c r="I799" i="48"/>
  <c r="I797" i="48"/>
  <c r="I795" i="48"/>
  <c r="I793" i="48"/>
  <c r="I790" i="48"/>
  <c r="I789" i="48"/>
  <c r="I787" i="48"/>
  <c r="I785" i="48"/>
  <c r="I783" i="48"/>
  <c r="I781" i="48"/>
  <c r="I779" i="48"/>
  <c r="I777" i="48"/>
  <c r="I775" i="48"/>
  <c r="I773" i="48"/>
  <c r="I771" i="48"/>
  <c r="I769" i="48"/>
  <c r="I767" i="48"/>
  <c r="I765" i="48"/>
  <c r="I763" i="48"/>
  <c r="I760" i="48"/>
  <c r="I759" i="48"/>
  <c r="I757" i="48"/>
  <c r="I755" i="48"/>
  <c r="I753" i="48"/>
  <c r="I751" i="48"/>
  <c r="I749" i="48"/>
  <c r="I747" i="48"/>
  <c r="I745" i="48"/>
  <c r="I743" i="48"/>
  <c r="I741" i="48"/>
  <c r="I739" i="48"/>
  <c r="I737" i="48"/>
  <c r="I735" i="48"/>
  <c r="I733" i="48"/>
  <c r="I730" i="48"/>
  <c r="I729" i="48"/>
  <c r="I727" i="48"/>
  <c r="I725" i="48"/>
  <c r="I723" i="48"/>
  <c r="I721" i="48"/>
  <c r="I719" i="48"/>
  <c r="I717" i="48"/>
  <c r="I715" i="48"/>
  <c r="I713" i="48"/>
  <c r="I711" i="48"/>
  <c r="I709" i="48"/>
  <c r="I707" i="48"/>
  <c r="I705" i="48"/>
  <c r="I703" i="48"/>
  <c r="I701" i="48"/>
  <c r="I699" i="48"/>
  <c r="I697" i="48"/>
  <c r="I694" i="48"/>
  <c r="I691" i="48"/>
  <c r="I688" i="48"/>
  <c r="I685" i="48"/>
  <c r="I682" i="48"/>
  <c r="I678" i="48"/>
  <c r="I675" i="48"/>
  <c r="I673" i="48"/>
  <c r="I670" i="48"/>
  <c r="I667" i="48"/>
  <c r="I664" i="48"/>
  <c r="I661" i="48"/>
  <c r="I658" i="48"/>
  <c r="I653" i="48"/>
  <c r="I651" i="48"/>
  <c r="I648" i="48"/>
  <c r="I645" i="48"/>
  <c r="I642" i="48"/>
  <c r="I639" i="48"/>
  <c r="I636" i="48"/>
  <c r="I633" i="48"/>
  <c r="I630" i="48"/>
  <c r="I627" i="48"/>
  <c r="I624" i="48"/>
  <c r="I621" i="48"/>
  <c r="I618" i="48"/>
  <c r="I614" i="48"/>
  <c r="I611" i="48"/>
  <c r="I608" i="48"/>
  <c r="I605" i="48"/>
  <c r="I602" i="48"/>
  <c r="I599" i="48"/>
  <c r="I596" i="48"/>
  <c r="I593" i="48"/>
  <c r="I590" i="48"/>
  <c r="I587" i="48"/>
  <c r="I584" i="48"/>
  <c r="I581" i="48"/>
  <c r="I578" i="48"/>
  <c r="I574" i="48"/>
  <c r="I572" i="48"/>
  <c r="I568" i="48"/>
  <c r="I565" i="48"/>
  <c r="I562" i="48"/>
  <c r="I555" i="48"/>
  <c r="I560" i="48"/>
  <c r="I554" i="48"/>
  <c r="I551" i="48"/>
  <c r="I548" i="48"/>
  <c r="I543" i="48"/>
  <c r="I540" i="48"/>
  <c r="I537" i="48"/>
  <c r="I534" i="48"/>
  <c r="I533" i="48"/>
  <c r="I530" i="48"/>
  <c r="I527" i="48"/>
  <c r="I522" i="48"/>
  <c r="I518" i="48"/>
  <c r="I519" i="48"/>
  <c r="I515" i="48"/>
  <c r="I512" i="48"/>
  <c r="I511" i="48"/>
  <c r="I507" i="48"/>
  <c r="I504" i="48"/>
  <c r="I501" i="48"/>
  <c r="I498" i="48"/>
  <c r="I495" i="48"/>
  <c r="I492" i="48"/>
  <c r="I489" i="48"/>
  <c r="I484" i="48"/>
  <c r="I487" i="48"/>
  <c r="I482" i="48"/>
  <c r="I479" i="48"/>
  <c r="I475" i="48"/>
  <c r="I473" i="48"/>
  <c r="I470" i="48"/>
  <c r="I467" i="48"/>
  <c r="I465" i="48"/>
  <c r="I461" i="48"/>
  <c r="I458" i="48"/>
  <c r="I455" i="48"/>
  <c r="I452" i="48"/>
  <c r="I449" i="48"/>
  <c r="I444" i="48"/>
  <c r="I446" i="48"/>
  <c r="I442" i="48"/>
  <c r="I440" i="48"/>
  <c r="I437" i="48"/>
  <c r="I433" i="48"/>
  <c r="I429" i="48"/>
  <c r="I428" i="48"/>
  <c r="I422" i="48"/>
  <c r="I420" i="48"/>
  <c r="I418" i="48"/>
  <c r="I415" i="48"/>
  <c r="I412" i="48"/>
  <c r="I411" i="48"/>
  <c r="I410" i="48"/>
  <c r="I409" i="48"/>
  <c r="I408" i="48"/>
  <c r="I407" i="48"/>
  <c r="I406" i="48"/>
  <c r="I405" i="48"/>
  <c r="I404" i="48"/>
  <c r="I403" i="48"/>
  <c r="I402" i="48"/>
  <c r="I401" i="48"/>
  <c r="I400" i="48"/>
  <c r="I399" i="48"/>
  <c r="I398" i="48"/>
  <c r="I395" i="48"/>
  <c r="I396" i="48"/>
  <c r="I394" i="48"/>
  <c r="I393" i="48"/>
  <c r="I392" i="48"/>
  <c r="I391" i="48"/>
  <c r="I390" i="48"/>
  <c r="I389" i="48"/>
  <c r="I388" i="48"/>
  <c r="I387" i="48"/>
  <c r="I386" i="48"/>
  <c r="I385" i="48"/>
  <c r="I383" i="48"/>
  <c r="I384" i="48"/>
  <c r="I382" i="48"/>
  <c r="I381" i="48"/>
  <c r="I380" i="48"/>
  <c r="I379" i="48"/>
  <c r="I377" i="48"/>
  <c r="I375" i="48"/>
  <c r="I373" i="48"/>
  <c r="I371" i="48"/>
  <c r="I370" i="48"/>
  <c r="I368" i="48"/>
  <c r="I366" i="48"/>
  <c r="I364" i="48"/>
  <c r="I362" i="48"/>
  <c r="I360" i="48"/>
  <c r="I358" i="48"/>
  <c r="I357" i="48"/>
  <c r="I356" i="48"/>
  <c r="I355" i="48"/>
  <c r="I353" i="48"/>
  <c r="I349" i="48"/>
  <c r="I350" i="48"/>
  <c r="I347" i="48"/>
  <c r="I345" i="48"/>
  <c r="I343" i="48"/>
  <c r="I340" i="48"/>
  <c r="I341" i="48"/>
  <c r="I338" i="48"/>
  <c r="I336" i="48"/>
  <c r="I334" i="48"/>
  <c r="I332" i="48"/>
  <c r="I331" i="48"/>
  <c r="I329" i="48"/>
  <c r="I328" i="48"/>
  <c r="I326" i="48"/>
  <c r="I323" i="48"/>
  <c r="I870" i="48"/>
  <c r="I868" i="48"/>
  <c r="I866" i="48"/>
  <c r="I864" i="48"/>
  <c r="I862" i="48"/>
  <c r="I856" i="48"/>
  <c r="I854" i="48"/>
  <c r="I853" i="48"/>
  <c r="I850" i="48"/>
  <c r="I848" i="48"/>
  <c r="I846" i="48"/>
  <c r="I844" i="48"/>
  <c r="I842" i="48"/>
  <c r="I840" i="48"/>
  <c r="I838" i="48"/>
  <c r="I836" i="48"/>
  <c r="I834" i="48"/>
  <c r="I832" i="48"/>
  <c r="I830" i="48"/>
  <c r="I828" i="48"/>
  <c r="I826" i="48"/>
  <c r="I824" i="48"/>
  <c r="I822" i="48"/>
  <c r="I820" i="48"/>
  <c r="I818" i="48"/>
  <c r="I816" i="48"/>
  <c r="I814" i="48"/>
  <c r="I812" i="48"/>
  <c r="I810" i="48"/>
  <c r="I808" i="48"/>
  <c r="I806" i="48"/>
  <c r="I804" i="48"/>
  <c r="I802" i="48"/>
  <c r="I800" i="48"/>
  <c r="I798" i="48"/>
  <c r="I796" i="48"/>
  <c r="I794" i="48"/>
  <c r="I792" i="48"/>
  <c r="I791" i="48"/>
  <c r="I788" i="48"/>
  <c r="I786" i="48"/>
  <c r="I784" i="48"/>
  <c r="I782" i="48"/>
  <c r="I780" i="48"/>
  <c r="I778" i="48"/>
  <c r="I776" i="48"/>
  <c r="I774" i="48"/>
  <c r="I772" i="48"/>
  <c r="I770" i="48"/>
  <c r="I768" i="48"/>
  <c r="I766" i="48"/>
  <c r="I764" i="48"/>
  <c r="I762" i="48"/>
  <c r="I761" i="48"/>
  <c r="I758" i="48"/>
  <c r="I756" i="48"/>
  <c r="I754" i="48"/>
  <c r="I752" i="48"/>
  <c r="I750" i="48"/>
  <c r="I748" i="48"/>
  <c r="I746" i="48"/>
  <c r="I744" i="48"/>
  <c r="I742" i="48"/>
  <c r="I740" i="48"/>
  <c r="I738" i="48"/>
  <c r="I736" i="48"/>
  <c r="I734" i="48"/>
  <c r="I732" i="48"/>
  <c r="I731" i="48"/>
  <c r="I728" i="48"/>
  <c r="I726" i="48"/>
  <c r="I724" i="48"/>
  <c r="I722" i="48"/>
  <c r="I720" i="48"/>
  <c r="I718" i="48"/>
  <c r="I716" i="48"/>
  <c r="I714" i="48"/>
  <c r="I712" i="48"/>
  <c r="I710" i="48"/>
  <c r="I708" i="48"/>
  <c r="I706" i="48"/>
  <c r="I704" i="48"/>
  <c r="I702" i="48"/>
  <c r="I700" i="48"/>
  <c r="I698" i="48"/>
  <c r="I696" i="48"/>
  <c r="I693" i="48"/>
  <c r="I690" i="48"/>
  <c r="I687" i="48"/>
  <c r="I684" i="48"/>
  <c r="I681" i="48"/>
  <c r="I679" i="48"/>
  <c r="I676" i="48"/>
  <c r="I672" i="48"/>
  <c r="I669" i="48"/>
  <c r="I666" i="48"/>
  <c r="I663" i="48"/>
  <c r="I660" i="48"/>
  <c r="I657" i="48"/>
  <c r="I655" i="48"/>
  <c r="I650" i="48"/>
  <c r="I647" i="48"/>
  <c r="I644" i="48"/>
  <c r="I641" i="48"/>
  <c r="I638" i="48"/>
  <c r="I635" i="48"/>
  <c r="I632" i="48"/>
  <c r="I629" i="48"/>
  <c r="I626" i="48"/>
  <c r="I623" i="48"/>
  <c r="I620" i="48"/>
  <c r="I616" i="48"/>
  <c r="I613" i="48"/>
  <c r="I610" i="48"/>
  <c r="I607" i="48"/>
  <c r="I604" i="48"/>
  <c r="I601" i="48"/>
  <c r="I597" i="48"/>
  <c r="I594" i="48"/>
  <c r="I591" i="48"/>
  <c r="I588" i="48"/>
  <c r="I585" i="48"/>
  <c r="I582" i="48"/>
  <c r="I579" i="48"/>
  <c r="I576" i="48"/>
  <c r="I573" i="48"/>
  <c r="I571" i="48"/>
  <c r="I567" i="48"/>
  <c r="I564" i="48"/>
  <c r="I561" i="48"/>
  <c r="I556" i="48"/>
  <c r="I324" i="48"/>
  <c r="I321" i="48"/>
  <c r="I319" i="48"/>
  <c r="I317" i="48"/>
  <c r="I314" i="48"/>
  <c r="I311" i="48"/>
  <c r="I308" i="48"/>
  <c r="I305" i="48"/>
  <c r="I302" i="48"/>
  <c r="I300" i="48"/>
  <c r="I297" i="48"/>
  <c r="I296" i="48"/>
  <c r="I293" i="48"/>
  <c r="I290" i="48"/>
  <c r="I287" i="48"/>
  <c r="I284" i="48"/>
  <c r="I281" i="48"/>
  <c r="I278" i="48"/>
  <c r="I275" i="48"/>
  <c r="I271" i="48"/>
  <c r="I274" i="48"/>
  <c r="I268" i="48"/>
  <c r="I265" i="48"/>
  <c r="I262" i="48"/>
  <c r="I259" i="48"/>
  <c r="I256" i="48"/>
  <c r="I253" i="48"/>
  <c r="I250" i="48"/>
  <c r="I247" i="48"/>
  <c r="I244" i="48"/>
  <c r="I243" i="48"/>
  <c r="I240" i="48"/>
  <c r="I237" i="48"/>
  <c r="I234" i="48"/>
  <c r="I231" i="48"/>
  <c r="I228" i="48"/>
  <c r="I225" i="48"/>
  <c r="I222" i="48"/>
  <c r="I219" i="48"/>
  <c r="I216" i="48"/>
  <c r="I213" i="48"/>
  <c r="I210" i="48"/>
  <c r="I207" i="48"/>
  <c r="I204" i="48"/>
  <c r="I201" i="48"/>
  <c r="I198" i="48"/>
  <c r="I195" i="48"/>
  <c r="I192" i="48"/>
  <c r="I189" i="48"/>
  <c r="I186" i="48"/>
  <c r="I183" i="48"/>
  <c r="I180" i="48"/>
  <c r="I179" i="48"/>
  <c r="I176" i="48"/>
  <c r="I173" i="48"/>
  <c r="I170" i="48"/>
  <c r="I167" i="48"/>
  <c r="I164" i="48"/>
  <c r="I161" i="48"/>
  <c r="I156" i="48"/>
  <c r="I157" i="48"/>
  <c r="I158" i="48"/>
  <c r="I153" i="48"/>
  <c r="I150" i="48"/>
  <c r="I147" i="48"/>
  <c r="I144" i="48"/>
  <c r="I141" i="48"/>
  <c r="I138" i="48"/>
  <c r="I136" i="48"/>
  <c r="I134" i="48"/>
  <c r="I133" i="48"/>
  <c r="I132" i="48"/>
  <c r="I131" i="48"/>
  <c r="I130" i="48"/>
  <c r="I129" i="48"/>
  <c r="I128" i="48"/>
  <c r="I127" i="48"/>
  <c r="I126" i="48"/>
  <c r="I125" i="48"/>
  <c r="I124" i="48"/>
  <c r="I123" i="48"/>
  <c r="I122" i="48"/>
  <c r="I121" i="48"/>
  <c r="I120" i="48"/>
  <c r="I118" i="48"/>
  <c r="I119" i="48"/>
  <c r="I117" i="48"/>
  <c r="I116" i="48"/>
  <c r="I115" i="48"/>
  <c r="I114" i="48"/>
  <c r="I113" i="48"/>
  <c r="I112" i="48"/>
  <c r="I111" i="48"/>
  <c r="I110" i="48"/>
  <c r="I108" i="48"/>
  <c r="I109" i="48"/>
  <c r="I107" i="48"/>
  <c r="I106" i="48"/>
  <c r="I105" i="48"/>
  <c r="I104" i="48"/>
  <c r="I103" i="48"/>
  <c r="I102" i="48"/>
  <c r="I101" i="48"/>
  <c r="I100" i="48"/>
  <c r="I99" i="48"/>
  <c r="I98" i="48"/>
  <c r="I97" i="48"/>
  <c r="I96" i="48"/>
  <c r="I95" i="48"/>
  <c r="I94" i="48"/>
  <c r="I93" i="48"/>
  <c r="I92" i="48"/>
  <c r="I91" i="48"/>
  <c r="I90" i="48"/>
  <c r="I89" i="48"/>
  <c r="I88" i="48"/>
  <c r="I87" i="48"/>
  <c r="I85" i="48"/>
  <c r="I86" i="48"/>
  <c r="I84" i="48"/>
  <c r="I83" i="48"/>
  <c r="I82" i="48"/>
  <c r="I81" i="48"/>
  <c r="I80" i="48"/>
  <c r="I79" i="48"/>
  <c r="I78" i="48"/>
  <c r="I77" i="48"/>
  <c r="I76" i="48"/>
  <c r="I75" i="48"/>
  <c r="I74" i="48"/>
  <c r="I73" i="48"/>
  <c r="I72" i="48"/>
  <c r="I71" i="48"/>
  <c r="I70" i="48"/>
  <c r="I68" i="48"/>
  <c r="I69" i="48"/>
  <c r="I67" i="48"/>
  <c r="I66" i="48"/>
  <c r="I65" i="48"/>
  <c r="I64" i="48"/>
  <c r="I63" i="48"/>
  <c r="I62" i="48"/>
  <c r="I61" i="48"/>
  <c r="I60" i="48"/>
  <c r="I59" i="48"/>
  <c r="I58" i="48"/>
  <c r="I57" i="48"/>
  <c r="I56" i="48"/>
  <c r="I55" i="48"/>
  <c r="I54" i="48"/>
  <c r="I53" i="48"/>
  <c r="I52" i="48"/>
  <c r="I51" i="48"/>
  <c r="I50" i="48"/>
  <c r="I49" i="48"/>
  <c r="I48" i="48"/>
  <c r="I47" i="48"/>
  <c r="I46" i="48"/>
  <c r="I44" i="48"/>
  <c r="I45" i="48"/>
  <c r="I43" i="48"/>
  <c r="I42" i="48"/>
  <c r="I41" i="48"/>
  <c r="I40" i="48"/>
  <c r="I39" i="48"/>
  <c r="I38" i="48"/>
  <c r="I36" i="48"/>
  <c r="I35" i="48"/>
  <c r="I37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0" i="48"/>
  <c r="I11" i="48"/>
  <c r="I9" i="48"/>
  <c r="I8" i="48"/>
  <c r="I7" i="48"/>
  <c r="I6" i="48"/>
  <c r="I5" i="48"/>
  <c r="I4" i="48"/>
  <c r="I3" i="48"/>
  <c r="I559" i="48"/>
  <c r="I553" i="48"/>
  <c r="I550" i="48"/>
  <c r="I547" i="48"/>
  <c r="I545" i="48"/>
  <c r="I542" i="48"/>
  <c r="I539" i="48"/>
  <c r="I536" i="48"/>
  <c r="I532" i="48"/>
  <c r="I529" i="48"/>
  <c r="I526" i="48"/>
  <c r="I524" i="48"/>
  <c r="I521" i="48"/>
  <c r="I517" i="48"/>
  <c r="I514" i="48"/>
  <c r="I509" i="48"/>
  <c r="I508" i="48"/>
  <c r="I505" i="48"/>
  <c r="I502" i="48"/>
  <c r="I499" i="48"/>
  <c r="I496" i="48"/>
  <c r="I493" i="48"/>
  <c r="I490" i="48"/>
  <c r="I486" i="48"/>
  <c r="I483" i="48"/>
  <c r="I480" i="48"/>
  <c r="I477" i="48"/>
  <c r="I474" i="48"/>
  <c r="I471" i="48"/>
  <c r="I468" i="48"/>
  <c r="I463" i="48"/>
  <c r="I462" i="48"/>
  <c r="I459" i="48"/>
  <c r="I456" i="48"/>
  <c r="I453" i="48"/>
  <c r="I450" i="48"/>
  <c r="I447" i="48"/>
  <c r="I443" i="48"/>
  <c r="I439" i="48"/>
  <c r="I436" i="48"/>
  <c r="I434" i="48"/>
  <c r="I431" i="48"/>
  <c r="I427" i="48"/>
  <c r="I424" i="48"/>
  <c r="I421" i="48"/>
  <c r="I417" i="48"/>
  <c r="I414" i="48"/>
  <c r="I397" i="48"/>
  <c r="I351" i="48"/>
  <c r="I316" i="48"/>
  <c r="I313" i="48"/>
  <c r="I310" i="48"/>
  <c r="I307" i="48"/>
  <c r="I304" i="48"/>
  <c r="I299" i="48"/>
  <c r="I295" i="48"/>
  <c r="I292" i="48"/>
  <c r="I289" i="48"/>
  <c r="I286" i="48"/>
  <c r="I283" i="48"/>
  <c r="I280" i="48"/>
  <c r="I277" i="48"/>
  <c r="I272" i="48"/>
  <c r="I270" i="48"/>
  <c r="I267" i="48"/>
  <c r="I264" i="48"/>
  <c r="I261" i="48"/>
  <c r="I258" i="48"/>
  <c r="I255" i="48"/>
  <c r="I252" i="48"/>
  <c r="I249" i="48"/>
  <c r="I246" i="48"/>
  <c r="I242" i="48"/>
  <c r="I239" i="48"/>
  <c r="I236" i="48"/>
  <c r="I233" i="48"/>
  <c r="I230" i="48"/>
  <c r="I227" i="48"/>
  <c r="I224" i="48"/>
  <c r="I221" i="48"/>
  <c r="I218" i="48"/>
  <c r="I215" i="48"/>
  <c r="I212" i="48"/>
  <c r="I209" i="48"/>
  <c r="I206" i="48"/>
  <c r="I203" i="48"/>
  <c r="I200" i="48"/>
  <c r="I197" i="48"/>
  <c r="I194" i="48"/>
  <c r="I191" i="48"/>
  <c r="I188" i="48"/>
  <c r="I185" i="48"/>
  <c r="I181" i="48"/>
  <c r="I177" i="48"/>
  <c r="I175" i="48"/>
  <c r="I172" i="48"/>
  <c r="I169" i="48"/>
  <c r="I166" i="48"/>
  <c r="I163" i="48"/>
  <c r="I160" i="48"/>
  <c r="I155" i="48"/>
  <c r="I152" i="48"/>
  <c r="I149" i="48"/>
  <c r="I146" i="48"/>
  <c r="I143" i="48"/>
  <c r="I140" i="48"/>
  <c r="I137" i="48"/>
  <c r="I557" i="48"/>
  <c r="I552" i="48"/>
  <c r="I549" i="48"/>
  <c r="I546" i="48"/>
  <c r="I544" i="48"/>
  <c r="I541" i="48"/>
  <c r="I538" i="48"/>
  <c r="I535" i="48"/>
  <c r="I531" i="48"/>
  <c r="I528" i="48"/>
  <c r="I525" i="48"/>
  <c r="I523" i="48"/>
  <c r="I520" i="48"/>
  <c r="I516" i="48"/>
  <c r="I513" i="48"/>
  <c r="I510" i="48"/>
  <c r="I506" i="48"/>
  <c r="I503" i="48"/>
  <c r="I500" i="48"/>
  <c r="I497" i="48"/>
  <c r="I494" i="48"/>
  <c r="I491" i="48"/>
  <c r="I488" i="48"/>
  <c r="I485" i="48"/>
  <c r="I481" i="48"/>
  <c r="I478" i="48"/>
  <c r="I476" i="48"/>
  <c r="I472" i="48"/>
  <c r="I469" i="48"/>
  <c r="I466" i="48"/>
  <c r="I464" i="48"/>
  <c r="I460" i="48"/>
  <c r="I457" i="48"/>
  <c r="I454" i="48"/>
  <c r="I451" i="48"/>
  <c r="I448" i="48"/>
  <c r="I445" i="48"/>
  <c r="I441" i="48"/>
  <c r="I438" i="48"/>
  <c r="I435" i="48"/>
  <c r="I432" i="48"/>
  <c r="I430" i="48"/>
  <c r="I426" i="48"/>
  <c r="I425" i="48"/>
  <c r="I423" i="48"/>
  <c r="I419" i="48"/>
  <c r="I416" i="48"/>
  <c r="I413" i="48"/>
  <c r="I378" i="48"/>
  <c r="I376" i="48"/>
  <c r="I374" i="48"/>
  <c r="I372" i="48"/>
  <c r="I369" i="48"/>
  <c r="I367" i="48"/>
  <c r="I365" i="48"/>
  <c r="I363" i="48"/>
  <c r="I361" i="48"/>
  <c r="I359" i="48"/>
  <c r="I354" i="48"/>
  <c r="I352" i="48"/>
  <c r="I348" i="48"/>
  <c r="I346" i="48"/>
  <c r="I344" i="48"/>
  <c r="I342" i="48"/>
  <c r="I339" i="48"/>
  <c r="I337" i="48"/>
  <c r="I335" i="48"/>
  <c r="I333" i="48"/>
  <c r="I330" i="48"/>
  <c r="I327" i="48"/>
  <c r="I325" i="48"/>
  <c r="I322" i="48"/>
  <c r="I320" i="48"/>
  <c r="I318" i="48"/>
  <c r="I315" i="48"/>
  <c r="I312" i="48"/>
  <c r="I309" i="48"/>
  <c r="I306" i="48"/>
  <c r="I303" i="48"/>
  <c r="I301" i="48"/>
  <c r="I298" i="48"/>
  <c r="I294" i="48"/>
  <c r="I291" i="48"/>
  <c r="I288" i="48"/>
  <c r="I285" i="48"/>
  <c r="I282" i="48"/>
  <c r="I279" i="48"/>
  <c r="I276" i="48"/>
  <c r="I273" i="48"/>
  <c r="I269" i="48"/>
  <c r="I266" i="48"/>
  <c r="I263" i="48"/>
  <c r="I260" i="48"/>
  <c r="I257" i="48"/>
  <c r="I254" i="48"/>
  <c r="I251" i="48"/>
  <c r="I248" i="48"/>
  <c r="I245" i="48"/>
  <c r="I241" i="48"/>
  <c r="I238" i="48"/>
  <c r="I235" i="48"/>
  <c r="I232" i="48"/>
  <c r="I229" i="48"/>
  <c r="I226" i="48"/>
  <c r="I223" i="48"/>
  <c r="I220" i="48"/>
  <c r="I217" i="48"/>
  <c r="I214" i="48"/>
  <c r="I211" i="48"/>
  <c r="I208" i="48"/>
  <c r="I205" i="48"/>
  <c r="I202" i="48"/>
  <c r="I199" i="48"/>
  <c r="I196" i="48"/>
  <c r="I193" i="48"/>
  <c r="I190" i="48"/>
  <c r="I187" i="48"/>
  <c r="I184" i="48"/>
  <c r="I182" i="48"/>
  <c r="I178" i="48"/>
  <c r="I174" i="48"/>
  <c r="I171" i="48"/>
  <c r="I168" i="48"/>
  <c r="I165" i="48"/>
  <c r="I162" i="48"/>
  <c r="I159" i="48"/>
  <c r="I154" i="48"/>
  <c r="I151" i="48"/>
  <c r="I148" i="48"/>
  <c r="I145" i="48"/>
  <c r="I142" i="48"/>
  <c r="I139" i="48"/>
  <c r="I135" i="48"/>
  <c r="I695" i="48"/>
  <c r="I692" i="48"/>
  <c r="I689" i="48"/>
  <c r="I686" i="48"/>
  <c r="I683" i="48"/>
  <c r="I680" i="48"/>
  <c r="I677" i="48"/>
  <c r="I674" i="48"/>
  <c r="I671" i="48"/>
  <c r="I668" i="48"/>
  <c r="I665" i="48"/>
  <c r="I662" i="48"/>
  <c r="I659" i="48"/>
  <c r="I656" i="48"/>
  <c r="I654" i="48"/>
  <c r="I652" i="48"/>
  <c r="I649" i="48"/>
  <c r="I646" i="48"/>
  <c r="I643" i="48"/>
  <c r="I640" i="48"/>
  <c r="I637" i="48"/>
  <c r="I634" i="48"/>
  <c r="I631" i="48"/>
  <c r="I628" i="48"/>
  <c r="I625" i="48"/>
  <c r="I622" i="48"/>
  <c r="I619" i="48"/>
  <c r="I615" i="48"/>
  <c r="I617" i="48"/>
  <c r="I612" i="48"/>
  <c r="I609" i="48"/>
  <c r="I606" i="48"/>
  <c r="I603" i="48"/>
  <c r="I600" i="48"/>
  <c r="I598" i="48"/>
  <c r="I595" i="48"/>
  <c r="I592" i="48"/>
  <c r="I589" i="48"/>
  <c r="I586" i="48"/>
  <c r="I583" i="48"/>
  <c r="I580" i="48"/>
  <c r="I577" i="48"/>
  <c r="I575" i="48"/>
  <c r="I570" i="48"/>
  <c r="I569" i="48"/>
  <c r="I566" i="48"/>
  <c r="I563" i="48"/>
  <c r="I558" i="48"/>
  <c r="I904" i="48"/>
  <c r="U115" i="53" l="1"/>
  <c r="U4" i="53" l="1"/>
  <c r="U149" i="53"/>
  <c r="U15" i="53"/>
  <c r="K143" i="53" l="1"/>
  <c r="E87" i="54" l="1"/>
  <c r="E88" i="54"/>
  <c r="E89" i="54"/>
  <c r="E90" i="54"/>
  <c r="E91" i="54"/>
  <c r="E92" i="54"/>
  <c r="E93" i="54"/>
  <c r="E94" i="54"/>
  <c r="E95" i="54"/>
  <c r="E96" i="54"/>
  <c r="E97" i="54"/>
  <c r="E98" i="54"/>
  <c r="E99" i="54"/>
  <c r="E100" i="54"/>
  <c r="E101" i="54"/>
  <c r="E102" i="54"/>
  <c r="E103" i="54"/>
  <c r="E104" i="54"/>
  <c r="E105" i="54"/>
  <c r="E106" i="54"/>
  <c r="E107" i="54"/>
  <c r="E108" i="54"/>
  <c r="E109" i="54"/>
  <c r="E110" i="54"/>
  <c r="E111" i="54"/>
  <c r="E112" i="54"/>
  <c r="E113" i="54"/>
  <c r="E114" i="54"/>
  <c r="E115" i="54"/>
  <c r="E116" i="54"/>
  <c r="E117" i="54"/>
  <c r="E118" i="54"/>
  <c r="E119" i="54"/>
  <c r="E120" i="54"/>
  <c r="E121" i="54"/>
  <c r="E86" i="54"/>
  <c r="U183" i="58"/>
  <c r="U55" i="58"/>
  <c r="U17" i="58"/>
  <c r="U201" i="58"/>
  <c r="U120" i="58"/>
  <c r="U43" i="58"/>
  <c r="U151" i="58"/>
  <c r="U175" i="58"/>
  <c r="U113" i="58"/>
  <c r="U152" i="58"/>
  <c r="U59" i="58"/>
  <c r="U200" i="58"/>
  <c r="U106" i="58"/>
  <c r="U51" i="58"/>
  <c r="U56" i="58"/>
  <c r="U65" i="58"/>
  <c r="U44" i="58"/>
  <c r="U191" i="58"/>
  <c r="U58" i="58"/>
  <c r="U93" i="58"/>
  <c r="U22" i="58"/>
  <c r="U40" i="58"/>
  <c r="U64" i="58"/>
  <c r="U125" i="58"/>
  <c r="U186" i="58"/>
  <c r="U128" i="58"/>
  <c r="U21" i="58"/>
  <c r="U23" i="58"/>
  <c r="U135" i="58"/>
  <c r="U149" i="58"/>
  <c r="U137" i="58"/>
  <c r="U26" i="58"/>
  <c r="U192" i="58"/>
  <c r="U136" i="58"/>
  <c r="U143" i="58"/>
  <c r="U14" i="58"/>
  <c r="U119" i="58"/>
  <c r="U6" i="58"/>
  <c r="U139" i="58"/>
  <c r="U62" i="58"/>
  <c r="U126" i="58"/>
  <c r="U8" i="58"/>
  <c r="U13" i="58"/>
  <c r="U5" i="58"/>
  <c r="U12" i="58"/>
  <c r="U169" i="58"/>
  <c r="U16" i="58"/>
  <c r="U170" i="58"/>
  <c r="U111" i="58"/>
  <c r="U63" i="58"/>
  <c r="U145" i="58"/>
  <c r="U107" i="58"/>
  <c r="U98" i="58"/>
  <c r="U60" i="58"/>
  <c r="U30" i="58"/>
  <c r="U153" i="58"/>
  <c r="U78" i="58"/>
  <c r="U29" i="58"/>
  <c r="U48" i="58"/>
  <c r="U49" i="58"/>
  <c r="U194" i="58"/>
  <c r="U193" i="58"/>
  <c r="U50" i="58"/>
  <c r="U95" i="58"/>
  <c r="U24" i="58"/>
  <c r="U79" i="58"/>
  <c r="U87" i="58"/>
  <c r="U142" i="58"/>
  <c r="U10" i="58"/>
  <c r="U68" i="58"/>
  <c r="U101" i="58"/>
  <c r="U138" i="58"/>
  <c r="U168" i="58"/>
  <c r="U73" i="58"/>
  <c r="U188" i="58"/>
  <c r="U114" i="58"/>
  <c r="U195" i="58"/>
  <c r="U116" i="58"/>
  <c r="U148" i="58"/>
  <c r="U123" i="58"/>
  <c r="U82" i="58"/>
  <c r="U146" i="58"/>
  <c r="U159" i="58"/>
  <c r="U140" i="58"/>
  <c r="U88" i="58"/>
  <c r="U182" i="58"/>
  <c r="U199" i="58"/>
  <c r="U37" i="58"/>
  <c r="U189" i="58"/>
  <c r="U150" i="58"/>
  <c r="U83" i="58"/>
  <c r="U72" i="58"/>
  <c r="U158" i="58"/>
  <c r="U172" i="58"/>
  <c r="U86" i="58"/>
  <c r="U130" i="58"/>
  <c r="U178" i="58"/>
  <c r="U25" i="58"/>
  <c r="U185" i="58"/>
  <c r="U122" i="58"/>
  <c r="U28" i="58"/>
  <c r="U179" i="58"/>
  <c r="U105" i="58"/>
  <c r="U131" i="58"/>
  <c r="U39" i="58"/>
  <c r="U132" i="58"/>
  <c r="U174" i="58"/>
  <c r="U110" i="58"/>
  <c r="U109" i="58"/>
  <c r="U196" i="58"/>
  <c r="U90" i="58"/>
  <c r="U11" i="58"/>
  <c r="U35" i="58"/>
  <c r="U100" i="58"/>
  <c r="U71" i="58"/>
  <c r="U19" i="58"/>
  <c r="U187" i="58"/>
  <c r="U53" i="58"/>
  <c r="U157" i="58"/>
  <c r="U46" i="58"/>
  <c r="U99" i="58"/>
  <c r="U85" i="58"/>
  <c r="U163" i="58"/>
  <c r="U124" i="58"/>
  <c r="U92" i="58"/>
  <c r="U121" i="58"/>
  <c r="U75" i="58"/>
  <c r="U184" i="58"/>
  <c r="U162" i="58"/>
  <c r="U34" i="58"/>
  <c r="U97" i="58"/>
  <c r="U147" i="58"/>
  <c r="U20" i="58"/>
  <c r="U4" i="58"/>
  <c r="U38" i="58"/>
  <c r="U173" i="58"/>
  <c r="U81" i="58"/>
  <c r="U197" i="58"/>
  <c r="U144" i="58"/>
  <c r="U164" i="58"/>
  <c r="U45" i="58"/>
  <c r="U7" i="58"/>
  <c r="U54" i="58"/>
  <c r="U127" i="58"/>
  <c r="U67" i="58"/>
  <c r="U70" i="58"/>
  <c r="U129" i="58"/>
  <c r="U180" i="58"/>
  <c r="U3" i="58"/>
  <c r="U42" i="58"/>
  <c r="U9" i="58"/>
  <c r="U104" i="58"/>
  <c r="U198" i="58"/>
  <c r="U154" i="58"/>
  <c r="U202" i="58"/>
  <c r="U102" i="58"/>
  <c r="U176" i="58"/>
  <c r="U155" i="58"/>
  <c r="U103" i="58"/>
  <c r="U161" i="58"/>
  <c r="U91" i="58"/>
  <c r="U36" i="58"/>
  <c r="U15" i="58"/>
  <c r="U84" i="58"/>
  <c r="U89" i="58"/>
  <c r="U52" i="58"/>
  <c r="U167" i="58"/>
  <c r="U117" i="58"/>
  <c r="U108" i="58"/>
  <c r="U115" i="58"/>
  <c r="U166" i="58"/>
  <c r="U133" i="58"/>
  <c r="U141" i="58"/>
  <c r="U74" i="58"/>
  <c r="U47" i="58"/>
  <c r="U76" i="58"/>
  <c r="U66" i="58"/>
  <c r="U94" i="58"/>
  <c r="U57" i="58"/>
  <c r="U96" i="58"/>
  <c r="U160" i="58"/>
  <c r="U134" i="58"/>
  <c r="U32" i="58"/>
  <c r="U69" i="58"/>
  <c r="U27" i="58"/>
  <c r="U18" i="58"/>
  <c r="U156" i="58"/>
  <c r="U177" i="58"/>
  <c r="U165" i="58"/>
  <c r="U80" i="58"/>
  <c r="U112" i="58"/>
  <c r="U171" i="58"/>
  <c r="U190" i="58"/>
  <c r="U31" i="58"/>
  <c r="U41" i="58"/>
  <c r="U33" i="58"/>
  <c r="U77" i="58"/>
  <c r="U181" i="58"/>
  <c r="U61" i="58"/>
  <c r="H20" i="2" l="1"/>
  <c r="B122" i="54"/>
  <c r="C903" i="48"/>
  <c r="L903" i="48" s="1"/>
  <c r="C902" i="48"/>
  <c r="L902" i="48" s="1"/>
  <c r="C901" i="48"/>
  <c r="L901" i="48" s="1"/>
  <c r="C900" i="48"/>
  <c r="L900" i="48" s="1"/>
  <c r="C899" i="48"/>
  <c r="L899" i="48" s="1"/>
  <c r="C898" i="48"/>
  <c r="L898" i="48" s="1"/>
  <c r="C897" i="48"/>
  <c r="L897" i="48" s="1"/>
  <c r="C896" i="48"/>
  <c r="L896" i="48" s="1"/>
  <c r="C895" i="48"/>
  <c r="L895" i="48" s="1"/>
  <c r="C894" i="48"/>
  <c r="L894" i="48" s="1"/>
  <c r="C893" i="48"/>
  <c r="L893" i="48" s="1"/>
  <c r="C892" i="48"/>
  <c r="L892" i="48" s="1"/>
  <c r="C891" i="48"/>
  <c r="L891" i="48" s="1"/>
  <c r="C890" i="48"/>
  <c r="L890" i="48" s="1"/>
  <c r="C889" i="48"/>
  <c r="L889" i="48" s="1"/>
  <c r="C888" i="48"/>
  <c r="L888" i="48" s="1"/>
  <c r="C887" i="48"/>
  <c r="L887" i="48" s="1"/>
  <c r="C886" i="48"/>
  <c r="L886" i="48" s="1"/>
  <c r="C885" i="48"/>
  <c r="L885" i="48" s="1"/>
  <c r="C884" i="48"/>
  <c r="L884" i="48" s="1"/>
  <c r="C883" i="48"/>
  <c r="L883" i="48" s="1"/>
  <c r="C882" i="48"/>
  <c r="L882" i="48" s="1"/>
  <c r="C881" i="48"/>
  <c r="L881" i="48" s="1"/>
  <c r="C880" i="48"/>
  <c r="L880" i="48" s="1"/>
  <c r="C879" i="48"/>
  <c r="L879" i="48" s="1"/>
  <c r="C878" i="48"/>
  <c r="L878" i="48" s="1"/>
  <c r="C877" i="48"/>
  <c r="L877" i="48" s="1"/>
  <c r="C876" i="48"/>
  <c r="L876" i="48" s="1"/>
  <c r="C875" i="48"/>
  <c r="L875" i="48" s="1"/>
  <c r="C874" i="48"/>
  <c r="L874" i="48" s="1"/>
  <c r="C873" i="48"/>
  <c r="L873" i="48" s="1"/>
  <c r="C872" i="48"/>
  <c r="L872" i="48" s="1"/>
  <c r="C871" i="48"/>
  <c r="L871" i="48" s="1"/>
  <c r="C869" i="48"/>
  <c r="L869" i="48" s="1"/>
  <c r="C867" i="48"/>
  <c r="L867" i="48" s="1"/>
  <c r="C865" i="48"/>
  <c r="L865" i="48" s="1"/>
  <c r="C863" i="48"/>
  <c r="L863" i="48" s="1"/>
  <c r="C861" i="48"/>
  <c r="L861" i="48" s="1"/>
  <c r="C860" i="48"/>
  <c r="L860" i="48" s="1"/>
  <c r="C859" i="48"/>
  <c r="L859" i="48" s="1"/>
  <c r="C858" i="48"/>
  <c r="L858" i="48" s="1"/>
  <c r="C857" i="48"/>
  <c r="L857" i="48" s="1"/>
  <c r="C855" i="48"/>
  <c r="L855" i="48" s="1"/>
  <c r="C852" i="48"/>
  <c r="L852" i="48" s="1"/>
  <c r="C851" i="48"/>
  <c r="L851" i="48" s="1"/>
  <c r="C849" i="48"/>
  <c r="L849" i="48" s="1"/>
  <c r="C847" i="48"/>
  <c r="L847" i="48" s="1"/>
  <c r="C845" i="48"/>
  <c r="L845" i="48" s="1"/>
  <c r="C843" i="48"/>
  <c r="L843" i="48" s="1"/>
  <c r="C841" i="48"/>
  <c r="L841" i="48" s="1"/>
  <c r="C839" i="48"/>
  <c r="L839" i="48" s="1"/>
  <c r="C837" i="48"/>
  <c r="L837" i="48" s="1"/>
  <c r="C835" i="48"/>
  <c r="L835" i="48" s="1"/>
  <c r="C833" i="48"/>
  <c r="L833" i="48" s="1"/>
  <c r="C831" i="48"/>
  <c r="L831" i="48" s="1"/>
  <c r="C829" i="48"/>
  <c r="L829" i="48" s="1"/>
  <c r="C827" i="48"/>
  <c r="L827" i="48" s="1"/>
  <c r="C825" i="48"/>
  <c r="L825" i="48" s="1"/>
  <c r="C823" i="48"/>
  <c r="L823" i="48" s="1"/>
  <c r="C821" i="48"/>
  <c r="L821" i="48" s="1"/>
  <c r="C819" i="48"/>
  <c r="L819" i="48" s="1"/>
  <c r="C817" i="48"/>
  <c r="L817" i="48" s="1"/>
  <c r="C815" i="48"/>
  <c r="L815" i="48" s="1"/>
  <c r="C813" i="48"/>
  <c r="L813" i="48" s="1"/>
  <c r="C811" i="48"/>
  <c r="L811" i="48" s="1"/>
  <c r="C809" i="48"/>
  <c r="L809" i="48" s="1"/>
  <c r="C807" i="48"/>
  <c r="L807" i="48" s="1"/>
  <c r="C805" i="48"/>
  <c r="L805" i="48" s="1"/>
  <c r="C803" i="48"/>
  <c r="L803" i="48" s="1"/>
  <c r="C801" i="48"/>
  <c r="L801" i="48" s="1"/>
  <c r="C799" i="48"/>
  <c r="L799" i="48" s="1"/>
  <c r="C797" i="48"/>
  <c r="L797" i="48" s="1"/>
  <c r="C795" i="48"/>
  <c r="L795" i="48" s="1"/>
  <c r="C793" i="48"/>
  <c r="L793" i="48" s="1"/>
  <c r="C790" i="48"/>
  <c r="L790" i="48" s="1"/>
  <c r="C789" i="48"/>
  <c r="L789" i="48" s="1"/>
  <c r="C787" i="48"/>
  <c r="L787" i="48" s="1"/>
  <c r="C785" i="48"/>
  <c r="L785" i="48" s="1"/>
  <c r="C783" i="48"/>
  <c r="L783" i="48" s="1"/>
  <c r="C781" i="48"/>
  <c r="L781" i="48" s="1"/>
  <c r="C779" i="48"/>
  <c r="L779" i="48" s="1"/>
  <c r="C777" i="48"/>
  <c r="L777" i="48" s="1"/>
  <c r="C775" i="48"/>
  <c r="L775" i="48" s="1"/>
  <c r="C773" i="48"/>
  <c r="L773" i="48" s="1"/>
  <c r="C771" i="48"/>
  <c r="L771" i="48" s="1"/>
  <c r="C769" i="48"/>
  <c r="L769" i="48" s="1"/>
  <c r="C767" i="48"/>
  <c r="L767" i="48" s="1"/>
  <c r="C765" i="48"/>
  <c r="L765" i="48" s="1"/>
  <c r="C763" i="48"/>
  <c r="L763" i="48" s="1"/>
  <c r="C760" i="48"/>
  <c r="L760" i="48" s="1"/>
  <c r="C759" i="48"/>
  <c r="C757" i="48"/>
  <c r="L757" i="48" s="1"/>
  <c r="C755" i="48"/>
  <c r="L755" i="48" s="1"/>
  <c r="C753" i="48"/>
  <c r="L753" i="48" s="1"/>
  <c r="C751" i="48"/>
  <c r="L751" i="48" s="1"/>
  <c r="C749" i="48"/>
  <c r="L749" i="48" s="1"/>
  <c r="C747" i="48"/>
  <c r="L747" i="48" s="1"/>
  <c r="C745" i="48"/>
  <c r="L745" i="48" s="1"/>
  <c r="C743" i="48"/>
  <c r="L743" i="48" s="1"/>
  <c r="C741" i="48"/>
  <c r="L741" i="48" s="1"/>
  <c r="C739" i="48"/>
  <c r="L739" i="48" s="1"/>
  <c r="C737" i="48"/>
  <c r="L737" i="48" s="1"/>
  <c r="C735" i="48"/>
  <c r="L735" i="48" s="1"/>
  <c r="C733" i="48"/>
  <c r="L733" i="48" s="1"/>
  <c r="C730" i="48"/>
  <c r="L730" i="48" s="1"/>
  <c r="C729" i="48"/>
  <c r="L729" i="48" s="1"/>
  <c r="C727" i="48"/>
  <c r="L727" i="48" s="1"/>
  <c r="C725" i="48"/>
  <c r="L725" i="48" s="1"/>
  <c r="C723" i="48"/>
  <c r="L723" i="48" s="1"/>
  <c r="C721" i="48"/>
  <c r="L721" i="48" s="1"/>
  <c r="C719" i="48"/>
  <c r="L719" i="48" s="1"/>
  <c r="C717" i="48"/>
  <c r="L717" i="48" s="1"/>
  <c r="C715" i="48"/>
  <c r="L715" i="48" s="1"/>
  <c r="C713" i="48"/>
  <c r="L713" i="48" s="1"/>
  <c r="C711" i="48"/>
  <c r="L711" i="48" s="1"/>
  <c r="C709" i="48"/>
  <c r="L709" i="48" s="1"/>
  <c r="C707" i="48"/>
  <c r="L707" i="48" s="1"/>
  <c r="C705" i="48"/>
  <c r="L705" i="48" s="1"/>
  <c r="C703" i="48"/>
  <c r="L703" i="48" s="1"/>
  <c r="C701" i="48"/>
  <c r="L701" i="48" s="1"/>
  <c r="C699" i="48"/>
  <c r="L699" i="48" s="1"/>
  <c r="C697" i="48"/>
  <c r="L697" i="48" s="1"/>
  <c r="C694" i="48"/>
  <c r="L694" i="48" s="1"/>
  <c r="C691" i="48"/>
  <c r="L691" i="48" s="1"/>
  <c r="C688" i="48"/>
  <c r="L688" i="48" s="1"/>
  <c r="C685" i="48"/>
  <c r="L685" i="48" s="1"/>
  <c r="C682" i="48"/>
  <c r="L682" i="48" s="1"/>
  <c r="C678" i="48"/>
  <c r="L678" i="48" s="1"/>
  <c r="C675" i="48"/>
  <c r="L675" i="48" s="1"/>
  <c r="C673" i="48"/>
  <c r="L673" i="48" s="1"/>
  <c r="C670" i="48"/>
  <c r="L670" i="48" s="1"/>
  <c r="C667" i="48"/>
  <c r="L667" i="48" s="1"/>
  <c r="C664" i="48"/>
  <c r="L664" i="48" s="1"/>
  <c r="C661" i="48"/>
  <c r="L661" i="48" s="1"/>
  <c r="C658" i="48"/>
  <c r="L658" i="48" s="1"/>
  <c r="C653" i="48"/>
  <c r="L653" i="48" s="1"/>
  <c r="C651" i="48"/>
  <c r="L651" i="48" s="1"/>
  <c r="C648" i="48"/>
  <c r="L648" i="48" s="1"/>
  <c r="C645" i="48"/>
  <c r="L645" i="48" s="1"/>
  <c r="C642" i="48"/>
  <c r="L642" i="48" s="1"/>
  <c r="C639" i="48"/>
  <c r="L639" i="48" s="1"/>
  <c r="C636" i="48"/>
  <c r="L636" i="48" s="1"/>
  <c r="C633" i="48"/>
  <c r="L633" i="48" s="1"/>
  <c r="C630" i="48"/>
  <c r="L630" i="48" s="1"/>
  <c r="C627" i="48"/>
  <c r="L627" i="48" s="1"/>
  <c r="C624" i="48"/>
  <c r="L624" i="48" s="1"/>
  <c r="C621" i="48"/>
  <c r="L621" i="48" s="1"/>
  <c r="C618" i="48"/>
  <c r="L618" i="48" s="1"/>
  <c r="C614" i="48"/>
  <c r="L614" i="48" s="1"/>
  <c r="C611" i="48"/>
  <c r="L611" i="48" s="1"/>
  <c r="C608" i="48"/>
  <c r="L608" i="48" s="1"/>
  <c r="C605" i="48"/>
  <c r="L605" i="48" s="1"/>
  <c r="C602" i="48"/>
  <c r="L602" i="48" s="1"/>
  <c r="C599" i="48"/>
  <c r="L599" i="48" s="1"/>
  <c r="C596" i="48"/>
  <c r="L596" i="48" s="1"/>
  <c r="C593" i="48"/>
  <c r="L593" i="48" s="1"/>
  <c r="C590" i="48"/>
  <c r="L590" i="48" s="1"/>
  <c r="C587" i="48"/>
  <c r="L587" i="48" s="1"/>
  <c r="C584" i="48"/>
  <c r="L584" i="48" s="1"/>
  <c r="C581" i="48"/>
  <c r="L581" i="48" s="1"/>
  <c r="C578" i="48"/>
  <c r="L578" i="48" s="1"/>
  <c r="C574" i="48"/>
  <c r="L574" i="48" s="1"/>
  <c r="C572" i="48"/>
  <c r="L572" i="48" s="1"/>
  <c r="C568" i="48"/>
  <c r="L568" i="48" s="1"/>
  <c r="C565" i="48"/>
  <c r="L565" i="48" s="1"/>
  <c r="C562" i="48"/>
  <c r="L562" i="48" s="1"/>
  <c r="C555" i="48"/>
  <c r="L555" i="48" s="1"/>
  <c r="C560" i="48"/>
  <c r="L560" i="48" s="1"/>
  <c r="C554" i="48"/>
  <c r="L554" i="48" s="1"/>
  <c r="C551" i="48"/>
  <c r="L551" i="48" s="1"/>
  <c r="C548" i="48"/>
  <c r="L548" i="48" s="1"/>
  <c r="C543" i="48"/>
  <c r="L543" i="48" s="1"/>
  <c r="C540" i="48"/>
  <c r="L540" i="48" s="1"/>
  <c r="C537" i="48"/>
  <c r="L537" i="48" s="1"/>
  <c r="C534" i="48"/>
  <c r="L534" i="48" s="1"/>
  <c r="C533" i="48"/>
  <c r="L533" i="48" s="1"/>
  <c r="C530" i="48"/>
  <c r="L530" i="48" s="1"/>
  <c r="C527" i="48"/>
  <c r="L527" i="48" s="1"/>
  <c r="C522" i="48"/>
  <c r="L522" i="48" s="1"/>
  <c r="C518" i="48"/>
  <c r="L518" i="48" s="1"/>
  <c r="C519" i="48"/>
  <c r="L519" i="48" s="1"/>
  <c r="C515" i="48"/>
  <c r="L515" i="48" s="1"/>
  <c r="C512" i="48"/>
  <c r="L512" i="48" s="1"/>
  <c r="C511" i="48"/>
  <c r="L511" i="48" s="1"/>
  <c r="C507" i="48"/>
  <c r="L507" i="48" s="1"/>
  <c r="C504" i="48"/>
  <c r="L504" i="48" s="1"/>
  <c r="C501" i="48"/>
  <c r="L501" i="48" s="1"/>
  <c r="C498" i="48"/>
  <c r="L498" i="48" s="1"/>
  <c r="C495" i="48"/>
  <c r="L495" i="48" s="1"/>
  <c r="C492" i="48"/>
  <c r="L492" i="48" s="1"/>
  <c r="C489" i="48"/>
  <c r="L489" i="48" s="1"/>
  <c r="C484" i="48"/>
  <c r="L484" i="48" s="1"/>
  <c r="C487" i="48"/>
  <c r="L487" i="48" s="1"/>
  <c r="C482" i="48"/>
  <c r="L482" i="48" s="1"/>
  <c r="C479" i="48"/>
  <c r="L479" i="48" s="1"/>
  <c r="C475" i="48"/>
  <c r="L475" i="48" s="1"/>
  <c r="C473" i="48"/>
  <c r="L473" i="48" s="1"/>
  <c r="C470" i="48"/>
  <c r="L470" i="48" s="1"/>
  <c r="C467" i="48"/>
  <c r="L467" i="48" s="1"/>
  <c r="C465" i="48"/>
  <c r="L465" i="48" s="1"/>
  <c r="C461" i="48"/>
  <c r="L461" i="48" s="1"/>
  <c r="C458" i="48"/>
  <c r="L458" i="48" s="1"/>
  <c r="C455" i="48"/>
  <c r="L455" i="48" s="1"/>
  <c r="C452" i="48"/>
  <c r="L452" i="48" s="1"/>
  <c r="C449" i="48"/>
  <c r="L449" i="48" s="1"/>
  <c r="C444" i="48"/>
  <c r="L444" i="48" s="1"/>
  <c r="C446" i="48"/>
  <c r="L446" i="48" s="1"/>
  <c r="C442" i="48"/>
  <c r="L442" i="48" s="1"/>
  <c r="C440" i="48"/>
  <c r="L440" i="48" s="1"/>
  <c r="C437" i="48"/>
  <c r="L437" i="48" s="1"/>
  <c r="C433" i="48"/>
  <c r="L433" i="48" s="1"/>
  <c r="C429" i="48"/>
  <c r="L429" i="48" s="1"/>
  <c r="C428" i="48"/>
  <c r="L428" i="48" s="1"/>
  <c r="C422" i="48"/>
  <c r="L422" i="48" s="1"/>
  <c r="C420" i="48"/>
  <c r="L420" i="48" s="1"/>
  <c r="C418" i="48"/>
  <c r="L418" i="48" s="1"/>
  <c r="C415" i="48"/>
  <c r="L415" i="48" s="1"/>
  <c r="C412" i="48"/>
  <c r="L412" i="48" s="1"/>
  <c r="C411" i="48"/>
  <c r="L411" i="48" s="1"/>
  <c r="C410" i="48"/>
  <c r="L410" i="48" s="1"/>
  <c r="C409" i="48"/>
  <c r="L409" i="48" s="1"/>
  <c r="C408" i="48"/>
  <c r="L408" i="48" s="1"/>
  <c r="C407" i="48"/>
  <c r="L407" i="48" s="1"/>
  <c r="C406" i="48"/>
  <c r="L406" i="48" s="1"/>
  <c r="C405" i="48"/>
  <c r="L405" i="48" s="1"/>
  <c r="C404" i="48"/>
  <c r="L404" i="48" s="1"/>
  <c r="C403" i="48"/>
  <c r="L403" i="48" s="1"/>
  <c r="C402" i="48"/>
  <c r="L402" i="48" s="1"/>
  <c r="C401" i="48"/>
  <c r="L401" i="48" s="1"/>
  <c r="C400" i="48"/>
  <c r="L400" i="48" s="1"/>
  <c r="C399" i="48"/>
  <c r="L399" i="48" s="1"/>
  <c r="C398" i="48"/>
  <c r="L398" i="48" s="1"/>
  <c r="C395" i="48"/>
  <c r="L395" i="48" s="1"/>
  <c r="C396" i="48"/>
  <c r="L396" i="48" s="1"/>
  <c r="C394" i="48"/>
  <c r="L394" i="48" s="1"/>
  <c r="C393" i="48"/>
  <c r="L393" i="48" s="1"/>
  <c r="C392" i="48"/>
  <c r="L392" i="48" s="1"/>
  <c r="C391" i="48"/>
  <c r="L391" i="48" s="1"/>
  <c r="C390" i="48"/>
  <c r="L390" i="48" s="1"/>
  <c r="C389" i="48"/>
  <c r="L389" i="48" s="1"/>
  <c r="C388" i="48"/>
  <c r="L388" i="48" s="1"/>
  <c r="C387" i="48"/>
  <c r="L387" i="48" s="1"/>
  <c r="C386" i="48"/>
  <c r="L386" i="48" s="1"/>
  <c r="C385" i="48"/>
  <c r="L385" i="48" s="1"/>
  <c r="C383" i="48"/>
  <c r="L383" i="48" s="1"/>
  <c r="C384" i="48"/>
  <c r="L384" i="48" s="1"/>
  <c r="C382" i="48"/>
  <c r="L382" i="48" s="1"/>
  <c r="C381" i="48"/>
  <c r="L381" i="48" s="1"/>
  <c r="C380" i="48"/>
  <c r="L380" i="48" s="1"/>
  <c r="C379" i="48"/>
  <c r="L379" i="48" s="1"/>
  <c r="C377" i="48"/>
  <c r="L377" i="48" s="1"/>
  <c r="C375" i="48"/>
  <c r="L375" i="48" s="1"/>
  <c r="C373" i="48"/>
  <c r="L373" i="48" s="1"/>
  <c r="C371" i="48"/>
  <c r="L371" i="48" s="1"/>
  <c r="C370" i="48"/>
  <c r="L370" i="48" s="1"/>
  <c r="C368" i="48"/>
  <c r="L368" i="48" s="1"/>
  <c r="C366" i="48"/>
  <c r="L366" i="48" s="1"/>
  <c r="C364" i="48"/>
  <c r="L364" i="48" s="1"/>
  <c r="C362" i="48"/>
  <c r="L362" i="48" s="1"/>
  <c r="C360" i="48"/>
  <c r="L360" i="48" s="1"/>
  <c r="C358" i="48"/>
  <c r="L358" i="48" s="1"/>
  <c r="C357" i="48"/>
  <c r="L357" i="48" s="1"/>
  <c r="C356" i="48"/>
  <c r="L356" i="48" s="1"/>
  <c r="C355" i="48"/>
  <c r="L355" i="48" s="1"/>
  <c r="C353" i="48"/>
  <c r="L353" i="48" s="1"/>
  <c r="C349" i="48"/>
  <c r="L349" i="48" s="1"/>
  <c r="C350" i="48"/>
  <c r="L350" i="48" s="1"/>
  <c r="C347" i="48"/>
  <c r="L347" i="48" s="1"/>
  <c r="C345" i="48"/>
  <c r="L345" i="48" s="1"/>
  <c r="C343" i="48"/>
  <c r="L343" i="48" s="1"/>
  <c r="C340" i="48"/>
  <c r="L340" i="48" s="1"/>
  <c r="C341" i="48"/>
  <c r="L341" i="48" s="1"/>
  <c r="C338" i="48"/>
  <c r="L338" i="48" s="1"/>
  <c r="C336" i="48"/>
  <c r="L336" i="48" s="1"/>
  <c r="C334" i="48"/>
  <c r="L334" i="48" s="1"/>
  <c r="C332" i="48"/>
  <c r="L332" i="48" s="1"/>
  <c r="C331" i="48"/>
  <c r="L331" i="48" s="1"/>
  <c r="C329" i="48"/>
  <c r="L329" i="48" s="1"/>
  <c r="C328" i="48"/>
  <c r="L328" i="48" s="1"/>
  <c r="C326" i="48"/>
  <c r="L326" i="48" s="1"/>
  <c r="C323" i="48"/>
  <c r="L323" i="48" s="1"/>
  <c r="C870" i="48"/>
  <c r="L870" i="48" s="1"/>
  <c r="C868" i="48"/>
  <c r="L868" i="48" s="1"/>
  <c r="C866" i="48"/>
  <c r="L866" i="48" s="1"/>
  <c r="C864" i="48"/>
  <c r="L864" i="48" s="1"/>
  <c r="C862" i="48"/>
  <c r="L862" i="48" s="1"/>
  <c r="C856" i="48"/>
  <c r="L856" i="48" s="1"/>
  <c r="C854" i="48"/>
  <c r="L854" i="48" s="1"/>
  <c r="C853" i="48"/>
  <c r="L853" i="48" s="1"/>
  <c r="C850" i="48"/>
  <c r="L850" i="48" s="1"/>
  <c r="C848" i="48"/>
  <c r="L848" i="48" s="1"/>
  <c r="C846" i="48"/>
  <c r="L846" i="48" s="1"/>
  <c r="C844" i="48"/>
  <c r="L844" i="48" s="1"/>
  <c r="C842" i="48"/>
  <c r="L842" i="48" s="1"/>
  <c r="C840" i="48"/>
  <c r="L840" i="48" s="1"/>
  <c r="C838" i="48"/>
  <c r="L838" i="48" s="1"/>
  <c r="C836" i="48"/>
  <c r="L836" i="48" s="1"/>
  <c r="C834" i="48"/>
  <c r="L834" i="48" s="1"/>
  <c r="C832" i="48"/>
  <c r="L832" i="48" s="1"/>
  <c r="C830" i="48"/>
  <c r="L830" i="48" s="1"/>
  <c r="C828" i="48"/>
  <c r="L828" i="48" s="1"/>
  <c r="C826" i="48"/>
  <c r="L826" i="48" s="1"/>
  <c r="C824" i="48"/>
  <c r="L824" i="48" s="1"/>
  <c r="C822" i="48"/>
  <c r="L822" i="48" s="1"/>
  <c r="C820" i="48"/>
  <c r="L820" i="48" s="1"/>
  <c r="C818" i="48"/>
  <c r="L818" i="48" s="1"/>
  <c r="C816" i="48"/>
  <c r="L816" i="48" s="1"/>
  <c r="C814" i="48"/>
  <c r="L814" i="48" s="1"/>
  <c r="C812" i="48"/>
  <c r="L812" i="48" s="1"/>
  <c r="C810" i="48"/>
  <c r="L810" i="48" s="1"/>
  <c r="C808" i="48"/>
  <c r="L808" i="48" s="1"/>
  <c r="C806" i="48"/>
  <c r="L806" i="48" s="1"/>
  <c r="C804" i="48"/>
  <c r="L804" i="48" s="1"/>
  <c r="C802" i="48"/>
  <c r="L802" i="48" s="1"/>
  <c r="C800" i="48"/>
  <c r="L800" i="48" s="1"/>
  <c r="C798" i="48"/>
  <c r="L798" i="48" s="1"/>
  <c r="C796" i="48"/>
  <c r="L796" i="48" s="1"/>
  <c r="C794" i="48"/>
  <c r="L794" i="48" s="1"/>
  <c r="C792" i="48"/>
  <c r="L792" i="48" s="1"/>
  <c r="C791" i="48"/>
  <c r="L791" i="48" s="1"/>
  <c r="C788" i="48"/>
  <c r="L788" i="48" s="1"/>
  <c r="C786" i="48"/>
  <c r="L786" i="48" s="1"/>
  <c r="C784" i="48"/>
  <c r="L784" i="48" s="1"/>
  <c r="C782" i="48"/>
  <c r="L782" i="48" s="1"/>
  <c r="C780" i="48"/>
  <c r="L780" i="48" s="1"/>
  <c r="C778" i="48"/>
  <c r="L778" i="48" s="1"/>
  <c r="C776" i="48"/>
  <c r="L776" i="48" s="1"/>
  <c r="C774" i="48"/>
  <c r="L774" i="48" s="1"/>
  <c r="C772" i="48"/>
  <c r="L772" i="48" s="1"/>
  <c r="C770" i="48"/>
  <c r="L770" i="48" s="1"/>
  <c r="C768" i="48"/>
  <c r="L768" i="48" s="1"/>
  <c r="C766" i="48"/>
  <c r="L766" i="48" s="1"/>
  <c r="C764" i="48"/>
  <c r="L764" i="48" s="1"/>
  <c r="C762" i="48"/>
  <c r="L762" i="48" s="1"/>
  <c r="C761" i="48"/>
  <c r="L761" i="48" s="1"/>
  <c r="C758" i="48"/>
  <c r="L758" i="48" s="1"/>
  <c r="C756" i="48"/>
  <c r="L756" i="48" s="1"/>
  <c r="C754" i="48"/>
  <c r="L754" i="48" s="1"/>
  <c r="C752" i="48"/>
  <c r="L752" i="48" s="1"/>
  <c r="C750" i="48"/>
  <c r="L750" i="48" s="1"/>
  <c r="C748" i="48"/>
  <c r="L748" i="48" s="1"/>
  <c r="C746" i="48"/>
  <c r="L746" i="48" s="1"/>
  <c r="C744" i="48"/>
  <c r="L744" i="48" s="1"/>
  <c r="C742" i="48"/>
  <c r="L742" i="48" s="1"/>
  <c r="C740" i="48"/>
  <c r="L740" i="48" s="1"/>
  <c r="C738" i="48"/>
  <c r="L738" i="48" s="1"/>
  <c r="C736" i="48"/>
  <c r="L736" i="48" s="1"/>
  <c r="C734" i="48"/>
  <c r="L734" i="48" s="1"/>
  <c r="C732" i="48"/>
  <c r="L732" i="48" s="1"/>
  <c r="C731" i="48"/>
  <c r="L731" i="48" s="1"/>
  <c r="C728" i="48"/>
  <c r="L728" i="48" s="1"/>
  <c r="C726" i="48"/>
  <c r="L726" i="48" s="1"/>
  <c r="C724" i="48"/>
  <c r="L724" i="48" s="1"/>
  <c r="C722" i="48"/>
  <c r="L722" i="48" s="1"/>
  <c r="C720" i="48"/>
  <c r="L720" i="48" s="1"/>
  <c r="C718" i="48"/>
  <c r="L718" i="48" s="1"/>
  <c r="C716" i="48"/>
  <c r="L716" i="48" s="1"/>
  <c r="C714" i="48"/>
  <c r="L714" i="48" s="1"/>
  <c r="C712" i="48"/>
  <c r="L712" i="48" s="1"/>
  <c r="C710" i="48"/>
  <c r="L710" i="48" s="1"/>
  <c r="C708" i="48"/>
  <c r="L708" i="48" s="1"/>
  <c r="C706" i="48"/>
  <c r="L706" i="48" s="1"/>
  <c r="C704" i="48"/>
  <c r="L704" i="48" s="1"/>
  <c r="C702" i="48"/>
  <c r="L702" i="48" s="1"/>
  <c r="C700" i="48"/>
  <c r="L700" i="48" s="1"/>
  <c r="C698" i="48"/>
  <c r="L698" i="48" s="1"/>
  <c r="C696" i="48"/>
  <c r="L696" i="48" s="1"/>
  <c r="C693" i="48"/>
  <c r="L693" i="48" s="1"/>
  <c r="C690" i="48"/>
  <c r="L690" i="48" s="1"/>
  <c r="C687" i="48"/>
  <c r="L687" i="48" s="1"/>
  <c r="C684" i="48"/>
  <c r="L684" i="48" s="1"/>
  <c r="C681" i="48"/>
  <c r="L681" i="48" s="1"/>
  <c r="C679" i="48"/>
  <c r="L679" i="48" s="1"/>
  <c r="C676" i="48"/>
  <c r="L676" i="48" s="1"/>
  <c r="C672" i="48"/>
  <c r="L672" i="48" s="1"/>
  <c r="C669" i="48"/>
  <c r="L669" i="48" s="1"/>
  <c r="C666" i="48"/>
  <c r="L666" i="48" s="1"/>
  <c r="C663" i="48"/>
  <c r="L663" i="48" s="1"/>
  <c r="C660" i="48"/>
  <c r="L660" i="48" s="1"/>
  <c r="C657" i="48"/>
  <c r="L657" i="48" s="1"/>
  <c r="C655" i="48"/>
  <c r="L655" i="48" s="1"/>
  <c r="C650" i="48"/>
  <c r="L650" i="48" s="1"/>
  <c r="C647" i="48"/>
  <c r="L647" i="48" s="1"/>
  <c r="C644" i="48"/>
  <c r="L644" i="48" s="1"/>
  <c r="C641" i="48"/>
  <c r="L641" i="48" s="1"/>
  <c r="C638" i="48"/>
  <c r="L638" i="48" s="1"/>
  <c r="C635" i="48"/>
  <c r="L635" i="48" s="1"/>
  <c r="C632" i="48"/>
  <c r="L632" i="48" s="1"/>
  <c r="C629" i="48"/>
  <c r="L629" i="48" s="1"/>
  <c r="C626" i="48"/>
  <c r="L626" i="48" s="1"/>
  <c r="C623" i="48"/>
  <c r="L623" i="48" s="1"/>
  <c r="C620" i="48"/>
  <c r="L620" i="48" s="1"/>
  <c r="C616" i="48"/>
  <c r="L616" i="48" s="1"/>
  <c r="C613" i="48"/>
  <c r="L613" i="48" s="1"/>
  <c r="C610" i="48"/>
  <c r="L610" i="48" s="1"/>
  <c r="C607" i="48"/>
  <c r="L607" i="48" s="1"/>
  <c r="C604" i="48"/>
  <c r="L604" i="48" s="1"/>
  <c r="C601" i="48"/>
  <c r="L601" i="48" s="1"/>
  <c r="C597" i="48"/>
  <c r="L597" i="48" s="1"/>
  <c r="C594" i="48"/>
  <c r="L594" i="48" s="1"/>
  <c r="C591" i="48"/>
  <c r="L591" i="48" s="1"/>
  <c r="C588" i="48"/>
  <c r="L588" i="48" s="1"/>
  <c r="C585" i="48"/>
  <c r="L585" i="48" s="1"/>
  <c r="C582" i="48"/>
  <c r="L582" i="48" s="1"/>
  <c r="C579" i="48"/>
  <c r="L579" i="48" s="1"/>
  <c r="C576" i="48"/>
  <c r="L576" i="48" s="1"/>
  <c r="C573" i="48"/>
  <c r="L573" i="48" s="1"/>
  <c r="C571" i="48"/>
  <c r="L571" i="48" s="1"/>
  <c r="C567" i="48"/>
  <c r="L567" i="48" s="1"/>
  <c r="C564" i="48"/>
  <c r="L564" i="48" s="1"/>
  <c r="C561" i="48"/>
  <c r="L561" i="48" s="1"/>
  <c r="C556" i="48"/>
  <c r="L556" i="48" s="1"/>
  <c r="C324" i="48"/>
  <c r="L324" i="48" s="1"/>
  <c r="C321" i="48"/>
  <c r="L321" i="48" s="1"/>
  <c r="C319" i="48"/>
  <c r="L319" i="48" s="1"/>
  <c r="C317" i="48"/>
  <c r="L317" i="48" s="1"/>
  <c r="C314" i="48"/>
  <c r="L314" i="48" s="1"/>
  <c r="C311" i="48"/>
  <c r="L311" i="48" s="1"/>
  <c r="C308" i="48"/>
  <c r="L308" i="48" s="1"/>
  <c r="C305" i="48"/>
  <c r="L305" i="48" s="1"/>
  <c r="C302" i="48"/>
  <c r="L302" i="48" s="1"/>
  <c r="C300" i="48"/>
  <c r="L300" i="48" s="1"/>
  <c r="C297" i="48"/>
  <c r="L297" i="48" s="1"/>
  <c r="C296" i="48"/>
  <c r="L296" i="48" s="1"/>
  <c r="C293" i="48"/>
  <c r="L293" i="48" s="1"/>
  <c r="C290" i="48"/>
  <c r="L290" i="48" s="1"/>
  <c r="C287" i="48"/>
  <c r="L287" i="48" s="1"/>
  <c r="C284" i="48"/>
  <c r="L284" i="48" s="1"/>
  <c r="C281" i="48"/>
  <c r="L281" i="48" s="1"/>
  <c r="C278" i="48"/>
  <c r="L278" i="48" s="1"/>
  <c r="C275" i="48"/>
  <c r="L275" i="48" s="1"/>
  <c r="C271" i="48"/>
  <c r="L271" i="48" s="1"/>
  <c r="C274" i="48"/>
  <c r="L274" i="48" s="1"/>
  <c r="C268" i="48"/>
  <c r="L268" i="48" s="1"/>
  <c r="C265" i="48"/>
  <c r="L265" i="48" s="1"/>
  <c r="C262" i="48"/>
  <c r="L262" i="48" s="1"/>
  <c r="C259" i="48"/>
  <c r="L259" i="48" s="1"/>
  <c r="C256" i="48"/>
  <c r="L256" i="48" s="1"/>
  <c r="C253" i="48"/>
  <c r="L253" i="48" s="1"/>
  <c r="C250" i="48"/>
  <c r="L250" i="48" s="1"/>
  <c r="C247" i="48"/>
  <c r="L247" i="48" s="1"/>
  <c r="C244" i="48"/>
  <c r="L244" i="48" s="1"/>
  <c r="C243" i="48"/>
  <c r="L243" i="48" s="1"/>
  <c r="C240" i="48"/>
  <c r="L240" i="48" s="1"/>
  <c r="C237" i="48"/>
  <c r="L237" i="48" s="1"/>
  <c r="C234" i="48"/>
  <c r="L234" i="48" s="1"/>
  <c r="C231" i="48"/>
  <c r="L231" i="48" s="1"/>
  <c r="C228" i="48"/>
  <c r="L228" i="48" s="1"/>
  <c r="C225" i="48"/>
  <c r="L225" i="48" s="1"/>
  <c r="C222" i="48"/>
  <c r="L222" i="48" s="1"/>
  <c r="C219" i="48"/>
  <c r="L219" i="48" s="1"/>
  <c r="C216" i="48"/>
  <c r="L216" i="48" s="1"/>
  <c r="C213" i="48"/>
  <c r="L213" i="48" s="1"/>
  <c r="C210" i="48"/>
  <c r="L210" i="48" s="1"/>
  <c r="C207" i="48"/>
  <c r="L207" i="48" s="1"/>
  <c r="C204" i="48"/>
  <c r="L204" i="48" s="1"/>
  <c r="C201" i="48"/>
  <c r="L201" i="48" s="1"/>
  <c r="C198" i="48"/>
  <c r="L198" i="48" s="1"/>
  <c r="C195" i="48"/>
  <c r="L195" i="48" s="1"/>
  <c r="C192" i="48"/>
  <c r="L192" i="48" s="1"/>
  <c r="C189" i="48"/>
  <c r="L189" i="48" s="1"/>
  <c r="C186" i="48"/>
  <c r="L186" i="48" s="1"/>
  <c r="C183" i="48"/>
  <c r="L183" i="48" s="1"/>
  <c r="C180" i="48"/>
  <c r="L180" i="48" s="1"/>
  <c r="C179" i="48"/>
  <c r="L179" i="48" s="1"/>
  <c r="C176" i="48"/>
  <c r="L176" i="48" s="1"/>
  <c r="C173" i="48"/>
  <c r="L173" i="48" s="1"/>
  <c r="C170" i="48"/>
  <c r="L170" i="48" s="1"/>
  <c r="C167" i="48"/>
  <c r="L167" i="48" s="1"/>
  <c r="C164" i="48"/>
  <c r="L164" i="48" s="1"/>
  <c r="C161" i="48"/>
  <c r="L161" i="48" s="1"/>
  <c r="C156" i="48"/>
  <c r="L156" i="48" s="1"/>
  <c r="C157" i="48"/>
  <c r="L157" i="48" s="1"/>
  <c r="C158" i="48"/>
  <c r="L158" i="48" s="1"/>
  <c r="C153" i="48"/>
  <c r="L153" i="48" s="1"/>
  <c r="C150" i="48"/>
  <c r="L150" i="48" s="1"/>
  <c r="C147" i="48"/>
  <c r="L147" i="48" s="1"/>
  <c r="C144" i="48"/>
  <c r="L144" i="48" s="1"/>
  <c r="C141" i="48"/>
  <c r="L141" i="48" s="1"/>
  <c r="C138" i="48"/>
  <c r="L138" i="48" s="1"/>
  <c r="C136" i="48"/>
  <c r="L136" i="48" s="1"/>
  <c r="C134" i="48"/>
  <c r="L134" i="48" s="1"/>
  <c r="C133" i="48"/>
  <c r="L133" i="48" s="1"/>
  <c r="C132" i="48"/>
  <c r="L132" i="48" s="1"/>
  <c r="C131" i="48"/>
  <c r="L131" i="48" s="1"/>
  <c r="C130" i="48"/>
  <c r="L130" i="48" s="1"/>
  <c r="C129" i="48"/>
  <c r="L129" i="48" s="1"/>
  <c r="C128" i="48"/>
  <c r="L128" i="48" s="1"/>
  <c r="C127" i="48"/>
  <c r="L127" i="48" s="1"/>
  <c r="C126" i="48"/>
  <c r="L126" i="48" s="1"/>
  <c r="C125" i="48"/>
  <c r="L125" i="48" s="1"/>
  <c r="C124" i="48"/>
  <c r="L124" i="48" s="1"/>
  <c r="C123" i="48"/>
  <c r="L123" i="48" s="1"/>
  <c r="C122" i="48"/>
  <c r="L122" i="48" s="1"/>
  <c r="C121" i="48"/>
  <c r="L121" i="48" s="1"/>
  <c r="C120" i="48"/>
  <c r="L120" i="48" s="1"/>
  <c r="C118" i="48"/>
  <c r="L118" i="48" s="1"/>
  <c r="C119" i="48"/>
  <c r="L119" i="48" s="1"/>
  <c r="C117" i="48"/>
  <c r="L117" i="48" s="1"/>
  <c r="C116" i="48"/>
  <c r="L116" i="48" s="1"/>
  <c r="C115" i="48"/>
  <c r="L115" i="48" s="1"/>
  <c r="C114" i="48"/>
  <c r="L114" i="48" s="1"/>
  <c r="C113" i="48"/>
  <c r="L113" i="48" s="1"/>
  <c r="C112" i="48"/>
  <c r="L112" i="48" s="1"/>
  <c r="C111" i="48"/>
  <c r="L111" i="48" s="1"/>
  <c r="C110" i="48"/>
  <c r="L110" i="48" s="1"/>
  <c r="C108" i="48"/>
  <c r="L108" i="48" s="1"/>
  <c r="C109" i="48"/>
  <c r="L109" i="48" s="1"/>
  <c r="C107" i="48"/>
  <c r="L107" i="48" s="1"/>
  <c r="C106" i="48"/>
  <c r="L106" i="48" s="1"/>
  <c r="C105" i="48"/>
  <c r="L105" i="48" s="1"/>
  <c r="C104" i="48"/>
  <c r="L104" i="48" s="1"/>
  <c r="C103" i="48"/>
  <c r="L103" i="48" s="1"/>
  <c r="C102" i="48"/>
  <c r="L102" i="48" s="1"/>
  <c r="C101" i="48"/>
  <c r="L101" i="48" s="1"/>
  <c r="C100" i="48"/>
  <c r="L100" i="48" s="1"/>
  <c r="C99" i="48"/>
  <c r="L99" i="48" s="1"/>
  <c r="C98" i="48"/>
  <c r="L98" i="48" s="1"/>
  <c r="C97" i="48"/>
  <c r="L97" i="48" s="1"/>
  <c r="C96" i="48"/>
  <c r="L96" i="48" s="1"/>
  <c r="C95" i="48"/>
  <c r="L95" i="48" s="1"/>
  <c r="C94" i="48"/>
  <c r="L94" i="48" s="1"/>
  <c r="C93" i="48"/>
  <c r="L93" i="48" s="1"/>
  <c r="C92" i="48"/>
  <c r="L92" i="48" s="1"/>
  <c r="C91" i="48"/>
  <c r="L91" i="48" s="1"/>
  <c r="C90" i="48"/>
  <c r="L90" i="48" s="1"/>
  <c r="C89" i="48"/>
  <c r="L89" i="48" s="1"/>
  <c r="C88" i="48"/>
  <c r="L88" i="48" s="1"/>
  <c r="C87" i="48"/>
  <c r="L87" i="48" s="1"/>
  <c r="C85" i="48"/>
  <c r="L85" i="48" s="1"/>
  <c r="C86" i="48"/>
  <c r="L86" i="48" s="1"/>
  <c r="C84" i="48"/>
  <c r="L84" i="48" s="1"/>
  <c r="C83" i="48"/>
  <c r="L83" i="48" s="1"/>
  <c r="C82" i="48"/>
  <c r="L82" i="48" s="1"/>
  <c r="C81" i="48"/>
  <c r="L81" i="48" s="1"/>
  <c r="C80" i="48"/>
  <c r="L80" i="48" s="1"/>
  <c r="C79" i="48"/>
  <c r="L79" i="48" s="1"/>
  <c r="C78" i="48"/>
  <c r="L78" i="48" s="1"/>
  <c r="C77" i="48"/>
  <c r="L77" i="48" s="1"/>
  <c r="C76" i="48"/>
  <c r="L76" i="48" s="1"/>
  <c r="C75" i="48"/>
  <c r="L75" i="48" s="1"/>
  <c r="C74" i="48"/>
  <c r="L74" i="48" s="1"/>
  <c r="C73" i="48"/>
  <c r="L73" i="48" s="1"/>
  <c r="C72" i="48"/>
  <c r="L72" i="48" s="1"/>
  <c r="C71" i="48"/>
  <c r="L71" i="48" s="1"/>
  <c r="C70" i="48"/>
  <c r="L70" i="48" s="1"/>
  <c r="C68" i="48"/>
  <c r="L68" i="48" s="1"/>
  <c r="C69" i="48"/>
  <c r="L69" i="48" s="1"/>
  <c r="C67" i="48"/>
  <c r="L67" i="48" s="1"/>
  <c r="C66" i="48"/>
  <c r="L66" i="48" s="1"/>
  <c r="C65" i="48"/>
  <c r="L65" i="48" s="1"/>
  <c r="C64" i="48"/>
  <c r="L64" i="48" s="1"/>
  <c r="C63" i="48"/>
  <c r="L63" i="48" s="1"/>
  <c r="C62" i="48"/>
  <c r="L62" i="48" s="1"/>
  <c r="C61" i="48"/>
  <c r="L61" i="48" s="1"/>
  <c r="C60" i="48"/>
  <c r="L60" i="48" s="1"/>
  <c r="C59" i="48"/>
  <c r="L59" i="48" s="1"/>
  <c r="C58" i="48"/>
  <c r="L58" i="48" s="1"/>
  <c r="C57" i="48"/>
  <c r="L57" i="48" s="1"/>
  <c r="C56" i="48"/>
  <c r="L56" i="48" s="1"/>
  <c r="C55" i="48"/>
  <c r="L55" i="48" s="1"/>
  <c r="C54" i="48"/>
  <c r="L54" i="48" s="1"/>
  <c r="C53" i="48"/>
  <c r="L53" i="48" s="1"/>
  <c r="C52" i="48"/>
  <c r="L52" i="48" s="1"/>
  <c r="C51" i="48"/>
  <c r="L51" i="48" s="1"/>
  <c r="C50" i="48"/>
  <c r="L50" i="48" s="1"/>
  <c r="C49" i="48"/>
  <c r="L49" i="48" s="1"/>
  <c r="C48" i="48"/>
  <c r="L48" i="48" s="1"/>
  <c r="C47" i="48"/>
  <c r="L47" i="48" s="1"/>
  <c r="C46" i="48"/>
  <c r="L46" i="48" s="1"/>
  <c r="C44" i="48"/>
  <c r="L44" i="48" s="1"/>
  <c r="C45" i="48"/>
  <c r="L45" i="48" s="1"/>
  <c r="C43" i="48"/>
  <c r="L43" i="48" s="1"/>
  <c r="C42" i="48"/>
  <c r="L42" i="48" s="1"/>
  <c r="C41" i="48"/>
  <c r="L41" i="48" s="1"/>
  <c r="C40" i="48"/>
  <c r="L40" i="48" s="1"/>
  <c r="C39" i="48"/>
  <c r="L39" i="48" s="1"/>
  <c r="C38" i="48"/>
  <c r="L38" i="48" s="1"/>
  <c r="C36" i="48"/>
  <c r="L36" i="48" s="1"/>
  <c r="C35" i="48"/>
  <c r="L35" i="48" s="1"/>
  <c r="C37" i="48"/>
  <c r="L37" i="48" s="1"/>
  <c r="C34" i="48"/>
  <c r="L34" i="48" s="1"/>
  <c r="C33" i="48"/>
  <c r="L33" i="48" s="1"/>
  <c r="C32" i="48"/>
  <c r="L32" i="48" s="1"/>
  <c r="C31" i="48"/>
  <c r="L31" i="48" s="1"/>
  <c r="C30" i="48"/>
  <c r="L30" i="48" s="1"/>
  <c r="C29" i="48"/>
  <c r="L29" i="48" s="1"/>
  <c r="C28" i="48"/>
  <c r="L28" i="48" s="1"/>
  <c r="C27" i="48"/>
  <c r="L27" i="48" s="1"/>
  <c r="C26" i="48"/>
  <c r="L26" i="48" s="1"/>
  <c r="C25" i="48"/>
  <c r="L25" i="48" s="1"/>
  <c r="C24" i="48"/>
  <c r="L24" i="48" s="1"/>
  <c r="C23" i="48"/>
  <c r="L23" i="48" s="1"/>
  <c r="C22" i="48"/>
  <c r="L22" i="48" s="1"/>
  <c r="C21" i="48"/>
  <c r="L21" i="48" s="1"/>
  <c r="C20" i="48"/>
  <c r="L20" i="48" s="1"/>
  <c r="C19" i="48"/>
  <c r="L19" i="48" s="1"/>
  <c r="C18" i="48"/>
  <c r="L18" i="48" s="1"/>
  <c r="C17" i="48"/>
  <c r="L17" i="48" s="1"/>
  <c r="C16" i="48"/>
  <c r="L16" i="48" s="1"/>
  <c r="C15" i="48"/>
  <c r="L15" i="48" s="1"/>
  <c r="C14" i="48"/>
  <c r="L14" i="48" s="1"/>
  <c r="C13" i="48"/>
  <c r="L13" i="48" s="1"/>
  <c r="C12" i="48"/>
  <c r="L12" i="48" s="1"/>
  <c r="C10" i="48"/>
  <c r="L10" i="48" s="1"/>
  <c r="C11" i="48"/>
  <c r="L11" i="48" s="1"/>
  <c r="C9" i="48"/>
  <c r="L9" i="48" s="1"/>
  <c r="C8" i="48"/>
  <c r="L8" i="48" s="1"/>
  <c r="C7" i="48"/>
  <c r="L7" i="48" s="1"/>
  <c r="C6" i="48"/>
  <c r="L6" i="48" s="1"/>
  <c r="C5" i="48"/>
  <c r="L5" i="48" s="1"/>
  <c r="C4" i="48"/>
  <c r="L4" i="48" s="1"/>
  <c r="C3" i="48"/>
  <c r="L3" i="48" s="1"/>
  <c r="C559" i="48"/>
  <c r="L559" i="48" s="1"/>
  <c r="C553" i="48"/>
  <c r="L553" i="48" s="1"/>
  <c r="C550" i="48"/>
  <c r="L550" i="48" s="1"/>
  <c r="C547" i="48"/>
  <c r="L547" i="48" s="1"/>
  <c r="C545" i="48"/>
  <c r="L545" i="48" s="1"/>
  <c r="C542" i="48"/>
  <c r="L542" i="48" s="1"/>
  <c r="C539" i="48"/>
  <c r="L539" i="48" s="1"/>
  <c r="C536" i="48"/>
  <c r="L536" i="48" s="1"/>
  <c r="C532" i="48"/>
  <c r="L532" i="48" s="1"/>
  <c r="C529" i="48"/>
  <c r="L529" i="48" s="1"/>
  <c r="C526" i="48"/>
  <c r="L526" i="48" s="1"/>
  <c r="C524" i="48"/>
  <c r="L524" i="48" s="1"/>
  <c r="C521" i="48"/>
  <c r="L521" i="48" s="1"/>
  <c r="C517" i="48"/>
  <c r="L517" i="48" s="1"/>
  <c r="C514" i="48"/>
  <c r="L514" i="48" s="1"/>
  <c r="C509" i="48"/>
  <c r="L509" i="48" s="1"/>
  <c r="C508" i="48"/>
  <c r="L508" i="48" s="1"/>
  <c r="C505" i="48"/>
  <c r="L505" i="48" s="1"/>
  <c r="C502" i="48"/>
  <c r="L502" i="48" s="1"/>
  <c r="C499" i="48"/>
  <c r="L499" i="48" s="1"/>
  <c r="C496" i="48"/>
  <c r="L496" i="48" s="1"/>
  <c r="C493" i="48"/>
  <c r="L493" i="48" s="1"/>
  <c r="C490" i="48"/>
  <c r="L490" i="48" s="1"/>
  <c r="C486" i="48"/>
  <c r="L486" i="48" s="1"/>
  <c r="C483" i="48"/>
  <c r="L483" i="48" s="1"/>
  <c r="C480" i="48"/>
  <c r="L480" i="48" s="1"/>
  <c r="C477" i="48"/>
  <c r="L477" i="48" s="1"/>
  <c r="C474" i="48"/>
  <c r="L474" i="48" s="1"/>
  <c r="C471" i="48"/>
  <c r="L471" i="48" s="1"/>
  <c r="C468" i="48"/>
  <c r="L468" i="48" s="1"/>
  <c r="C463" i="48"/>
  <c r="L463" i="48" s="1"/>
  <c r="C462" i="48"/>
  <c r="L462" i="48" s="1"/>
  <c r="C459" i="48"/>
  <c r="L459" i="48" s="1"/>
  <c r="C456" i="48"/>
  <c r="L456" i="48" s="1"/>
  <c r="C453" i="48"/>
  <c r="L453" i="48" s="1"/>
  <c r="C450" i="48"/>
  <c r="L450" i="48" s="1"/>
  <c r="C447" i="48"/>
  <c r="L447" i="48" s="1"/>
  <c r="C443" i="48"/>
  <c r="L443" i="48" s="1"/>
  <c r="C439" i="48"/>
  <c r="L439" i="48" s="1"/>
  <c r="C436" i="48"/>
  <c r="L436" i="48" s="1"/>
  <c r="C434" i="48"/>
  <c r="L434" i="48" s="1"/>
  <c r="C431" i="48"/>
  <c r="L431" i="48" s="1"/>
  <c r="C427" i="48"/>
  <c r="L427" i="48" s="1"/>
  <c r="C424" i="48"/>
  <c r="L424" i="48" s="1"/>
  <c r="C421" i="48"/>
  <c r="L421" i="48" s="1"/>
  <c r="C417" i="48"/>
  <c r="L417" i="48" s="1"/>
  <c r="C414" i="48"/>
  <c r="L414" i="48" s="1"/>
  <c r="C397" i="48"/>
  <c r="L397" i="48" s="1"/>
  <c r="C351" i="48"/>
  <c r="L351" i="48" s="1"/>
  <c r="C316" i="48"/>
  <c r="L316" i="48" s="1"/>
  <c r="C313" i="48"/>
  <c r="L313" i="48" s="1"/>
  <c r="C310" i="48"/>
  <c r="L310" i="48" s="1"/>
  <c r="C307" i="48"/>
  <c r="L307" i="48" s="1"/>
  <c r="C304" i="48"/>
  <c r="L304" i="48" s="1"/>
  <c r="C299" i="48"/>
  <c r="L299" i="48" s="1"/>
  <c r="C295" i="48"/>
  <c r="L295" i="48" s="1"/>
  <c r="C292" i="48"/>
  <c r="L292" i="48" s="1"/>
  <c r="C289" i="48"/>
  <c r="L289" i="48" s="1"/>
  <c r="C286" i="48"/>
  <c r="L286" i="48" s="1"/>
  <c r="C283" i="48"/>
  <c r="L283" i="48" s="1"/>
  <c r="C280" i="48"/>
  <c r="L280" i="48" s="1"/>
  <c r="C277" i="48"/>
  <c r="L277" i="48" s="1"/>
  <c r="C272" i="48"/>
  <c r="L272" i="48" s="1"/>
  <c r="C270" i="48"/>
  <c r="L270" i="48" s="1"/>
  <c r="C267" i="48"/>
  <c r="L267" i="48" s="1"/>
  <c r="C264" i="48"/>
  <c r="L264" i="48" s="1"/>
  <c r="C261" i="48"/>
  <c r="L261" i="48" s="1"/>
  <c r="C258" i="48"/>
  <c r="L258" i="48" s="1"/>
  <c r="C255" i="48"/>
  <c r="L255" i="48" s="1"/>
  <c r="C252" i="48"/>
  <c r="L252" i="48" s="1"/>
  <c r="C249" i="48"/>
  <c r="L249" i="48" s="1"/>
  <c r="C246" i="48"/>
  <c r="L246" i="48" s="1"/>
  <c r="C242" i="48"/>
  <c r="L242" i="48" s="1"/>
  <c r="C239" i="48"/>
  <c r="L239" i="48" s="1"/>
  <c r="C236" i="48"/>
  <c r="L236" i="48" s="1"/>
  <c r="C233" i="48"/>
  <c r="L233" i="48" s="1"/>
  <c r="C230" i="48"/>
  <c r="L230" i="48" s="1"/>
  <c r="C227" i="48"/>
  <c r="L227" i="48" s="1"/>
  <c r="C224" i="48"/>
  <c r="L224" i="48" s="1"/>
  <c r="C221" i="48"/>
  <c r="L221" i="48" s="1"/>
  <c r="C218" i="48"/>
  <c r="L218" i="48" s="1"/>
  <c r="C215" i="48"/>
  <c r="L215" i="48" s="1"/>
  <c r="C212" i="48"/>
  <c r="L212" i="48" s="1"/>
  <c r="C209" i="48"/>
  <c r="L209" i="48" s="1"/>
  <c r="C206" i="48"/>
  <c r="L206" i="48" s="1"/>
  <c r="C203" i="48"/>
  <c r="L203" i="48" s="1"/>
  <c r="C200" i="48"/>
  <c r="L200" i="48" s="1"/>
  <c r="C197" i="48"/>
  <c r="L197" i="48" s="1"/>
  <c r="C194" i="48"/>
  <c r="L194" i="48" s="1"/>
  <c r="C191" i="48"/>
  <c r="L191" i="48" s="1"/>
  <c r="C188" i="48"/>
  <c r="L188" i="48" s="1"/>
  <c r="C185" i="48"/>
  <c r="L185" i="48" s="1"/>
  <c r="C181" i="48"/>
  <c r="L181" i="48" s="1"/>
  <c r="C177" i="48"/>
  <c r="L177" i="48" s="1"/>
  <c r="C175" i="48"/>
  <c r="L175" i="48" s="1"/>
  <c r="C172" i="48"/>
  <c r="L172" i="48" s="1"/>
  <c r="C169" i="48"/>
  <c r="L169" i="48" s="1"/>
  <c r="C166" i="48"/>
  <c r="L166" i="48" s="1"/>
  <c r="C163" i="48"/>
  <c r="L163" i="48" s="1"/>
  <c r="C160" i="48"/>
  <c r="L160" i="48" s="1"/>
  <c r="C155" i="48"/>
  <c r="L155" i="48" s="1"/>
  <c r="C152" i="48"/>
  <c r="L152" i="48" s="1"/>
  <c r="C149" i="48"/>
  <c r="L149" i="48" s="1"/>
  <c r="C146" i="48"/>
  <c r="L146" i="48" s="1"/>
  <c r="C143" i="48"/>
  <c r="L143" i="48" s="1"/>
  <c r="C140" i="48"/>
  <c r="L140" i="48" s="1"/>
  <c r="C137" i="48"/>
  <c r="L137" i="48" s="1"/>
  <c r="C557" i="48"/>
  <c r="L557" i="48" s="1"/>
  <c r="C552" i="48"/>
  <c r="L552" i="48" s="1"/>
  <c r="C549" i="48"/>
  <c r="L549" i="48" s="1"/>
  <c r="C546" i="48"/>
  <c r="L546" i="48" s="1"/>
  <c r="C544" i="48"/>
  <c r="L544" i="48" s="1"/>
  <c r="C541" i="48"/>
  <c r="L541" i="48" s="1"/>
  <c r="C538" i="48"/>
  <c r="L538" i="48" s="1"/>
  <c r="C535" i="48"/>
  <c r="L535" i="48" s="1"/>
  <c r="C531" i="48"/>
  <c r="L531" i="48" s="1"/>
  <c r="C528" i="48"/>
  <c r="L528" i="48" s="1"/>
  <c r="C525" i="48"/>
  <c r="L525" i="48" s="1"/>
  <c r="C523" i="48"/>
  <c r="L523" i="48" s="1"/>
  <c r="C520" i="48"/>
  <c r="L520" i="48" s="1"/>
  <c r="C516" i="48"/>
  <c r="L516" i="48" s="1"/>
  <c r="C513" i="48"/>
  <c r="L513" i="48" s="1"/>
  <c r="C510" i="48"/>
  <c r="L510" i="48" s="1"/>
  <c r="C506" i="48"/>
  <c r="L506" i="48" s="1"/>
  <c r="C503" i="48"/>
  <c r="L503" i="48" s="1"/>
  <c r="C500" i="48"/>
  <c r="L500" i="48" s="1"/>
  <c r="C497" i="48"/>
  <c r="L497" i="48" s="1"/>
  <c r="C494" i="48"/>
  <c r="L494" i="48" s="1"/>
  <c r="C491" i="48"/>
  <c r="L491" i="48" s="1"/>
  <c r="C488" i="48"/>
  <c r="L488" i="48" s="1"/>
  <c r="C485" i="48"/>
  <c r="L485" i="48" s="1"/>
  <c r="C481" i="48"/>
  <c r="L481" i="48" s="1"/>
  <c r="C478" i="48"/>
  <c r="L478" i="48" s="1"/>
  <c r="C476" i="48"/>
  <c r="L476" i="48" s="1"/>
  <c r="C472" i="48"/>
  <c r="L472" i="48" s="1"/>
  <c r="C469" i="48"/>
  <c r="L469" i="48" s="1"/>
  <c r="C466" i="48"/>
  <c r="L466" i="48" s="1"/>
  <c r="C464" i="48"/>
  <c r="L464" i="48" s="1"/>
  <c r="C460" i="48"/>
  <c r="L460" i="48" s="1"/>
  <c r="C457" i="48"/>
  <c r="L457" i="48" s="1"/>
  <c r="C454" i="48"/>
  <c r="L454" i="48" s="1"/>
  <c r="C451" i="48"/>
  <c r="L451" i="48" s="1"/>
  <c r="C448" i="48"/>
  <c r="L448" i="48" s="1"/>
  <c r="C445" i="48"/>
  <c r="L445" i="48" s="1"/>
  <c r="C441" i="48"/>
  <c r="L441" i="48" s="1"/>
  <c r="C438" i="48"/>
  <c r="L438" i="48" s="1"/>
  <c r="C435" i="48"/>
  <c r="L435" i="48" s="1"/>
  <c r="C432" i="48"/>
  <c r="L432" i="48" s="1"/>
  <c r="C430" i="48"/>
  <c r="L430" i="48" s="1"/>
  <c r="C426" i="48"/>
  <c r="L426" i="48" s="1"/>
  <c r="C425" i="48"/>
  <c r="L425" i="48" s="1"/>
  <c r="C423" i="48"/>
  <c r="L423" i="48" s="1"/>
  <c r="C419" i="48"/>
  <c r="L419" i="48" s="1"/>
  <c r="C416" i="48"/>
  <c r="L416" i="48" s="1"/>
  <c r="C413" i="48"/>
  <c r="L413" i="48" s="1"/>
  <c r="C378" i="48"/>
  <c r="L378" i="48" s="1"/>
  <c r="C376" i="48"/>
  <c r="L376" i="48" s="1"/>
  <c r="C374" i="48"/>
  <c r="L374" i="48" s="1"/>
  <c r="C372" i="48"/>
  <c r="L372" i="48" s="1"/>
  <c r="C369" i="48"/>
  <c r="L369" i="48" s="1"/>
  <c r="C367" i="48"/>
  <c r="L367" i="48" s="1"/>
  <c r="C365" i="48"/>
  <c r="L365" i="48" s="1"/>
  <c r="C363" i="48"/>
  <c r="L363" i="48" s="1"/>
  <c r="C361" i="48"/>
  <c r="L361" i="48" s="1"/>
  <c r="C359" i="48"/>
  <c r="L359" i="48" s="1"/>
  <c r="C354" i="48"/>
  <c r="L354" i="48" s="1"/>
  <c r="C352" i="48"/>
  <c r="L352" i="48" s="1"/>
  <c r="C348" i="48"/>
  <c r="L348" i="48" s="1"/>
  <c r="C346" i="48"/>
  <c r="L346" i="48" s="1"/>
  <c r="C344" i="48"/>
  <c r="L344" i="48" s="1"/>
  <c r="C342" i="48"/>
  <c r="L342" i="48" s="1"/>
  <c r="C339" i="48"/>
  <c r="L339" i="48" s="1"/>
  <c r="C337" i="48"/>
  <c r="L337" i="48" s="1"/>
  <c r="C335" i="48"/>
  <c r="L335" i="48" s="1"/>
  <c r="C333" i="48"/>
  <c r="L333" i="48" s="1"/>
  <c r="C330" i="48"/>
  <c r="L330" i="48" s="1"/>
  <c r="C327" i="48"/>
  <c r="L327" i="48" s="1"/>
  <c r="C325" i="48"/>
  <c r="L325" i="48" s="1"/>
  <c r="C322" i="48"/>
  <c r="L322" i="48" s="1"/>
  <c r="C320" i="48"/>
  <c r="L320" i="48" s="1"/>
  <c r="C318" i="48"/>
  <c r="L318" i="48" s="1"/>
  <c r="C315" i="48"/>
  <c r="L315" i="48" s="1"/>
  <c r="C312" i="48"/>
  <c r="L312" i="48" s="1"/>
  <c r="C309" i="48"/>
  <c r="L309" i="48" s="1"/>
  <c r="C306" i="48"/>
  <c r="L306" i="48" s="1"/>
  <c r="C303" i="48"/>
  <c r="L303" i="48" s="1"/>
  <c r="C301" i="48"/>
  <c r="L301" i="48" s="1"/>
  <c r="C298" i="48"/>
  <c r="L298" i="48" s="1"/>
  <c r="C294" i="48"/>
  <c r="L294" i="48" s="1"/>
  <c r="C291" i="48"/>
  <c r="L291" i="48" s="1"/>
  <c r="C288" i="48"/>
  <c r="L288" i="48" s="1"/>
  <c r="C285" i="48"/>
  <c r="L285" i="48" s="1"/>
  <c r="C282" i="48"/>
  <c r="L282" i="48" s="1"/>
  <c r="C279" i="48"/>
  <c r="L279" i="48" s="1"/>
  <c r="C276" i="48"/>
  <c r="L276" i="48" s="1"/>
  <c r="C273" i="48"/>
  <c r="L273" i="48" s="1"/>
  <c r="C269" i="48"/>
  <c r="L269" i="48" s="1"/>
  <c r="C266" i="48"/>
  <c r="L266" i="48" s="1"/>
  <c r="C263" i="48"/>
  <c r="L263" i="48" s="1"/>
  <c r="C260" i="48"/>
  <c r="L260" i="48" s="1"/>
  <c r="C257" i="48"/>
  <c r="L257" i="48" s="1"/>
  <c r="C254" i="48"/>
  <c r="L254" i="48" s="1"/>
  <c r="C251" i="48"/>
  <c r="L251" i="48" s="1"/>
  <c r="C248" i="48"/>
  <c r="L248" i="48" s="1"/>
  <c r="C245" i="48"/>
  <c r="L245" i="48" s="1"/>
  <c r="C241" i="48"/>
  <c r="L241" i="48" s="1"/>
  <c r="C238" i="48"/>
  <c r="L238" i="48" s="1"/>
  <c r="C235" i="48"/>
  <c r="L235" i="48" s="1"/>
  <c r="C232" i="48"/>
  <c r="L232" i="48" s="1"/>
  <c r="C229" i="48"/>
  <c r="L229" i="48" s="1"/>
  <c r="C226" i="48"/>
  <c r="L226" i="48" s="1"/>
  <c r="C223" i="48"/>
  <c r="L223" i="48" s="1"/>
  <c r="C220" i="48"/>
  <c r="L220" i="48" s="1"/>
  <c r="C217" i="48"/>
  <c r="L217" i="48" s="1"/>
  <c r="C214" i="48"/>
  <c r="L214" i="48" s="1"/>
  <c r="C211" i="48"/>
  <c r="L211" i="48" s="1"/>
  <c r="C208" i="48"/>
  <c r="L208" i="48" s="1"/>
  <c r="C205" i="48"/>
  <c r="L205" i="48" s="1"/>
  <c r="C202" i="48"/>
  <c r="L202" i="48" s="1"/>
  <c r="C199" i="48"/>
  <c r="L199" i="48" s="1"/>
  <c r="C196" i="48"/>
  <c r="L196" i="48" s="1"/>
  <c r="C193" i="48"/>
  <c r="L193" i="48" s="1"/>
  <c r="C190" i="48"/>
  <c r="L190" i="48" s="1"/>
  <c r="C187" i="48"/>
  <c r="L187" i="48" s="1"/>
  <c r="C184" i="48"/>
  <c r="L184" i="48" s="1"/>
  <c r="C182" i="48"/>
  <c r="L182" i="48" s="1"/>
  <c r="C178" i="48"/>
  <c r="L178" i="48" s="1"/>
  <c r="C174" i="48"/>
  <c r="L174" i="48" s="1"/>
  <c r="C171" i="48"/>
  <c r="L171" i="48" s="1"/>
  <c r="C168" i="48"/>
  <c r="L168" i="48" s="1"/>
  <c r="C165" i="48"/>
  <c r="L165" i="48" s="1"/>
  <c r="C162" i="48"/>
  <c r="L162" i="48" s="1"/>
  <c r="C159" i="48"/>
  <c r="L159" i="48" s="1"/>
  <c r="C154" i="48"/>
  <c r="L154" i="48" s="1"/>
  <c r="C151" i="48"/>
  <c r="L151" i="48" s="1"/>
  <c r="C148" i="48"/>
  <c r="L148" i="48" s="1"/>
  <c r="C145" i="48"/>
  <c r="L145" i="48" s="1"/>
  <c r="C142" i="48"/>
  <c r="L142" i="48" s="1"/>
  <c r="C139" i="48"/>
  <c r="L139" i="48" s="1"/>
  <c r="C135" i="48"/>
  <c r="L135" i="48" s="1"/>
  <c r="C695" i="48"/>
  <c r="L695" i="48" s="1"/>
  <c r="C692" i="48"/>
  <c r="L692" i="48" s="1"/>
  <c r="C689" i="48"/>
  <c r="L689" i="48" s="1"/>
  <c r="C686" i="48"/>
  <c r="L686" i="48" s="1"/>
  <c r="C683" i="48"/>
  <c r="L683" i="48" s="1"/>
  <c r="C680" i="48"/>
  <c r="L680" i="48" s="1"/>
  <c r="C677" i="48"/>
  <c r="L677" i="48" s="1"/>
  <c r="C674" i="48"/>
  <c r="L674" i="48" s="1"/>
  <c r="C671" i="48"/>
  <c r="L671" i="48" s="1"/>
  <c r="C668" i="48"/>
  <c r="L668" i="48" s="1"/>
  <c r="C665" i="48"/>
  <c r="L665" i="48" s="1"/>
  <c r="C662" i="48"/>
  <c r="L662" i="48" s="1"/>
  <c r="C659" i="48"/>
  <c r="L659" i="48" s="1"/>
  <c r="C656" i="48"/>
  <c r="L656" i="48" s="1"/>
  <c r="C654" i="48"/>
  <c r="L654" i="48" s="1"/>
  <c r="C652" i="48"/>
  <c r="L652" i="48" s="1"/>
  <c r="C649" i="48"/>
  <c r="L649" i="48" s="1"/>
  <c r="C646" i="48"/>
  <c r="L646" i="48" s="1"/>
  <c r="C643" i="48"/>
  <c r="L643" i="48" s="1"/>
  <c r="C640" i="48"/>
  <c r="L640" i="48" s="1"/>
  <c r="C637" i="48"/>
  <c r="L637" i="48" s="1"/>
  <c r="C634" i="48"/>
  <c r="L634" i="48" s="1"/>
  <c r="C631" i="48"/>
  <c r="L631" i="48" s="1"/>
  <c r="C628" i="48"/>
  <c r="L628" i="48" s="1"/>
  <c r="C625" i="48"/>
  <c r="L625" i="48" s="1"/>
  <c r="C622" i="48"/>
  <c r="L622" i="48" s="1"/>
  <c r="C619" i="48"/>
  <c r="L619" i="48" s="1"/>
  <c r="C615" i="48"/>
  <c r="L615" i="48" s="1"/>
  <c r="C617" i="48"/>
  <c r="L617" i="48" s="1"/>
  <c r="C612" i="48"/>
  <c r="L612" i="48" s="1"/>
  <c r="C609" i="48"/>
  <c r="L609" i="48" s="1"/>
  <c r="C606" i="48"/>
  <c r="L606" i="48" s="1"/>
  <c r="C603" i="48"/>
  <c r="L603" i="48" s="1"/>
  <c r="C600" i="48"/>
  <c r="L600" i="48" s="1"/>
  <c r="C598" i="48"/>
  <c r="L598" i="48" s="1"/>
  <c r="C595" i="48"/>
  <c r="L595" i="48" s="1"/>
  <c r="C592" i="48"/>
  <c r="L592" i="48" s="1"/>
  <c r="C589" i="48"/>
  <c r="L589" i="48" s="1"/>
  <c r="C586" i="48"/>
  <c r="L586" i="48" s="1"/>
  <c r="C583" i="48"/>
  <c r="L583" i="48" s="1"/>
  <c r="C580" i="48"/>
  <c r="L580" i="48" s="1"/>
  <c r="C577" i="48"/>
  <c r="L577" i="48" s="1"/>
  <c r="C575" i="48"/>
  <c r="L575" i="48" s="1"/>
  <c r="C570" i="48"/>
  <c r="L570" i="48" s="1"/>
  <c r="C569" i="48"/>
  <c r="L569" i="48" s="1"/>
  <c r="C566" i="48"/>
  <c r="L566" i="48" s="1"/>
  <c r="C563" i="48"/>
  <c r="L563" i="48" s="1"/>
  <c r="C558" i="48"/>
  <c r="L558" i="48" s="1"/>
  <c r="C904" i="48"/>
  <c r="L904" i="48" s="1"/>
  <c r="J580" i="48" l="1"/>
  <c r="J695" i="48"/>
  <c r="J282" i="48"/>
  <c r="J419" i="48"/>
  <c r="J541" i="48"/>
  <c r="J242" i="48"/>
  <c r="J459" i="48"/>
  <c r="J11" i="48"/>
  <c r="J50" i="48"/>
  <c r="J98" i="48"/>
  <c r="J144" i="48"/>
  <c r="J234" i="48"/>
  <c r="J576" i="48"/>
  <c r="J650" i="48"/>
  <c r="J746" i="48"/>
  <c r="J826" i="48"/>
  <c r="J357" i="48"/>
  <c r="J422" i="48"/>
  <c r="J537" i="48"/>
  <c r="J685" i="48"/>
  <c r="J769" i="48"/>
  <c r="J849" i="48"/>
  <c r="J861" i="48"/>
  <c r="J558" i="48"/>
  <c r="J674" i="48"/>
  <c r="J235" i="48"/>
  <c r="J348" i="48"/>
  <c r="J520" i="48"/>
  <c r="J221" i="48"/>
  <c r="J436" i="48"/>
  <c r="J3" i="48"/>
  <c r="J43" i="48"/>
  <c r="J83" i="48"/>
  <c r="J123" i="48"/>
  <c r="J213" i="48"/>
  <c r="J324" i="48"/>
  <c r="J629" i="48"/>
  <c r="J732" i="48"/>
  <c r="J748" i="48"/>
  <c r="J764" i="48"/>
  <c r="J780" i="48"/>
  <c r="J864" i="48"/>
  <c r="J331" i="48"/>
  <c r="J345" i="48"/>
  <c r="J358" i="48"/>
  <c r="J373" i="48"/>
  <c r="J383" i="48"/>
  <c r="J392" i="48"/>
  <c r="J401" i="48"/>
  <c r="J409" i="48"/>
  <c r="J428" i="48"/>
  <c r="J449" i="48"/>
  <c r="J473" i="48"/>
  <c r="J495" i="48"/>
  <c r="J519" i="48"/>
  <c r="J540" i="48"/>
  <c r="J565" i="48"/>
  <c r="J590" i="48"/>
  <c r="J614" i="48"/>
  <c r="J639" i="48"/>
  <c r="J664" i="48"/>
  <c r="J688" i="48"/>
  <c r="J707" i="48"/>
  <c r="J723" i="48"/>
  <c r="J739" i="48"/>
  <c r="J755" i="48"/>
  <c r="J771" i="48"/>
  <c r="J787" i="48"/>
  <c r="J803" i="48"/>
  <c r="J819" i="48"/>
  <c r="J835" i="48"/>
  <c r="J851" i="48"/>
  <c r="J863" i="48"/>
  <c r="J875" i="48"/>
  <c r="J883" i="48"/>
  <c r="J891" i="48"/>
  <c r="P899" i="48"/>
  <c r="J899" i="48"/>
  <c r="P563" i="48"/>
  <c r="J563" i="48"/>
  <c r="P586" i="48"/>
  <c r="J586" i="48"/>
  <c r="P609" i="48"/>
  <c r="J609" i="48"/>
  <c r="P631" i="48"/>
  <c r="J631" i="48"/>
  <c r="P654" i="48"/>
  <c r="J654" i="48"/>
  <c r="P677" i="48"/>
  <c r="J677" i="48"/>
  <c r="P139" i="48"/>
  <c r="J139" i="48"/>
  <c r="P165" i="48"/>
  <c r="J165" i="48"/>
  <c r="P190" i="48"/>
  <c r="J190" i="48"/>
  <c r="P214" i="48"/>
  <c r="J214" i="48"/>
  <c r="P238" i="48"/>
  <c r="J238" i="48"/>
  <c r="P263" i="48"/>
  <c r="J263" i="48"/>
  <c r="P288" i="48"/>
  <c r="J288" i="48"/>
  <c r="P312" i="48"/>
  <c r="J312" i="48"/>
  <c r="P333" i="48"/>
  <c r="J333" i="48"/>
  <c r="P352" i="48"/>
  <c r="J352" i="48"/>
  <c r="P372" i="48"/>
  <c r="J372" i="48"/>
  <c r="P425" i="48"/>
  <c r="J425" i="48"/>
  <c r="P448" i="48"/>
  <c r="J448" i="48"/>
  <c r="P472" i="48"/>
  <c r="J472" i="48"/>
  <c r="P497" i="48"/>
  <c r="J497" i="48"/>
  <c r="P523" i="48"/>
  <c r="J523" i="48"/>
  <c r="P546" i="48"/>
  <c r="J546" i="48"/>
  <c r="P149" i="48"/>
  <c r="J149" i="48"/>
  <c r="P175" i="48"/>
  <c r="J175" i="48"/>
  <c r="P200" i="48"/>
  <c r="J200" i="48"/>
  <c r="P224" i="48"/>
  <c r="J224" i="48"/>
  <c r="P249" i="48"/>
  <c r="J249" i="48"/>
  <c r="J272" i="48"/>
  <c r="J299" i="48"/>
  <c r="J414" i="48"/>
  <c r="J439" i="48"/>
  <c r="J463" i="48"/>
  <c r="J490" i="48"/>
  <c r="J514" i="48"/>
  <c r="J539" i="48"/>
  <c r="J4" i="48"/>
  <c r="J12" i="48"/>
  <c r="J20" i="48"/>
  <c r="J28" i="48"/>
  <c r="J35" i="48"/>
  <c r="J45" i="48"/>
  <c r="J52" i="48"/>
  <c r="J60" i="48"/>
  <c r="J69" i="48"/>
  <c r="J76" i="48"/>
  <c r="J84" i="48"/>
  <c r="J92" i="48"/>
  <c r="J100" i="48"/>
  <c r="J109" i="48"/>
  <c r="J116" i="48"/>
  <c r="J124" i="48"/>
  <c r="J132" i="48"/>
  <c r="J150" i="48"/>
  <c r="J170" i="48"/>
  <c r="J192" i="48"/>
  <c r="J216" i="48"/>
  <c r="J240" i="48"/>
  <c r="J262" i="48"/>
  <c r="J284" i="48"/>
  <c r="J305" i="48"/>
  <c r="J556" i="48"/>
  <c r="J582" i="48"/>
  <c r="J607" i="48"/>
  <c r="J632" i="48"/>
  <c r="J657" i="48"/>
  <c r="J681" i="48"/>
  <c r="J702" i="48"/>
  <c r="J718" i="48"/>
  <c r="J734" i="48"/>
  <c r="J750" i="48"/>
  <c r="J766" i="48"/>
  <c r="J782" i="48"/>
  <c r="J798" i="48"/>
  <c r="J814" i="48"/>
  <c r="J830" i="48"/>
  <c r="J846" i="48"/>
  <c r="J866" i="48"/>
  <c r="J332" i="48"/>
  <c r="J347" i="48"/>
  <c r="J360" i="48"/>
  <c r="J375" i="48"/>
  <c r="J385" i="48"/>
  <c r="J393" i="48"/>
  <c r="J402" i="48"/>
  <c r="J410" i="48"/>
  <c r="J429" i="48"/>
  <c r="J452" i="48"/>
  <c r="J475" i="48"/>
  <c r="J498" i="48"/>
  <c r="J518" i="48"/>
  <c r="J543" i="48"/>
  <c r="J568" i="48"/>
  <c r="J593" i="48"/>
  <c r="J618" i="48"/>
  <c r="J642" i="48"/>
  <c r="J667" i="48"/>
  <c r="J691" i="48"/>
  <c r="J709" i="48"/>
  <c r="J725" i="48"/>
  <c r="J741" i="48"/>
  <c r="J757" i="48"/>
  <c r="J773" i="48"/>
  <c r="J789" i="48"/>
  <c r="J805" i="48"/>
  <c r="J821" i="48"/>
  <c r="J837" i="48"/>
  <c r="J852" i="48"/>
  <c r="J865" i="48"/>
  <c r="J876" i="48"/>
  <c r="J884" i="48"/>
  <c r="J892" i="48"/>
  <c r="J900" i="48"/>
  <c r="J603" i="48"/>
  <c r="J159" i="48"/>
  <c r="J257" i="48"/>
  <c r="J367" i="48"/>
  <c r="J516" i="48"/>
  <c r="J218" i="48"/>
  <c r="J434" i="48"/>
  <c r="J559" i="48"/>
  <c r="J42" i="48"/>
  <c r="J90" i="48"/>
  <c r="J130" i="48"/>
  <c r="J256" i="48"/>
  <c r="J601" i="48"/>
  <c r="J714" i="48"/>
  <c r="J762" i="48"/>
  <c r="J842" i="48"/>
  <c r="J384" i="48"/>
  <c r="J444" i="48"/>
  <c r="J562" i="48"/>
  <c r="J661" i="48"/>
  <c r="J753" i="48"/>
  <c r="J833" i="48"/>
  <c r="J874" i="48"/>
  <c r="J583" i="48"/>
  <c r="J135" i="48"/>
  <c r="J260" i="48"/>
  <c r="J369" i="48"/>
  <c r="J544" i="48"/>
  <c r="J246" i="48"/>
  <c r="J462" i="48"/>
  <c r="J10" i="48"/>
  <c r="J51" i="48"/>
  <c r="J91" i="48"/>
  <c r="J131" i="48"/>
  <c r="J237" i="48"/>
  <c r="J579" i="48"/>
  <c r="J700" i="48"/>
  <c r="J796" i="48"/>
  <c r="J566" i="48"/>
  <c r="J656" i="48"/>
  <c r="J193" i="48"/>
  <c r="J291" i="48"/>
  <c r="J374" i="48"/>
  <c r="J500" i="48"/>
  <c r="J203" i="48"/>
  <c r="J304" i="48"/>
  <c r="J493" i="48"/>
  <c r="J13" i="48"/>
  <c r="J44" i="48"/>
  <c r="J77" i="48"/>
  <c r="J117" i="48"/>
  <c r="J173" i="48"/>
  <c r="J265" i="48"/>
  <c r="J585" i="48"/>
  <c r="J660" i="48"/>
  <c r="J720" i="48"/>
  <c r="J784" i="48"/>
  <c r="J868" i="48"/>
  <c r="J377" i="48"/>
  <c r="J411" i="48"/>
  <c r="J522" i="48"/>
  <c r="J621" i="48"/>
  <c r="J711" i="48"/>
  <c r="J743" i="48"/>
  <c r="J790" i="48"/>
  <c r="J823" i="48"/>
  <c r="J855" i="48"/>
  <c r="J867" i="48"/>
  <c r="J893" i="48"/>
  <c r="J592" i="48"/>
  <c r="J637" i="48"/>
  <c r="J145" i="48"/>
  <c r="J196" i="48"/>
  <c r="J269" i="48"/>
  <c r="J318" i="48"/>
  <c r="J359" i="48"/>
  <c r="J376" i="48"/>
  <c r="J430" i="48"/>
  <c r="J454" i="48"/>
  <c r="J478" i="48"/>
  <c r="J503" i="48"/>
  <c r="J528" i="48"/>
  <c r="J552" i="48"/>
  <c r="J155" i="48"/>
  <c r="J181" i="48"/>
  <c r="J206" i="48"/>
  <c r="J230" i="48"/>
  <c r="J255" i="48"/>
  <c r="J280" i="48"/>
  <c r="J307" i="48"/>
  <c r="J421" i="48"/>
  <c r="J447" i="48"/>
  <c r="J471" i="48"/>
  <c r="J496" i="48"/>
  <c r="J521" i="48"/>
  <c r="J545" i="48"/>
  <c r="J6" i="48"/>
  <c r="J14" i="48"/>
  <c r="J22" i="48"/>
  <c r="J30" i="48"/>
  <c r="J38" i="48"/>
  <c r="J46" i="48"/>
  <c r="J54" i="48"/>
  <c r="J62" i="48"/>
  <c r="J70" i="48"/>
  <c r="J78" i="48"/>
  <c r="J85" i="48"/>
  <c r="J94" i="48"/>
  <c r="J102" i="48"/>
  <c r="J110" i="48"/>
  <c r="J119" i="48"/>
  <c r="J126" i="48"/>
  <c r="J134" i="48"/>
  <c r="J158" i="48"/>
  <c r="J176" i="48"/>
  <c r="J198" i="48"/>
  <c r="J222" i="48"/>
  <c r="J244" i="48"/>
  <c r="J268" i="48"/>
  <c r="J290" i="48"/>
  <c r="J311" i="48"/>
  <c r="J564" i="48"/>
  <c r="J588" i="48"/>
  <c r="J613" i="48"/>
  <c r="J638" i="48"/>
  <c r="J663" i="48"/>
  <c r="J687" i="48"/>
  <c r="J706" i="48"/>
  <c r="J722" i="48"/>
  <c r="J738" i="48"/>
  <c r="J754" i="48"/>
  <c r="J770" i="48"/>
  <c r="J786" i="48"/>
  <c r="J802" i="48"/>
  <c r="J818" i="48"/>
  <c r="J834" i="48"/>
  <c r="J850" i="48"/>
  <c r="P870" i="48"/>
  <c r="J870" i="48"/>
  <c r="J336" i="48"/>
  <c r="J349" i="48"/>
  <c r="J364" i="48"/>
  <c r="J379" i="48"/>
  <c r="J387" i="48"/>
  <c r="J396" i="48"/>
  <c r="J404" i="48"/>
  <c r="J412" i="48"/>
  <c r="J437" i="48"/>
  <c r="J458" i="48"/>
  <c r="J482" i="48"/>
  <c r="J504" i="48"/>
  <c r="J527" i="48"/>
  <c r="J551" i="48"/>
  <c r="J574" i="48"/>
  <c r="J599" i="48"/>
  <c r="J624" i="48"/>
  <c r="J648" i="48"/>
  <c r="J673" i="48"/>
  <c r="J697" i="48"/>
  <c r="J713" i="48"/>
  <c r="J729" i="48"/>
  <c r="J745" i="48"/>
  <c r="J760" i="48"/>
  <c r="J777" i="48"/>
  <c r="J793" i="48"/>
  <c r="J809" i="48"/>
  <c r="J825" i="48"/>
  <c r="J841" i="48"/>
  <c r="J857" i="48"/>
  <c r="J869" i="48"/>
  <c r="J878" i="48"/>
  <c r="J886" i="48"/>
  <c r="J894" i="48"/>
  <c r="P902" i="48"/>
  <c r="J902" i="48"/>
  <c r="J904" i="48"/>
  <c r="J671" i="48"/>
  <c r="J232" i="48"/>
  <c r="J346" i="48"/>
  <c r="J491" i="48"/>
  <c r="J169" i="48"/>
  <c r="J267" i="48"/>
  <c r="J483" i="48"/>
  <c r="J18" i="48"/>
  <c r="J58" i="48"/>
  <c r="J82" i="48"/>
  <c r="J122" i="48"/>
  <c r="J186" i="48"/>
  <c r="J278" i="48"/>
  <c r="J626" i="48"/>
  <c r="J731" i="48"/>
  <c r="J810" i="48"/>
  <c r="J329" i="48"/>
  <c r="J371" i="48"/>
  <c r="J408" i="48"/>
  <c r="J515" i="48"/>
  <c r="J636" i="48"/>
  <c r="J737" i="48"/>
  <c r="J801" i="48"/>
  <c r="P898" i="48"/>
  <c r="J898" i="48"/>
  <c r="J652" i="48"/>
  <c r="J162" i="48"/>
  <c r="J285" i="48"/>
  <c r="J423" i="48"/>
  <c r="J494" i="48"/>
  <c r="J197" i="48"/>
  <c r="J397" i="48"/>
  <c r="J536" i="48"/>
  <c r="J37" i="48"/>
  <c r="J59" i="48"/>
  <c r="J99" i="48"/>
  <c r="J147" i="48"/>
  <c r="J259" i="48"/>
  <c r="J604" i="48"/>
  <c r="J716" i="48"/>
  <c r="J844" i="48"/>
  <c r="J634" i="48"/>
  <c r="J142" i="48"/>
  <c r="J217" i="48"/>
  <c r="J315" i="48"/>
  <c r="J426" i="48"/>
  <c r="J525" i="48"/>
  <c r="J177" i="48"/>
  <c r="J277" i="48"/>
  <c r="J468" i="48"/>
  <c r="J517" i="48"/>
  <c r="J21" i="48"/>
  <c r="J53" i="48"/>
  <c r="J86" i="48"/>
  <c r="J108" i="48"/>
  <c r="J133" i="48"/>
  <c r="J195" i="48"/>
  <c r="J287" i="48"/>
  <c r="J610" i="48"/>
  <c r="J704" i="48"/>
  <c r="J768" i="48"/>
  <c r="J800" i="48"/>
  <c r="J848" i="48"/>
  <c r="J362" i="48"/>
  <c r="J403" i="48"/>
  <c r="J455" i="48"/>
  <c r="J501" i="48"/>
  <c r="J596" i="48"/>
  <c r="J645" i="48"/>
  <c r="J727" i="48"/>
  <c r="L759" i="48"/>
  <c r="J759" i="48"/>
  <c r="J775" i="48"/>
  <c r="J807" i="48"/>
  <c r="J839" i="48"/>
  <c r="P901" i="48"/>
  <c r="J901" i="48"/>
  <c r="J569" i="48"/>
  <c r="J617" i="48"/>
  <c r="J659" i="48"/>
  <c r="J683" i="48"/>
  <c r="J171" i="48"/>
  <c r="J220" i="48"/>
  <c r="J245" i="48"/>
  <c r="J294" i="48"/>
  <c r="J337" i="48"/>
  <c r="J570" i="48"/>
  <c r="J595" i="48"/>
  <c r="J615" i="48"/>
  <c r="J640" i="48"/>
  <c r="J662" i="48"/>
  <c r="J686" i="48"/>
  <c r="J148" i="48"/>
  <c r="J174" i="48"/>
  <c r="J199" i="48"/>
  <c r="J223" i="48"/>
  <c r="J248" i="48"/>
  <c r="J273" i="48"/>
  <c r="J298" i="48"/>
  <c r="J320" i="48"/>
  <c r="J339" i="48"/>
  <c r="J361" i="48"/>
  <c r="J378" i="48"/>
  <c r="J432" i="48"/>
  <c r="J457" i="48"/>
  <c r="J481" i="48"/>
  <c r="J506" i="48"/>
  <c r="J531" i="48"/>
  <c r="J557" i="48"/>
  <c r="J160" i="48"/>
  <c r="J185" i="48"/>
  <c r="J209" i="48"/>
  <c r="J233" i="48"/>
  <c r="J258" i="48"/>
  <c r="J283" i="48"/>
  <c r="J310" i="48"/>
  <c r="J424" i="48"/>
  <c r="J450" i="48"/>
  <c r="J474" i="48"/>
  <c r="J499" i="48"/>
  <c r="J524" i="48"/>
  <c r="J547" i="48"/>
  <c r="J7" i="48"/>
  <c r="J15" i="48"/>
  <c r="J23" i="48"/>
  <c r="J31" i="48"/>
  <c r="J39" i="48"/>
  <c r="J47" i="48"/>
  <c r="J55" i="48"/>
  <c r="J63" i="48"/>
  <c r="J71" i="48"/>
  <c r="J79" i="48"/>
  <c r="J87" i="48"/>
  <c r="J95" i="48"/>
  <c r="J103" i="48"/>
  <c r="J111" i="48"/>
  <c r="J118" i="48"/>
  <c r="J127" i="48"/>
  <c r="J136" i="48"/>
  <c r="J157" i="48"/>
  <c r="J179" i="48"/>
  <c r="J201" i="48"/>
  <c r="J225" i="48"/>
  <c r="J247" i="48"/>
  <c r="J274" i="48"/>
  <c r="J293" i="48"/>
  <c r="J314" i="48"/>
  <c r="J567" i="48"/>
  <c r="J591" i="48"/>
  <c r="J616" i="48"/>
  <c r="J641" i="48"/>
  <c r="J666" i="48"/>
  <c r="J690" i="48"/>
  <c r="J708" i="48"/>
  <c r="J724" i="48"/>
  <c r="J740" i="48"/>
  <c r="J756" i="48"/>
  <c r="J772" i="48"/>
  <c r="J788" i="48"/>
  <c r="J804" i="48"/>
  <c r="J820" i="48"/>
  <c r="J836" i="48"/>
  <c r="J853" i="48"/>
  <c r="J323" i="48"/>
  <c r="J338" i="48"/>
  <c r="J353" i="48"/>
  <c r="J366" i="48"/>
  <c r="J380" i="48"/>
  <c r="J388" i="48"/>
  <c r="J395" i="48"/>
  <c r="J405" i="48"/>
  <c r="J415" i="48"/>
  <c r="J440" i="48"/>
  <c r="J461" i="48"/>
  <c r="J487" i="48"/>
  <c r="J507" i="48"/>
  <c r="J530" i="48"/>
  <c r="J554" i="48"/>
  <c r="J578" i="48"/>
  <c r="J602" i="48"/>
  <c r="J627" i="48"/>
  <c r="J651" i="48"/>
  <c r="J675" i="48"/>
  <c r="J699" i="48"/>
  <c r="J715" i="48"/>
  <c r="J730" i="48"/>
  <c r="J747" i="48"/>
  <c r="J763" i="48"/>
  <c r="J779" i="48"/>
  <c r="J795" i="48"/>
  <c r="J811" i="48"/>
  <c r="J827" i="48"/>
  <c r="J843" i="48"/>
  <c r="J858" i="48"/>
  <c r="J871" i="48"/>
  <c r="J879" i="48"/>
  <c r="J887" i="48"/>
  <c r="J895" i="48"/>
  <c r="P903" i="48"/>
  <c r="J903" i="48"/>
  <c r="J649" i="48"/>
  <c r="J208" i="48"/>
  <c r="J327" i="48"/>
  <c r="J466" i="48"/>
  <c r="J194" i="48"/>
  <c r="J292" i="48"/>
  <c r="J508" i="48"/>
  <c r="J26" i="48"/>
  <c r="J66" i="48"/>
  <c r="J106" i="48"/>
  <c r="J164" i="48"/>
  <c r="J300" i="48"/>
  <c r="J698" i="48"/>
  <c r="J794" i="48"/>
  <c r="J343" i="48"/>
  <c r="J391" i="48"/>
  <c r="J470" i="48"/>
  <c r="J611" i="48"/>
  <c r="J721" i="48"/>
  <c r="J817" i="48"/>
  <c r="J882" i="48"/>
  <c r="J628" i="48"/>
  <c r="J211" i="48"/>
  <c r="J330" i="48"/>
  <c r="J469" i="48"/>
  <c r="J172" i="48"/>
  <c r="J295" i="48"/>
  <c r="J509" i="48"/>
  <c r="J27" i="48"/>
  <c r="J75" i="48"/>
  <c r="J115" i="48"/>
  <c r="J189" i="48"/>
  <c r="J302" i="48"/>
  <c r="J679" i="48"/>
  <c r="J812" i="48"/>
  <c r="J612" i="48"/>
  <c r="J168" i="48"/>
  <c r="J266" i="48"/>
  <c r="J354" i="48"/>
  <c r="J451" i="48"/>
  <c r="J549" i="48"/>
  <c r="J227" i="48"/>
  <c r="J417" i="48"/>
  <c r="J5" i="48"/>
  <c r="J29" i="48"/>
  <c r="J61" i="48"/>
  <c r="J101" i="48"/>
  <c r="J153" i="48"/>
  <c r="J219" i="48"/>
  <c r="J308" i="48"/>
  <c r="J635" i="48"/>
  <c r="J736" i="48"/>
  <c r="J816" i="48"/>
  <c r="J334" i="48"/>
  <c r="J394" i="48"/>
  <c r="J479" i="48"/>
  <c r="J572" i="48"/>
  <c r="J694" i="48"/>
  <c r="J885" i="48"/>
  <c r="J575" i="48"/>
  <c r="J598" i="48"/>
  <c r="J619" i="48"/>
  <c r="J643" i="48"/>
  <c r="J665" i="48"/>
  <c r="J689" i="48"/>
  <c r="J151" i="48"/>
  <c r="J178" i="48"/>
  <c r="J202" i="48"/>
  <c r="J226" i="48"/>
  <c r="J251" i="48"/>
  <c r="J276" i="48"/>
  <c r="J301" i="48"/>
  <c r="J322" i="48"/>
  <c r="J342" i="48"/>
  <c r="J363" i="48"/>
  <c r="J413" i="48"/>
  <c r="J435" i="48"/>
  <c r="J460" i="48"/>
  <c r="J485" i="48"/>
  <c r="J510" i="48"/>
  <c r="J535" i="48"/>
  <c r="J137" i="48"/>
  <c r="J163" i="48"/>
  <c r="J188" i="48"/>
  <c r="J212" i="48"/>
  <c r="J236" i="48"/>
  <c r="J261" i="48"/>
  <c r="J286" i="48"/>
  <c r="J313" i="48"/>
  <c r="J427" i="48"/>
  <c r="J453" i="48"/>
  <c r="J477" i="48"/>
  <c r="J502" i="48"/>
  <c r="J526" i="48"/>
  <c r="J550" i="48"/>
  <c r="J8" i="48"/>
  <c r="J16" i="48"/>
  <c r="J24" i="48"/>
  <c r="J32" i="48"/>
  <c r="J40" i="48"/>
  <c r="J48" i="48"/>
  <c r="J56" i="48"/>
  <c r="J64" i="48"/>
  <c r="J72" i="48"/>
  <c r="J80" i="48"/>
  <c r="J88" i="48"/>
  <c r="J96" i="48"/>
  <c r="J104" i="48"/>
  <c r="J112" i="48"/>
  <c r="J120" i="48"/>
  <c r="J128" i="48"/>
  <c r="J138" i="48"/>
  <c r="J156" i="48"/>
  <c r="J180" i="48"/>
  <c r="J204" i="48"/>
  <c r="J228" i="48"/>
  <c r="J250" i="48"/>
  <c r="J271" i="48"/>
  <c r="J296" i="48"/>
  <c r="J317" i="48"/>
  <c r="J571" i="48"/>
  <c r="J594" i="48"/>
  <c r="J620" i="48"/>
  <c r="J644" i="48"/>
  <c r="J669" i="48"/>
  <c r="J693" i="48"/>
  <c r="J710" i="48"/>
  <c r="J726" i="48"/>
  <c r="J742" i="48"/>
  <c r="J758" i="48"/>
  <c r="J774" i="48"/>
  <c r="J791" i="48"/>
  <c r="J806" i="48"/>
  <c r="J822" i="48"/>
  <c r="J838" i="48"/>
  <c r="J854" i="48"/>
  <c r="J326" i="48"/>
  <c r="J341" i="48"/>
  <c r="J355" i="48"/>
  <c r="J368" i="48"/>
  <c r="J381" i="48"/>
  <c r="J389" i="48"/>
  <c r="J398" i="48"/>
  <c r="J406" i="48"/>
  <c r="J418" i="48"/>
  <c r="J442" i="48"/>
  <c r="J465" i="48"/>
  <c r="J484" i="48"/>
  <c r="J511" i="48"/>
  <c r="J533" i="48"/>
  <c r="J560" i="48"/>
  <c r="J581" i="48"/>
  <c r="J605" i="48"/>
  <c r="J630" i="48"/>
  <c r="J653" i="48"/>
  <c r="J678" i="48"/>
  <c r="J701" i="48"/>
  <c r="J717" i="48"/>
  <c r="J733" i="48"/>
  <c r="J749" i="48"/>
  <c r="J765" i="48"/>
  <c r="J781" i="48"/>
  <c r="J797" i="48"/>
  <c r="J813" i="48"/>
  <c r="J829" i="48"/>
  <c r="J845" i="48"/>
  <c r="J859" i="48"/>
  <c r="J872" i="48"/>
  <c r="J880" i="48"/>
  <c r="J888" i="48"/>
  <c r="P896" i="48"/>
  <c r="J896" i="48"/>
  <c r="J625" i="48"/>
  <c r="J184" i="48"/>
  <c r="J306" i="48"/>
  <c r="J441" i="48"/>
  <c r="J143" i="48"/>
  <c r="J351" i="48"/>
  <c r="J532" i="48"/>
  <c r="J34" i="48"/>
  <c r="J74" i="48"/>
  <c r="J114" i="48"/>
  <c r="J210" i="48"/>
  <c r="J321" i="48"/>
  <c r="J676" i="48"/>
  <c r="J778" i="48"/>
  <c r="J862" i="48"/>
  <c r="J400" i="48"/>
  <c r="J492" i="48"/>
  <c r="J587" i="48"/>
  <c r="J705" i="48"/>
  <c r="J785" i="48"/>
  <c r="J890" i="48"/>
  <c r="J606" i="48"/>
  <c r="J187" i="48"/>
  <c r="J309" i="48"/>
  <c r="J445" i="48"/>
  <c r="J146" i="48"/>
  <c r="J270" i="48"/>
  <c r="J486" i="48"/>
  <c r="J19" i="48"/>
  <c r="J67" i="48"/>
  <c r="J107" i="48"/>
  <c r="J167" i="48"/>
  <c r="J281" i="48"/>
  <c r="J655" i="48"/>
  <c r="J828" i="48"/>
  <c r="J589" i="48"/>
  <c r="J680" i="48"/>
  <c r="J241" i="48"/>
  <c r="J335" i="48"/>
  <c r="J476" i="48"/>
  <c r="J152" i="48"/>
  <c r="J252" i="48"/>
  <c r="J443" i="48"/>
  <c r="J542" i="48"/>
  <c r="J36" i="48"/>
  <c r="J68" i="48"/>
  <c r="J93" i="48"/>
  <c r="J125" i="48"/>
  <c r="J243" i="48"/>
  <c r="J561" i="48"/>
  <c r="J684" i="48"/>
  <c r="J752" i="48"/>
  <c r="J832" i="48"/>
  <c r="J350" i="48"/>
  <c r="J386" i="48"/>
  <c r="J433" i="48"/>
  <c r="J548" i="48"/>
  <c r="J670" i="48"/>
  <c r="J877" i="48"/>
  <c r="J577" i="48"/>
  <c r="J600" i="48"/>
  <c r="J622" i="48"/>
  <c r="J646" i="48"/>
  <c r="J668" i="48"/>
  <c r="J692" i="48"/>
  <c r="J154" i="48"/>
  <c r="J182" i="48"/>
  <c r="J205" i="48"/>
  <c r="J229" i="48"/>
  <c r="J254" i="48"/>
  <c r="J279" i="48"/>
  <c r="J303" i="48"/>
  <c r="J325" i="48"/>
  <c r="J344" i="48"/>
  <c r="J365" i="48"/>
  <c r="J416" i="48"/>
  <c r="J438" i="48"/>
  <c r="J464" i="48"/>
  <c r="J488" i="48"/>
  <c r="J513" i="48"/>
  <c r="J538" i="48"/>
  <c r="J140" i="48"/>
  <c r="J166" i="48"/>
  <c r="J191" i="48"/>
  <c r="J215" i="48"/>
  <c r="J239" i="48"/>
  <c r="J264" i="48"/>
  <c r="J289" i="48"/>
  <c r="J316" i="48"/>
  <c r="J431" i="48"/>
  <c r="J456" i="48"/>
  <c r="J480" i="48"/>
  <c r="J505" i="48"/>
  <c r="J529" i="48"/>
  <c r="J553" i="48"/>
  <c r="J9" i="48"/>
  <c r="J17" i="48"/>
  <c r="J25" i="48"/>
  <c r="J33" i="48"/>
  <c r="J41" i="48"/>
  <c r="J49" i="48"/>
  <c r="J57" i="48"/>
  <c r="J65" i="48"/>
  <c r="J73" i="48"/>
  <c r="J81" i="48"/>
  <c r="J89" i="48"/>
  <c r="J97" i="48"/>
  <c r="J105" i="48"/>
  <c r="J113" i="48"/>
  <c r="J121" i="48"/>
  <c r="J129" i="48"/>
  <c r="J141" i="48"/>
  <c r="J161" i="48"/>
  <c r="J183" i="48"/>
  <c r="J207" i="48"/>
  <c r="J231" i="48"/>
  <c r="J253" i="48"/>
  <c r="J275" i="48"/>
  <c r="J297" i="48"/>
  <c r="J319" i="48"/>
  <c r="J573" i="48"/>
  <c r="J597" i="48"/>
  <c r="J623" i="48"/>
  <c r="J647" i="48"/>
  <c r="J672" i="48"/>
  <c r="J696" i="48"/>
  <c r="J712" i="48"/>
  <c r="J728" i="48"/>
  <c r="J744" i="48"/>
  <c r="J761" i="48"/>
  <c r="J776" i="48"/>
  <c r="J792" i="48"/>
  <c r="J808" i="48"/>
  <c r="J824" i="48"/>
  <c r="J840" i="48"/>
  <c r="J856" i="48"/>
  <c r="J328" i="48"/>
  <c r="J340" i="48"/>
  <c r="J356" i="48"/>
  <c r="J370" i="48"/>
  <c r="J382" i="48"/>
  <c r="J390" i="48"/>
  <c r="J399" i="48"/>
  <c r="J407" i="48"/>
  <c r="J420" i="48"/>
  <c r="J446" i="48"/>
  <c r="J467" i="48"/>
  <c r="J489" i="48"/>
  <c r="J512" i="48"/>
  <c r="J534" i="48"/>
  <c r="J555" i="48"/>
  <c r="J584" i="48"/>
  <c r="J608" i="48"/>
  <c r="J633" i="48"/>
  <c r="J658" i="48"/>
  <c r="J682" i="48"/>
  <c r="J703" i="48"/>
  <c r="J719" i="48"/>
  <c r="J735" i="48"/>
  <c r="J751" i="48"/>
  <c r="J767" i="48"/>
  <c r="J783" i="48"/>
  <c r="J799" i="48"/>
  <c r="J815" i="48"/>
  <c r="J831" i="48"/>
  <c r="J847" i="48"/>
  <c r="J860" i="48"/>
  <c r="J873" i="48"/>
  <c r="J881" i="48"/>
  <c r="J889" i="48"/>
  <c r="J897" i="48"/>
  <c r="P619" i="48"/>
  <c r="P226" i="48"/>
  <c r="P363" i="48"/>
  <c r="P535" i="48"/>
  <c r="P286" i="48"/>
  <c r="P550" i="48"/>
  <c r="P48" i="48"/>
  <c r="P96" i="48"/>
  <c r="P180" i="48"/>
  <c r="P317" i="48"/>
  <c r="P693" i="48"/>
  <c r="P791" i="48"/>
  <c r="P355" i="48"/>
  <c r="P442" i="48"/>
  <c r="P781" i="48"/>
  <c r="P569" i="48"/>
  <c r="P617" i="48"/>
  <c r="P659" i="48"/>
  <c r="P683" i="48"/>
  <c r="P145" i="48"/>
  <c r="P171" i="48"/>
  <c r="P196" i="48"/>
  <c r="P220" i="48"/>
  <c r="P245" i="48"/>
  <c r="P269" i="48"/>
  <c r="P294" i="48"/>
  <c r="P318" i="48"/>
  <c r="P337" i="48"/>
  <c r="P359" i="48"/>
  <c r="P376" i="48"/>
  <c r="P430" i="48"/>
  <c r="P454" i="48"/>
  <c r="P478" i="48"/>
  <c r="P503" i="48"/>
  <c r="P528" i="48"/>
  <c r="P552" i="48"/>
  <c r="P155" i="48"/>
  <c r="P181" i="48"/>
  <c r="P206" i="48"/>
  <c r="P230" i="48"/>
  <c r="P255" i="48"/>
  <c r="P280" i="48"/>
  <c r="P307" i="48"/>
  <c r="P421" i="48"/>
  <c r="P447" i="48"/>
  <c r="P471" i="48"/>
  <c r="P496" i="48"/>
  <c r="P521" i="48"/>
  <c r="P545" i="48"/>
  <c r="P6" i="48"/>
  <c r="P14" i="48"/>
  <c r="P22" i="48"/>
  <c r="P30" i="48"/>
  <c r="P38" i="48"/>
  <c r="P46" i="48"/>
  <c r="P54" i="48"/>
  <c r="P62" i="48"/>
  <c r="P70" i="48"/>
  <c r="P78" i="48"/>
  <c r="P85" i="48"/>
  <c r="P94" i="48"/>
  <c r="P102" i="48"/>
  <c r="P110" i="48"/>
  <c r="P119" i="48"/>
  <c r="P126" i="48"/>
  <c r="P134" i="48"/>
  <c r="P158" i="48"/>
  <c r="P176" i="48"/>
  <c r="P198" i="48"/>
  <c r="P222" i="48"/>
  <c r="P244" i="48"/>
  <c r="P268" i="48"/>
  <c r="P290" i="48"/>
  <c r="P311" i="48"/>
  <c r="P564" i="48"/>
  <c r="P588" i="48"/>
  <c r="P613" i="48"/>
  <c r="P638" i="48"/>
  <c r="P663" i="48"/>
  <c r="P687" i="48"/>
  <c r="P706" i="48"/>
  <c r="P722" i="48"/>
  <c r="P738" i="48"/>
  <c r="P754" i="48"/>
  <c r="P770" i="48"/>
  <c r="P786" i="48"/>
  <c r="P802" i="48"/>
  <c r="P818" i="48"/>
  <c r="P834" i="48"/>
  <c r="P850" i="48"/>
  <c r="P336" i="48"/>
  <c r="P349" i="48"/>
  <c r="P364" i="48"/>
  <c r="P379" i="48"/>
  <c r="P387" i="48"/>
  <c r="P396" i="48"/>
  <c r="P404" i="48"/>
  <c r="P412" i="48"/>
  <c r="P437" i="48"/>
  <c r="P458" i="48"/>
  <c r="P482" i="48"/>
  <c r="P504" i="48"/>
  <c r="P527" i="48"/>
  <c r="P551" i="48"/>
  <c r="P574" i="48"/>
  <c r="P599" i="48"/>
  <c r="P624" i="48"/>
  <c r="P648" i="48"/>
  <c r="P673" i="48"/>
  <c r="P697" i="48"/>
  <c r="P713" i="48"/>
  <c r="P729" i="48"/>
  <c r="P745" i="48"/>
  <c r="P760" i="48"/>
  <c r="P777" i="48"/>
  <c r="P793" i="48"/>
  <c r="P809" i="48"/>
  <c r="P825" i="48"/>
  <c r="P841" i="48"/>
  <c r="P857" i="48"/>
  <c r="P869" i="48"/>
  <c r="P878" i="48"/>
  <c r="P886" i="48"/>
  <c r="P894" i="48"/>
  <c r="P665" i="48"/>
  <c r="P276" i="48"/>
  <c r="P460" i="48"/>
  <c r="P212" i="48"/>
  <c r="P453" i="48"/>
  <c r="P24" i="48"/>
  <c r="P80" i="48"/>
  <c r="P128" i="48"/>
  <c r="P271" i="48"/>
  <c r="P669" i="48"/>
  <c r="P774" i="48"/>
  <c r="P341" i="48"/>
  <c r="P406" i="48"/>
  <c r="P533" i="48"/>
  <c r="P829" i="48"/>
  <c r="P592" i="48"/>
  <c r="P637" i="48"/>
  <c r="P570" i="48"/>
  <c r="P595" i="48"/>
  <c r="P615" i="48"/>
  <c r="P640" i="48"/>
  <c r="P662" i="48"/>
  <c r="P686" i="48"/>
  <c r="P148" i="48"/>
  <c r="P174" i="48"/>
  <c r="P199" i="48"/>
  <c r="P223" i="48"/>
  <c r="P248" i="48"/>
  <c r="P273" i="48"/>
  <c r="P298" i="48"/>
  <c r="P320" i="48"/>
  <c r="P339" i="48"/>
  <c r="P361" i="48"/>
  <c r="P378" i="48"/>
  <c r="P432" i="48"/>
  <c r="P457" i="48"/>
  <c r="P481" i="48"/>
  <c r="P506" i="48"/>
  <c r="P531" i="48"/>
  <c r="P557" i="48"/>
  <c r="P160" i="48"/>
  <c r="P185" i="48"/>
  <c r="P209" i="48"/>
  <c r="P233" i="48"/>
  <c r="P258" i="48"/>
  <c r="P283" i="48"/>
  <c r="P310" i="48"/>
  <c r="P424" i="48"/>
  <c r="P450" i="48"/>
  <c r="P474" i="48"/>
  <c r="P499" i="48"/>
  <c r="P524" i="48"/>
  <c r="P547" i="48"/>
  <c r="P7" i="48"/>
  <c r="P15" i="48"/>
  <c r="P23" i="48"/>
  <c r="P31" i="48"/>
  <c r="P39" i="48"/>
  <c r="P47" i="48"/>
  <c r="P55" i="48"/>
  <c r="P63" i="48"/>
  <c r="P71" i="48"/>
  <c r="P79" i="48"/>
  <c r="P87" i="48"/>
  <c r="P95" i="48"/>
  <c r="P103" i="48"/>
  <c r="P111" i="48"/>
  <c r="P118" i="48"/>
  <c r="P127" i="48"/>
  <c r="P136" i="48"/>
  <c r="P157" i="48"/>
  <c r="P179" i="48"/>
  <c r="P201" i="48"/>
  <c r="P225" i="48"/>
  <c r="P247" i="48"/>
  <c r="P274" i="48"/>
  <c r="P293" i="48"/>
  <c r="P314" i="48"/>
  <c r="P567" i="48"/>
  <c r="P591" i="48"/>
  <c r="P616" i="48"/>
  <c r="P641" i="48"/>
  <c r="P666" i="48"/>
  <c r="P690" i="48"/>
  <c r="P708" i="48"/>
  <c r="P724" i="48"/>
  <c r="P740" i="48"/>
  <c r="P756" i="48"/>
  <c r="P772" i="48"/>
  <c r="P788" i="48"/>
  <c r="P804" i="48"/>
  <c r="P820" i="48"/>
  <c r="P836" i="48"/>
  <c r="P853" i="48"/>
  <c r="P323" i="48"/>
  <c r="P338" i="48"/>
  <c r="P353" i="48"/>
  <c r="P366" i="48"/>
  <c r="P380" i="48"/>
  <c r="P388" i="48"/>
  <c r="P395" i="48"/>
  <c r="P405" i="48"/>
  <c r="P415" i="48"/>
  <c r="P440" i="48"/>
  <c r="P461" i="48"/>
  <c r="P487" i="48"/>
  <c r="P507" i="48"/>
  <c r="P530" i="48"/>
  <c r="P554" i="48"/>
  <c r="P578" i="48"/>
  <c r="P602" i="48"/>
  <c r="P627" i="48"/>
  <c r="P651" i="48"/>
  <c r="P675" i="48"/>
  <c r="P699" i="48"/>
  <c r="P715" i="48"/>
  <c r="P730" i="48"/>
  <c r="P747" i="48"/>
  <c r="P763" i="48"/>
  <c r="P779" i="48"/>
  <c r="P795" i="48"/>
  <c r="P811" i="48"/>
  <c r="P827" i="48"/>
  <c r="P843" i="48"/>
  <c r="P858" i="48"/>
  <c r="P871" i="48"/>
  <c r="P879" i="48"/>
  <c r="P887" i="48"/>
  <c r="P895" i="48"/>
  <c r="P151" i="48"/>
  <c r="P301" i="48"/>
  <c r="P510" i="48"/>
  <c r="P261" i="48"/>
  <c r="P526" i="48"/>
  <c r="P56" i="48"/>
  <c r="P112" i="48"/>
  <c r="P228" i="48"/>
  <c r="P620" i="48"/>
  <c r="P742" i="48"/>
  <c r="P326" i="48"/>
  <c r="P398" i="48"/>
  <c r="P511" i="48"/>
  <c r="P630" i="48"/>
  <c r="P701" i="48"/>
  <c r="P733" i="48"/>
  <c r="P813" i="48"/>
  <c r="P859" i="48"/>
  <c r="P880" i="48"/>
  <c r="P888" i="48"/>
  <c r="P577" i="48"/>
  <c r="P600" i="48"/>
  <c r="P622" i="48"/>
  <c r="P646" i="48"/>
  <c r="P668" i="48"/>
  <c r="P692" i="48"/>
  <c r="P154" i="48"/>
  <c r="P182" i="48"/>
  <c r="P205" i="48"/>
  <c r="P229" i="48"/>
  <c r="P254" i="48"/>
  <c r="P279" i="48"/>
  <c r="P303" i="48"/>
  <c r="P325" i="48"/>
  <c r="P344" i="48"/>
  <c r="P365" i="48"/>
  <c r="P416" i="48"/>
  <c r="P438" i="48"/>
  <c r="P464" i="48"/>
  <c r="P488" i="48"/>
  <c r="P513" i="48"/>
  <c r="P538" i="48"/>
  <c r="P140" i="48"/>
  <c r="P166" i="48"/>
  <c r="P191" i="48"/>
  <c r="P215" i="48"/>
  <c r="P239" i="48"/>
  <c r="P264" i="48"/>
  <c r="P289" i="48"/>
  <c r="P316" i="48"/>
  <c r="P431" i="48"/>
  <c r="P456" i="48"/>
  <c r="P480" i="48"/>
  <c r="P505" i="48"/>
  <c r="P529" i="48"/>
  <c r="P553" i="48"/>
  <c r="P9" i="48"/>
  <c r="P17" i="48"/>
  <c r="P25" i="48"/>
  <c r="P33" i="48"/>
  <c r="P41" i="48"/>
  <c r="P49" i="48"/>
  <c r="P57" i="48"/>
  <c r="P65" i="48"/>
  <c r="P73" i="48"/>
  <c r="P81" i="48"/>
  <c r="P89" i="48"/>
  <c r="P97" i="48"/>
  <c r="P105" i="48"/>
  <c r="P113" i="48"/>
  <c r="P121" i="48"/>
  <c r="P129" i="48"/>
  <c r="P141" i="48"/>
  <c r="P161" i="48"/>
  <c r="P183" i="48"/>
  <c r="P207" i="48"/>
  <c r="P231" i="48"/>
  <c r="P253" i="48"/>
  <c r="P275" i="48"/>
  <c r="P297" i="48"/>
  <c r="P319" i="48"/>
  <c r="P573" i="48"/>
  <c r="P597" i="48"/>
  <c r="P623" i="48"/>
  <c r="P647" i="48"/>
  <c r="P672" i="48"/>
  <c r="P696" i="48"/>
  <c r="P712" i="48"/>
  <c r="P728" i="48"/>
  <c r="P744" i="48"/>
  <c r="P761" i="48"/>
  <c r="P776" i="48"/>
  <c r="P792" i="48"/>
  <c r="P808" i="48"/>
  <c r="P824" i="48"/>
  <c r="P840" i="48"/>
  <c r="P856" i="48"/>
  <c r="P328" i="48"/>
  <c r="P340" i="48"/>
  <c r="P356" i="48"/>
  <c r="P370" i="48"/>
  <c r="P382" i="48"/>
  <c r="P390" i="48"/>
  <c r="P399" i="48"/>
  <c r="P407" i="48"/>
  <c r="P420" i="48"/>
  <c r="P446" i="48"/>
  <c r="P467" i="48"/>
  <c r="P489" i="48"/>
  <c r="P512" i="48"/>
  <c r="P534" i="48"/>
  <c r="P555" i="48"/>
  <c r="P584" i="48"/>
  <c r="P608" i="48"/>
  <c r="P633" i="48"/>
  <c r="P658" i="48"/>
  <c r="P682" i="48"/>
  <c r="P703" i="48"/>
  <c r="P719" i="48"/>
  <c r="P735" i="48"/>
  <c r="P751" i="48"/>
  <c r="P767" i="48"/>
  <c r="P783" i="48"/>
  <c r="P799" i="48"/>
  <c r="P815" i="48"/>
  <c r="P831" i="48"/>
  <c r="P847" i="48"/>
  <c r="P860" i="48"/>
  <c r="P873" i="48"/>
  <c r="P881" i="48"/>
  <c r="P889" i="48"/>
  <c r="P897" i="48"/>
  <c r="P598" i="48"/>
  <c r="P178" i="48"/>
  <c r="P342" i="48"/>
  <c r="P137" i="48"/>
  <c r="P313" i="48"/>
  <c r="P8" i="48"/>
  <c r="P64" i="48"/>
  <c r="P120" i="48"/>
  <c r="P250" i="48"/>
  <c r="P644" i="48"/>
  <c r="P758" i="48"/>
  <c r="P854" i="48"/>
  <c r="P389" i="48"/>
  <c r="P484" i="48"/>
  <c r="P605" i="48"/>
  <c r="P717" i="48"/>
  <c r="P765" i="48"/>
  <c r="P845" i="48"/>
  <c r="P580" i="48"/>
  <c r="P625" i="48"/>
  <c r="P671" i="48"/>
  <c r="P159" i="48"/>
  <c r="P232" i="48"/>
  <c r="P282" i="48"/>
  <c r="P327" i="48"/>
  <c r="P367" i="48"/>
  <c r="P419" i="48"/>
  <c r="P466" i="48"/>
  <c r="P491" i="48"/>
  <c r="P516" i="48"/>
  <c r="P541" i="48"/>
  <c r="P143" i="48"/>
  <c r="P169" i="48"/>
  <c r="P194" i="48"/>
  <c r="P218" i="48"/>
  <c r="P242" i="48"/>
  <c r="P267" i="48"/>
  <c r="P292" i="48"/>
  <c r="P351" i="48"/>
  <c r="P434" i="48"/>
  <c r="P459" i="48"/>
  <c r="P483" i="48"/>
  <c r="P508" i="48"/>
  <c r="P532" i="48"/>
  <c r="P559" i="48"/>
  <c r="P11" i="48"/>
  <c r="P18" i="48"/>
  <c r="P26" i="48"/>
  <c r="P34" i="48"/>
  <c r="P42" i="48"/>
  <c r="P50" i="48"/>
  <c r="P58" i="48"/>
  <c r="P66" i="48"/>
  <c r="P74" i="48"/>
  <c r="P82" i="48"/>
  <c r="P90" i="48"/>
  <c r="P98" i="48"/>
  <c r="P106" i="48"/>
  <c r="P114" i="48"/>
  <c r="P122" i="48"/>
  <c r="P130" i="48"/>
  <c r="P144" i="48"/>
  <c r="P164" i="48"/>
  <c r="P186" i="48"/>
  <c r="P210" i="48"/>
  <c r="P234" i="48"/>
  <c r="P256" i="48"/>
  <c r="P278" i="48"/>
  <c r="P300" i="48"/>
  <c r="P321" i="48"/>
  <c r="P576" i="48"/>
  <c r="P601" i="48"/>
  <c r="P626" i="48"/>
  <c r="P650" i="48"/>
  <c r="P676" i="48"/>
  <c r="P698" i="48"/>
  <c r="P714" i="48"/>
  <c r="P731" i="48"/>
  <c r="P746" i="48"/>
  <c r="P762" i="48"/>
  <c r="P778" i="48"/>
  <c r="P794" i="48"/>
  <c r="P810" i="48"/>
  <c r="P826" i="48"/>
  <c r="P842" i="48"/>
  <c r="P862" i="48"/>
  <c r="P329" i="48"/>
  <c r="P343" i="48"/>
  <c r="P357" i="48"/>
  <c r="P371" i="48"/>
  <c r="P384" i="48"/>
  <c r="P391" i="48"/>
  <c r="P400" i="48"/>
  <c r="P408" i="48"/>
  <c r="P422" i="48"/>
  <c r="P444" i="48"/>
  <c r="P470" i="48"/>
  <c r="P492" i="48"/>
  <c r="P515" i="48"/>
  <c r="P537" i="48"/>
  <c r="P562" i="48"/>
  <c r="P587" i="48"/>
  <c r="P611" i="48"/>
  <c r="P636" i="48"/>
  <c r="P661" i="48"/>
  <c r="P685" i="48"/>
  <c r="P705" i="48"/>
  <c r="P721" i="48"/>
  <c r="P737" i="48"/>
  <c r="P753" i="48"/>
  <c r="P769" i="48"/>
  <c r="P785" i="48"/>
  <c r="P801" i="48"/>
  <c r="P817" i="48"/>
  <c r="P833" i="48"/>
  <c r="P849" i="48"/>
  <c r="P861" i="48"/>
  <c r="P874" i="48"/>
  <c r="P882" i="48"/>
  <c r="P890" i="48"/>
  <c r="P643" i="48"/>
  <c r="P251" i="48"/>
  <c r="P435" i="48"/>
  <c r="P188" i="48"/>
  <c r="P477" i="48"/>
  <c r="P32" i="48"/>
  <c r="P88" i="48"/>
  <c r="P156" i="48"/>
  <c r="P296" i="48"/>
  <c r="P710" i="48"/>
  <c r="P822" i="48"/>
  <c r="P368" i="48"/>
  <c r="P418" i="48"/>
  <c r="P560" i="48"/>
  <c r="P653" i="48"/>
  <c r="P749" i="48"/>
  <c r="P904" i="48"/>
  <c r="P603" i="48"/>
  <c r="P649" i="48"/>
  <c r="P695" i="48"/>
  <c r="P184" i="48"/>
  <c r="P208" i="48"/>
  <c r="P257" i="48"/>
  <c r="P306" i="48"/>
  <c r="P346" i="48"/>
  <c r="P441" i="48"/>
  <c r="P558" i="48"/>
  <c r="P583" i="48"/>
  <c r="P606" i="48"/>
  <c r="P628" i="48"/>
  <c r="P652" i="48"/>
  <c r="P674" i="48"/>
  <c r="P135" i="48"/>
  <c r="P162" i="48"/>
  <c r="P187" i="48"/>
  <c r="P211" i="48"/>
  <c r="P235" i="48"/>
  <c r="P260" i="48"/>
  <c r="P285" i="48"/>
  <c r="P309" i="48"/>
  <c r="P330" i="48"/>
  <c r="P348" i="48"/>
  <c r="P369" i="48"/>
  <c r="P423" i="48"/>
  <c r="P445" i="48"/>
  <c r="P469" i="48"/>
  <c r="P494" i="48"/>
  <c r="P520" i="48"/>
  <c r="P544" i="48"/>
  <c r="P146" i="48"/>
  <c r="P172" i="48"/>
  <c r="P197" i="48"/>
  <c r="P221" i="48"/>
  <c r="P246" i="48"/>
  <c r="P270" i="48"/>
  <c r="P295" i="48"/>
  <c r="P397" i="48"/>
  <c r="P436" i="48"/>
  <c r="P462" i="48"/>
  <c r="P486" i="48"/>
  <c r="P509" i="48"/>
  <c r="P536" i="48"/>
  <c r="P3" i="48"/>
  <c r="P10" i="48"/>
  <c r="P19" i="48"/>
  <c r="P27" i="48"/>
  <c r="P37" i="48"/>
  <c r="P43" i="48"/>
  <c r="P51" i="48"/>
  <c r="P59" i="48"/>
  <c r="P67" i="48"/>
  <c r="P75" i="48"/>
  <c r="P83" i="48"/>
  <c r="P91" i="48"/>
  <c r="P99" i="48"/>
  <c r="P107" i="48"/>
  <c r="P115" i="48"/>
  <c r="P123" i="48"/>
  <c r="P131" i="48"/>
  <c r="P147" i="48"/>
  <c r="P167" i="48"/>
  <c r="P189" i="48"/>
  <c r="P213" i="48"/>
  <c r="P237" i="48"/>
  <c r="P259" i="48"/>
  <c r="P281" i="48"/>
  <c r="P302" i="48"/>
  <c r="P324" i="48"/>
  <c r="P579" i="48"/>
  <c r="P604" i="48"/>
  <c r="P629" i="48"/>
  <c r="P655" i="48"/>
  <c r="P679" i="48"/>
  <c r="P700" i="48"/>
  <c r="P716" i="48"/>
  <c r="P732" i="48"/>
  <c r="P748" i="48"/>
  <c r="P764" i="48"/>
  <c r="P780" i="48"/>
  <c r="P796" i="48"/>
  <c r="P812" i="48"/>
  <c r="P828" i="48"/>
  <c r="P844" i="48"/>
  <c r="P864" i="48"/>
  <c r="P331" i="48"/>
  <c r="P345" i="48"/>
  <c r="P358" i="48"/>
  <c r="P373" i="48"/>
  <c r="P383" i="48"/>
  <c r="P392" i="48"/>
  <c r="P401" i="48"/>
  <c r="P409" i="48"/>
  <c r="P428" i="48"/>
  <c r="P449" i="48"/>
  <c r="P473" i="48"/>
  <c r="P495" i="48"/>
  <c r="P519" i="48"/>
  <c r="P540" i="48"/>
  <c r="P565" i="48"/>
  <c r="P590" i="48"/>
  <c r="P614" i="48"/>
  <c r="P639" i="48"/>
  <c r="P664" i="48"/>
  <c r="P688" i="48"/>
  <c r="P707" i="48"/>
  <c r="P723" i="48"/>
  <c r="P739" i="48"/>
  <c r="P755" i="48"/>
  <c r="P771" i="48"/>
  <c r="P787" i="48"/>
  <c r="P803" i="48"/>
  <c r="P819" i="48"/>
  <c r="P835" i="48"/>
  <c r="P851" i="48"/>
  <c r="P863" i="48"/>
  <c r="P875" i="48"/>
  <c r="P883" i="48"/>
  <c r="P891" i="48"/>
  <c r="P575" i="48"/>
  <c r="P202" i="48"/>
  <c r="P413" i="48"/>
  <c r="P163" i="48"/>
  <c r="P427" i="48"/>
  <c r="P16" i="48"/>
  <c r="P72" i="48"/>
  <c r="P138" i="48"/>
  <c r="P571" i="48"/>
  <c r="P806" i="48"/>
  <c r="P797" i="48"/>
  <c r="P272" i="48"/>
  <c r="P299" i="48"/>
  <c r="P414" i="48"/>
  <c r="P439" i="48"/>
  <c r="P463" i="48"/>
  <c r="P490" i="48"/>
  <c r="P514" i="48"/>
  <c r="P539" i="48"/>
  <c r="P4" i="48"/>
  <c r="P12" i="48"/>
  <c r="P20" i="48"/>
  <c r="P28" i="48"/>
  <c r="P35" i="48"/>
  <c r="P45" i="48"/>
  <c r="P52" i="48"/>
  <c r="P60" i="48"/>
  <c r="P69" i="48"/>
  <c r="P76" i="48"/>
  <c r="P84" i="48"/>
  <c r="P92" i="48"/>
  <c r="P100" i="48"/>
  <c r="P109" i="48"/>
  <c r="P116" i="48"/>
  <c r="P124" i="48"/>
  <c r="P132" i="48"/>
  <c r="P150" i="48"/>
  <c r="P170" i="48"/>
  <c r="P192" i="48"/>
  <c r="P216" i="48"/>
  <c r="P240" i="48"/>
  <c r="P262" i="48"/>
  <c r="P284" i="48"/>
  <c r="P305" i="48"/>
  <c r="P556" i="48"/>
  <c r="P582" i="48"/>
  <c r="P607" i="48"/>
  <c r="P632" i="48"/>
  <c r="P657" i="48"/>
  <c r="P681" i="48"/>
  <c r="P702" i="48"/>
  <c r="P718" i="48"/>
  <c r="P734" i="48"/>
  <c r="P750" i="48"/>
  <c r="P766" i="48"/>
  <c r="P782" i="48"/>
  <c r="P798" i="48"/>
  <c r="P814" i="48"/>
  <c r="P830" i="48"/>
  <c r="P846" i="48"/>
  <c r="P866" i="48"/>
  <c r="P332" i="48"/>
  <c r="P347" i="48"/>
  <c r="P360" i="48"/>
  <c r="P375" i="48"/>
  <c r="P385" i="48"/>
  <c r="P393" i="48"/>
  <c r="P402" i="48"/>
  <c r="P410" i="48"/>
  <c r="P429" i="48"/>
  <c r="P452" i="48"/>
  <c r="P475" i="48"/>
  <c r="P498" i="48"/>
  <c r="P518" i="48"/>
  <c r="P543" i="48"/>
  <c r="P568" i="48"/>
  <c r="P593" i="48"/>
  <c r="P618" i="48"/>
  <c r="P642" i="48"/>
  <c r="P667" i="48"/>
  <c r="P691" i="48"/>
  <c r="P709" i="48"/>
  <c r="P725" i="48"/>
  <c r="P741" i="48"/>
  <c r="P757" i="48"/>
  <c r="P773" i="48"/>
  <c r="P789" i="48"/>
  <c r="P805" i="48"/>
  <c r="P821" i="48"/>
  <c r="P837" i="48"/>
  <c r="P852" i="48"/>
  <c r="P865" i="48"/>
  <c r="P876" i="48"/>
  <c r="P884" i="48"/>
  <c r="P892" i="48"/>
  <c r="P900" i="48"/>
  <c r="P689" i="48"/>
  <c r="P322" i="48"/>
  <c r="P485" i="48"/>
  <c r="P236" i="48"/>
  <c r="P502" i="48"/>
  <c r="P40" i="48"/>
  <c r="P104" i="48"/>
  <c r="P204" i="48"/>
  <c r="P594" i="48"/>
  <c r="P726" i="48"/>
  <c r="P838" i="48"/>
  <c r="P381" i="48"/>
  <c r="P465" i="48"/>
  <c r="P581" i="48"/>
  <c r="P678" i="48"/>
  <c r="P872" i="48"/>
  <c r="P566" i="48"/>
  <c r="P589" i="48"/>
  <c r="P612" i="48"/>
  <c r="P634" i="48"/>
  <c r="P656" i="48"/>
  <c r="P680" i="48"/>
  <c r="P142" i="48"/>
  <c r="P168" i="48"/>
  <c r="P193" i="48"/>
  <c r="P217" i="48"/>
  <c r="P241" i="48"/>
  <c r="P266" i="48"/>
  <c r="P291" i="48"/>
  <c r="P315" i="48"/>
  <c r="P335" i="48"/>
  <c r="P354" i="48"/>
  <c r="P374" i="48"/>
  <c r="P426" i="48"/>
  <c r="P451" i="48"/>
  <c r="P476" i="48"/>
  <c r="P500" i="48"/>
  <c r="P525" i="48"/>
  <c r="P549" i="48"/>
  <c r="P152" i="48"/>
  <c r="P177" i="48"/>
  <c r="P203" i="48"/>
  <c r="P227" i="48"/>
  <c r="P252" i="48"/>
  <c r="P277" i="48"/>
  <c r="P304" i="48"/>
  <c r="P417" i="48"/>
  <c r="P443" i="48"/>
  <c r="P468" i="48"/>
  <c r="P493" i="48"/>
  <c r="P517" i="48"/>
  <c r="P542" i="48"/>
  <c r="P5" i="48"/>
  <c r="P13" i="48"/>
  <c r="P21" i="48"/>
  <c r="P29" i="48"/>
  <c r="P36" i="48"/>
  <c r="P44" i="48"/>
  <c r="P53" i="48"/>
  <c r="P61" i="48"/>
  <c r="P68" i="48"/>
  <c r="P77" i="48"/>
  <c r="P86" i="48"/>
  <c r="P93" i="48"/>
  <c r="P101" i="48"/>
  <c r="P108" i="48"/>
  <c r="P117" i="48"/>
  <c r="P125" i="48"/>
  <c r="P133" i="48"/>
  <c r="P153" i="48"/>
  <c r="P173" i="48"/>
  <c r="P195" i="48"/>
  <c r="P219" i="48"/>
  <c r="P243" i="48"/>
  <c r="P265" i="48"/>
  <c r="P287" i="48"/>
  <c r="P308" i="48"/>
  <c r="P561" i="48"/>
  <c r="P585" i="48"/>
  <c r="P610" i="48"/>
  <c r="P635" i="48"/>
  <c r="P660" i="48"/>
  <c r="P684" i="48"/>
  <c r="P704" i="48"/>
  <c r="P720" i="48"/>
  <c r="P736" i="48"/>
  <c r="P752" i="48"/>
  <c r="P768" i="48"/>
  <c r="P784" i="48"/>
  <c r="P800" i="48"/>
  <c r="P816" i="48"/>
  <c r="P832" i="48"/>
  <c r="P848" i="48"/>
  <c r="P868" i="48"/>
  <c r="P334" i="48"/>
  <c r="P350" i="48"/>
  <c r="P362" i="48"/>
  <c r="P377" i="48"/>
  <c r="P386" i="48"/>
  <c r="P394" i="48"/>
  <c r="P403" i="48"/>
  <c r="P411" i="48"/>
  <c r="P433" i="48"/>
  <c r="P455" i="48"/>
  <c r="P479" i="48"/>
  <c r="P501" i="48"/>
  <c r="P522" i="48"/>
  <c r="P548" i="48"/>
  <c r="P572" i="48"/>
  <c r="P596" i="48"/>
  <c r="P621" i="48"/>
  <c r="P645" i="48"/>
  <c r="P670" i="48"/>
  <c r="P694" i="48"/>
  <c r="P711" i="48"/>
  <c r="P727" i="48"/>
  <c r="P743" i="48"/>
  <c r="P759" i="48"/>
  <c r="P775" i="48"/>
  <c r="P790" i="48"/>
  <c r="P807" i="48"/>
  <c r="P823" i="48"/>
  <c r="P839" i="48"/>
  <c r="P855" i="48"/>
  <c r="P867" i="48"/>
  <c r="P877" i="48"/>
  <c r="P885" i="48"/>
  <c r="P893" i="48"/>
  <c r="F33" i="2"/>
  <c r="H14" i="2" s="1"/>
  <c r="E33" i="2"/>
  <c r="H13" i="2" s="1"/>
  <c r="I20" i="2"/>
  <c r="E44" i="2"/>
  <c r="I19" i="2"/>
  <c r="O903" i="48"/>
  <c r="O902" i="48"/>
  <c r="O901" i="48"/>
  <c r="O900" i="48"/>
  <c r="O899" i="48"/>
  <c r="O898" i="48"/>
  <c r="O897" i="48"/>
  <c r="O896" i="48"/>
  <c r="O895" i="48"/>
  <c r="O894" i="48"/>
  <c r="O893" i="48"/>
  <c r="O892" i="48"/>
  <c r="O891" i="48"/>
  <c r="O890" i="48"/>
  <c r="O889" i="48"/>
  <c r="O888" i="48"/>
  <c r="O887" i="48"/>
  <c r="O886" i="48"/>
  <c r="O885" i="48"/>
  <c r="O884" i="48"/>
  <c r="O883" i="48"/>
  <c r="O882" i="48"/>
  <c r="O881" i="48"/>
  <c r="O880" i="48"/>
  <c r="O879" i="48"/>
  <c r="O878" i="48"/>
  <c r="O877" i="48"/>
  <c r="O876" i="48"/>
  <c r="O875" i="48"/>
  <c r="O874" i="48"/>
  <c r="O873" i="48"/>
  <c r="O872" i="48"/>
  <c r="O871" i="48"/>
  <c r="O869" i="48"/>
  <c r="O867" i="48"/>
  <c r="O865" i="48"/>
  <c r="O863" i="48"/>
  <c r="O861" i="48"/>
  <c r="O860" i="48"/>
  <c r="O859" i="48"/>
  <c r="O858" i="48"/>
  <c r="O857" i="48"/>
  <c r="O855" i="48"/>
  <c r="O852" i="48"/>
  <c r="O851" i="48"/>
  <c r="O849" i="48"/>
  <c r="O847" i="48"/>
  <c r="O845" i="48"/>
  <c r="O843" i="48"/>
  <c r="O841" i="48"/>
  <c r="O839" i="48"/>
  <c r="O837" i="48"/>
  <c r="O835" i="48"/>
  <c r="O833" i="48"/>
  <c r="O831" i="48"/>
  <c r="O829" i="48"/>
  <c r="O827" i="48"/>
  <c r="O825" i="48"/>
  <c r="O823" i="48"/>
  <c r="O821" i="48"/>
  <c r="O819" i="48"/>
  <c r="O817" i="48"/>
  <c r="O815" i="48"/>
  <c r="O813" i="48"/>
  <c r="O811" i="48"/>
  <c r="O809" i="48"/>
  <c r="O807" i="48"/>
  <c r="O805" i="48"/>
  <c r="O803" i="48"/>
  <c r="O801" i="48"/>
  <c r="O799" i="48"/>
  <c r="O797" i="48"/>
  <c r="O795" i="48"/>
  <c r="O793" i="48"/>
  <c r="O790" i="48"/>
  <c r="O789" i="48"/>
  <c r="O787" i="48"/>
  <c r="O785" i="48"/>
  <c r="O783" i="48"/>
  <c r="O781" i="48"/>
  <c r="O779" i="48"/>
  <c r="O777" i="48"/>
  <c r="O775" i="48"/>
  <c r="O773" i="48"/>
  <c r="O771" i="48"/>
  <c r="O769" i="48"/>
  <c r="O767" i="48"/>
  <c r="O765" i="48"/>
  <c r="O763" i="48"/>
  <c r="O760" i="48"/>
  <c r="O759" i="48"/>
  <c r="O757" i="48"/>
  <c r="O755" i="48"/>
  <c r="O753" i="48"/>
  <c r="O751" i="48"/>
  <c r="O749" i="48"/>
  <c r="O747" i="48"/>
  <c r="O745" i="48"/>
  <c r="O743" i="48"/>
  <c r="O741" i="48"/>
  <c r="O739" i="48"/>
  <c r="O737" i="48"/>
  <c r="O735" i="48"/>
  <c r="O733" i="48"/>
  <c r="O730" i="48"/>
  <c r="O729" i="48"/>
  <c r="O727" i="48"/>
  <c r="O725" i="48"/>
  <c r="O723" i="48"/>
  <c r="O721" i="48"/>
  <c r="O719" i="48"/>
  <c r="O717" i="48"/>
  <c r="O715" i="48"/>
  <c r="O713" i="48"/>
  <c r="O711" i="48"/>
  <c r="O709" i="48"/>
  <c r="O707" i="48"/>
  <c r="O705" i="48"/>
  <c r="O703" i="48"/>
  <c r="O701" i="48"/>
  <c r="O699" i="48"/>
  <c r="O697" i="48"/>
  <c r="O694" i="48"/>
  <c r="O691" i="48"/>
  <c r="O688" i="48"/>
  <c r="O685" i="48"/>
  <c r="O682" i="48"/>
  <c r="O678" i="48"/>
  <c r="O675" i="48"/>
  <c r="O673" i="48"/>
  <c r="O670" i="48"/>
  <c r="O667" i="48"/>
  <c r="O664" i="48"/>
  <c r="O661" i="48"/>
  <c r="O658" i="48"/>
  <c r="O653" i="48"/>
  <c r="O651" i="48"/>
  <c r="O648" i="48"/>
  <c r="O645" i="48"/>
  <c r="O642" i="48"/>
  <c r="O639" i="48"/>
  <c r="O636" i="48"/>
  <c r="O633" i="48"/>
  <c r="O630" i="48"/>
  <c r="O627" i="48"/>
  <c r="O624" i="48"/>
  <c r="O621" i="48"/>
  <c r="O618" i="48"/>
  <c r="O614" i="48"/>
  <c r="O611" i="48"/>
  <c r="O608" i="48"/>
  <c r="O605" i="48"/>
  <c r="O602" i="48"/>
  <c r="O599" i="48"/>
  <c r="O596" i="48"/>
  <c r="O593" i="48"/>
  <c r="O590" i="48"/>
  <c r="O587" i="48"/>
  <c r="O584" i="48"/>
  <c r="O581" i="48"/>
  <c r="O578" i="48"/>
  <c r="O574" i="48"/>
  <c r="O572" i="48"/>
  <c r="O568" i="48"/>
  <c r="O565" i="48"/>
  <c r="O562" i="48"/>
  <c r="O555" i="48"/>
  <c r="O560" i="48"/>
  <c r="O554" i="48"/>
  <c r="O551" i="48"/>
  <c r="O548" i="48"/>
  <c r="O543" i="48"/>
  <c r="O540" i="48"/>
  <c r="O537" i="48"/>
  <c r="O534" i="48"/>
  <c r="O533" i="48"/>
  <c r="O530" i="48"/>
  <c r="O527" i="48"/>
  <c r="O522" i="48"/>
  <c r="O518" i="48"/>
  <c r="O519" i="48"/>
  <c r="O515" i="48"/>
  <c r="O512" i="48"/>
  <c r="O511" i="48"/>
  <c r="O507" i="48"/>
  <c r="O504" i="48"/>
  <c r="O501" i="48"/>
  <c r="O498" i="48"/>
  <c r="O495" i="48"/>
  <c r="O492" i="48"/>
  <c r="O489" i="48"/>
  <c r="O484" i="48"/>
  <c r="O487" i="48"/>
  <c r="O482" i="48"/>
  <c r="O479" i="48"/>
  <c r="O475" i="48"/>
  <c r="O473" i="48"/>
  <c r="O470" i="48"/>
  <c r="O467" i="48"/>
  <c r="O465" i="48"/>
  <c r="O461" i="48"/>
  <c r="O458" i="48"/>
  <c r="O455" i="48"/>
  <c r="O452" i="48"/>
  <c r="O449" i="48"/>
  <c r="O444" i="48"/>
  <c r="O446" i="48"/>
  <c r="O442" i="48"/>
  <c r="O440" i="48"/>
  <c r="O437" i="48"/>
  <c r="O433" i="48"/>
  <c r="O429" i="48"/>
  <c r="O428" i="48"/>
  <c r="O422" i="48"/>
  <c r="O420" i="48"/>
  <c r="O418" i="48"/>
  <c r="O415" i="48"/>
  <c r="O412" i="48"/>
  <c r="O411" i="48"/>
  <c r="O410" i="48"/>
  <c r="O409" i="48"/>
  <c r="O408" i="48"/>
  <c r="O407" i="48"/>
  <c r="O406" i="48"/>
  <c r="O405" i="48"/>
  <c r="O404" i="48"/>
  <c r="O403" i="48"/>
  <c r="O402" i="48"/>
  <c r="O401" i="48"/>
  <c r="O400" i="48"/>
  <c r="O399" i="48"/>
  <c r="O398" i="48"/>
  <c r="O395" i="48"/>
  <c r="O396" i="48"/>
  <c r="O394" i="48"/>
  <c r="O393" i="48"/>
  <c r="O392" i="48"/>
  <c r="O391" i="48"/>
  <c r="O390" i="48"/>
  <c r="O389" i="48"/>
  <c r="O388" i="48"/>
  <c r="O387" i="48"/>
  <c r="O386" i="48"/>
  <c r="O385" i="48"/>
  <c r="O383" i="48"/>
  <c r="O384" i="48"/>
  <c r="O382" i="48"/>
  <c r="O381" i="48"/>
  <c r="O380" i="48"/>
  <c r="O379" i="48"/>
  <c r="O377" i="48"/>
  <c r="O375" i="48"/>
  <c r="O373" i="48"/>
  <c r="O371" i="48"/>
  <c r="O370" i="48"/>
  <c r="O368" i="48"/>
  <c r="O366" i="48"/>
  <c r="O364" i="48"/>
  <c r="O362" i="48"/>
  <c r="O360" i="48"/>
  <c r="O358" i="48"/>
  <c r="O357" i="48"/>
  <c r="O356" i="48"/>
  <c r="O355" i="48"/>
  <c r="O353" i="48"/>
  <c r="O349" i="48"/>
  <c r="O350" i="48"/>
  <c r="O347" i="48"/>
  <c r="O345" i="48"/>
  <c r="O343" i="48"/>
  <c r="O340" i="48"/>
  <c r="O341" i="48"/>
  <c r="O338" i="48"/>
  <c r="O336" i="48"/>
  <c r="O334" i="48"/>
  <c r="O332" i="48"/>
  <c r="O331" i="48"/>
  <c r="O329" i="48"/>
  <c r="O328" i="48"/>
  <c r="O326" i="48"/>
  <c r="O323" i="48"/>
  <c r="O870" i="48"/>
  <c r="O868" i="48"/>
  <c r="O866" i="48"/>
  <c r="O864" i="48"/>
  <c r="O862" i="48"/>
  <c r="O856" i="48"/>
  <c r="O854" i="48"/>
  <c r="O853" i="48"/>
  <c r="O850" i="48"/>
  <c r="O848" i="48"/>
  <c r="O846" i="48"/>
  <c r="O844" i="48"/>
  <c r="O842" i="48"/>
  <c r="O840" i="48"/>
  <c r="O838" i="48"/>
  <c r="O836" i="48"/>
  <c r="O834" i="48"/>
  <c r="O832" i="48"/>
  <c r="O830" i="48"/>
  <c r="O828" i="48"/>
  <c r="O826" i="48"/>
  <c r="O824" i="48"/>
  <c r="O822" i="48"/>
  <c r="O820" i="48"/>
  <c r="O818" i="48"/>
  <c r="O816" i="48"/>
  <c r="O814" i="48"/>
  <c r="O812" i="48"/>
  <c r="O810" i="48"/>
  <c r="O808" i="48"/>
  <c r="O806" i="48"/>
  <c r="O804" i="48"/>
  <c r="O802" i="48"/>
  <c r="O800" i="48"/>
  <c r="O798" i="48"/>
  <c r="O796" i="48"/>
  <c r="O794" i="48"/>
  <c r="O792" i="48"/>
  <c r="O791" i="48"/>
  <c r="O788" i="48"/>
  <c r="O786" i="48"/>
  <c r="O784" i="48"/>
  <c r="O782" i="48"/>
  <c r="O780" i="48"/>
  <c r="O778" i="48"/>
  <c r="O776" i="48"/>
  <c r="O774" i="48"/>
  <c r="O772" i="48"/>
  <c r="O770" i="48"/>
  <c r="O768" i="48"/>
  <c r="O766" i="48"/>
  <c r="O764" i="48"/>
  <c r="O762" i="48"/>
  <c r="O761" i="48"/>
  <c r="O758" i="48"/>
  <c r="O756" i="48"/>
  <c r="O754" i="48"/>
  <c r="O752" i="48"/>
  <c r="O750" i="48"/>
  <c r="O748" i="48"/>
  <c r="O746" i="48"/>
  <c r="O744" i="48"/>
  <c r="O742" i="48"/>
  <c r="O740" i="48"/>
  <c r="O738" i="48"/>
  <c r="O736" i="48"/>
  <c r="O734" i="48"/>
  <c r="O732" i="48"/>
  <c r="O731" i="48"/>
  <c r="O728" i="48"/>
  <c r="O726" i="48"/>
  <c r="O724" i="48"/>
  <c r="O722" i="48"/>
  <c r="O720" i="48"/>
  <c r="O718" i="48"/>
  <c r="O716" i="48"/>
  <c r="O714" i="48"/>
  <c r="O712" i="48"/>
  <c r="O710" i="48"/>
  <c r="O708" i="48"/>
  <c r="O706" i="48"/>
  <c r="O704" i="48"/>
  <c r="O702" i="48"/>
  <c r="O700" i="48"/>
  <c r="O698" i="48"/>
  <c r="O696" i="48"/>
  <c r="O693" i="48"/>
  <c r="O690" i="48"/>
  <c r="O687" i="48"/>
  <c r="O684" i="48"/>
  <c r="O681" i="48"/>
  <c r="O679" i="48"/>
  <c r="O676" i="48"/>
  <c r="O672" i="48"/>
  <c r="O669" i="48"/>
  <c r="O666" i="48"/>
  <c r="O663" i="48"/>
  <c r="O660" i="48"/>
  <c r="O657" i="48"/>
  <c r="O655" i="48"/>
  <c r="O650" i="48"/>
  <c r="O647" i="48"/>
  <c r="O644" i="48"/>
  <c r="O641" i="48"/>
  <c r="O638" i="48"/>
  <c r="O635" i="48"/>
  <c r="O632" i="48"/>
  <c r="O629" i="48"/>
  <c r="O626" i="48"/>
  <c r="O623" i="48"/>
  <c r="O620" i="48"/>
  <c r="O616" i="48"/>
  <c r="O613" i="48"/>
  <c r="O610" i="48"/>
  <c r="O607" i="48"/>
  <c r="O604" i="48"/>
  <c r="O601" i="48"/>
  <c r="O597" i="48"/>
  <c r="O594" i="48"/>
  <c r="O591" i="48"/>
  <c r="O588" i="48"/>
  <c r="O585" i="48"/>
  <c r="O582" i="48"/>
  <c r="O579" i="48"/>
  <c r="O576" i="48"/>
  <c r="O573" i="48"/>
  <c r="O571" i="48"/>
  <c r="O567" i="48"/>
  <c r="O564" i="48"/>
  <c r="O561" i="48"/>
  <c r="O556" i="48"/>
  <c r="O324" i="48"/>
  <c r="O321" i="48"/>
  <c r="O319" i="48"/>
  <c r="O317" i="48"/>
  <c r="O314" i="48"/>
  <c r="O311" i="48"/>
  <c r="O308" i="48"/>
  <c r="O305" i="48"/>
  <c r="O302" i="48"/>
  <c r="O300" i="48"/>
  <c r="O297" i="48"/>
  <c r="O296" i="48"/>
  <c r="O293" i="48"/>
  <c r="O290" i="48"/>
  <c r="O287" i="48"/>
  <c r="O284" i="48"/>
  <c r="O281" i="48"/>
  <c r="O278" i="48"/>
  <c r="O275" i="48"/>
  <c r="O271" i="48"/>
  <c r="O274" i="48"/>
  <c r="O268" i="48"/>
  <c r="O265" i="48"/>
  <c r="O262" i="48"/>
  <c r="O259" i="48"/>
  <c r="O256" i="48"/>
  <c r="O253" i="48"/>
  <c r="O250" i="48"/>
  <c r="O247" i="48"/>
  <c r="O244" i="48"/>
  <c r="O243" i="48"/>
  <c r="O240" i="48"/>
  <c r="O237" i="48"/>
  <c r="O234" i="48"/>
  <c r="O231" i="48"/>
  <c r="O228" i="48"/>
  <c r="O225" i="48"/>
  <c r="O222" i="48"/>
  <c r="O219" i="48"/>
  <c r="O216" i="48"/>
  <c r="O213" i="48"/>
  <c r="O210" i="48"/>
  <c r="O207" i="48"/>
  <c r="O204" i="48"/>
  <c r="O201" i="48"/>
  <c r="O198" i="48"/>
  <c r="O195" i="48"/>
  <c r="O192" i="48"/>
  <c r="O189" i="48"/>
  <c r="O186" i="48"/>
  <c r="O183" i="48"/>
  <c r="O180" i="48"/>
  <c r="O179" i="48"/>
  <c r="O176" i="48"/>
  <c r="O173" i="48"/>
  <c r="O170" i="48"/>
  <c r="O167" i="48"/>
  <c r="O164" i="48"/>
  <c r="O161" i="48"/>
  <c r="O156" i="48"/>
  <c r="O157" i="48"/>
  <c r="O158" i="48"/>
  <c r="O153" i="48"/>
  <c r="O150" i="48"/>
  <c r="O147" i="48"/>
  <c r="O144" i="48"/>
  <c r="O141" i="48"/>
  <c r="O138" i="48"/>
  <c r="O136" i="48"/>
  <c r="O134" i="48"/>
  <c r="O133" i="48"/>
  <c r="O132" i="48"/>
  <c r="O131" i="48"/>
  <c r="O130" i="48"/>
  <c r="O129" i="48"/>
  <c r="O128" i="48"/>
  <c r="O127" i="48"/>
  <c r="O126" i="48"/>
  <c r="O125" i="48"/>
  <c r="O124" i="48"/>
  <c r="O123" i="48"/>
  <c r="O122" i="48"/>
  <c r="O121" i="48"/>
  <c r="O120" i="48"/>
  <c r="O118" i="48"/>
  <c r="O119" i="48"/>
  <c r="O117" i="48"/>
  <c r="O116" i="48"/>
  <c r="O115" i="48"/>
  <c r="O114" i="48"/>
  <c r="O113" i="48"/>
  <c r="O112" i="48"/>
  <c r="O111" i="48"/>
  <c r="O110" i="48"/>
  <c r="O108" i="48"/>
  <c r="O109" i="48"/>
  <c r="O107" i="48"/>
  <c r="O106" i="48"/>
  <c r="O105" i="48"/>
  <c r="O104" i="48"/>
  <c r="O103" i="48"/>
  <c r="O102" i="48"/>
  <c r="O101" i="48"/>
  <c r="O100" i="48"/>
  <c r="O99" i="48"/>
  <c r="O98" i="48"/>
  <c r="O97" i="48"/>
  <c r="O96" i="48"/>
  <c r="O95" i="48"/>
  <c r="O94" i="48"/>
  <c r="O93" i="48"/>
  <c r="O92" i="48"/>
  <c r="O91" i="48"/>
  <c r="O90" i="48"/>
  <c r="O89" i="48"/>
  <c r="O88" i="48"/>
  <c r="O87" i="48"/>
  <c r="O85" i="48"/>
  <c r="O86" i="48"/>
  <c r="O84" i="48"/>
  <c r="O83" i="48"/>
  <c r="O82" i="48"/>
  <c r="O81" i="48"/>
  <c r="O80" i="48"/>
  <c r="O79" i="48"/>
  <c r="O78" i="48"/>
  <c r="O77" i="48"/>
  <c r="O76" i="48"/>
  <c r="O75" i="48"/>
  <c r="O74" i="48"/>
  <c r="O73" i="48"/>
  <c r="O72" i="48"/>
  <c r="O71" i="48"/>
  <c r="O70" i="48"/>
  <c r="O68" i="48"/>
  <c r="O69" i="48"/>
  <c r="O67" i="48"/>
  <c r="O66" i="48"/>
  <c r="O65" i="48"/>
  <c r="O64" i="48"/>
  <c r="O63" i="48"/>
  <c r="O62" i="48"/>
  <c r="O61" i="48"/>
  <c r="O60" i="48"/>
  <c r="O59" i="48"/>
  <c r="O58" i="48"/>
  <c r="O57" i="48"/>
  <c r="O56" i="48"/>
  <c r="O55" i="48"/>
  <c r="O54" i="48"/>
  <c r="O53" i="48"/>
  <c r="O52" i="48"/>
  <c r="O51" i="48"/>
  <c r="O50" i="48"/>
  <c r="O49" i="48"/>
  <c r="O48" i="48"/>
  <c r="O47" i="48"/>
  <c r="O46" i="48"/>
  <c r="O44" i="48"/>
  <c r="O45" i="48"/>
  <c r="O43" i="48"/>
  <c r="O42" i="48"/>
  <c r="O41" i="48"/>
  <c r="O40" i="48"/>
  <c r="O39" i="48"/>
  <c r="O38" i="48"/>
  <c r="O36" i="48"/>
  <c r="O35" i="48"/>
  <c r="O37" i="48"/>
  <c r="O34" i="48"/>
  <c r="O33" i="48"/>
  <c r="O32" i="48"/>
  <c r="O31" i="48"/>
  <c r="O30" i="48"/>
  <c r="O29" i="48"/>
  <c r="O28" i="48"/>
  <c r="O27" i="48"/>
  <c r="O26" i="48"/>
  <c r="O25" i="48"/>
  <c r="O24" i="48"/>
  <c r="O23" i="48"/>
  <c r="O22" i="48"/>
  <c r="O21" i="48"/>
  <c r="O20" i="48"/>
  <c r="O19" i="48"/>
  <c r="O18" i="48"/>
  <c r="O17" i="48"/>
  <c r="O16" i="48"/>
  <c r="O15" i="48"/>
  <c r="O14" i="48"/>
  <c r="O13" i="48"/>
  <c r="O12" i="48"/>
  <c r="O10" i="48"/>
  <c r="O11" i="48"/>
  <c r="O9" i="48"/>
  <c r="O8" i="48"/>
  <c r="O7" i="48"/>
  <c r="O6" i="48"/>
  <c r="O5" i="48"/>
  <c r="O4" i="48"/>
  <c r="O3" i="48"/>
  <c r="O559" i="48"/>
  <c r="O553" i="48"/>
  <c r="O550" i="48"/>
  <c r="O547" i="48"/>
  <c r="O545" i="48"/>
  <c r="O542" i="48"/>
  <c r="O539" i="48"/>
  <c r="O536" i="48"/>
  <c r="O532" i="48"/>
  <c r="O529" i="48"/>
  <c r="O526" i="48"/>
  <c r="O524" i="48"/>
  <c r="O521" i="48"/>
  <c r="O517" i="48"/>
  <c r="O514" i="48"/>
  <c r="O509" i="48"/>
  <c r="O508" i="48"/>
  <c r="O505" i="48"/>
  <c r="O502" i="48"/>
  <c r="O499" i="48"/>
  <c r="O496" i="48"/>
  <c r="O493" i="48"/>
  <c r="O490" i="48"/>
  <c r="O486" i="48"/>
  <c r="O483" i="48"/>
  <c r="O480" i="48"/>
  <c r="O477" i="48"/>
  <c r="O474" i="48"/>
  <c r="O471" i="48"/>
  <c r="O468" i="48"/>
  <c r="O463" i="48"/>
  <c r="O462" i="48"/>
  <c r="O459" i="48"/>
  <c r="O456" i="48"/>
  <c r="O453" i="48"/>
  <c r="O450" i="48"/>
  <c r="O447" i="48"/>
  <c r="O443" i="48"/>
  <c r="O439" i="48"/>
  <c r="O436" i="48"/>
  <c r="O434" i="48"/>
  <c r="O431" i="48"/>
  <c r="O427" i="48"/>
  <c r="O424" i="48"/>
  <c r="O421" i="48"/>
  <c r="O417" i="48"/>
  <c r="O414" i="48"/>
  <c r="O397" i="48"/>
  <c r="O351" i="48"/>
  <c r="O316" i="48"/>
  <c r="O313" i="48"/>
  <c r="O310" i="48"/>
  <c r="O307" i="48"/>
  <c r="O304" i="48"/>
  <c r="O299" i="48"/>
  <c r="O295" i="48"/>
  <c r="O292" i="48"/>
  <c r="O289" i="48"/>
  <c r="O286" i="48"/>
  <c r="O283" i="48"/>
  <c r="O280" i="48"/>
  <c r="O277" i="48"/>
  <c r="O272" i="48"/>
  <c r="O270" i="48"/>
  <c r="O267" i="48"/>
  <c r="O264" i="48"/>
  <c r="O261" i="48"/>
  <c r="O258" i="48"/>
  <c r="O255" i="48"/>
  <c r="O252" i="48"/>
  <c r="O249" i="48"/>
  <c r="O246" i="48"/>
  <c r="O242" i="48"/>
  <c r="O239" i="48"/>
  <c r="O236" i="48"/>
  <c r="O233" i="48"/>
  <c r="O230" i="48"/>
  <c r="O227" i="48"/>
  <c r="O224" i="48"/>
  <c r="O221" i="48"/>
  <c r="O218" i="48"/>
  <c r="O215" i="48"/>
  <c r="O212" i="48"/>
  <c r="O209" i="48"/>
  <c r="O206" i="48"/>
  <c r="O203" i="48"/>
  <c r="O200" i="48"/>
  <c r="O197" i="48"/>
  <c r="O194" i="48"/>
  <c r="O191" i="48"/>
  <c r="O188" i="48"/>
  <c r="O185" i="48"/>
  <c r="O181" i="48"/>
  <c r="O177" i="48"/>
  <c r="O175" i="48"/>
  <c r="O172" i="48"/>
  <c r="O169" i="48"/>
  <c r="O166" i="48"/>
  <c r="O163" i="48"/>
  <c r="O160" i="48"/>
  <c r="O155" i="48"/>
  <c r="O152" i="48"/>
  <c r="O149" i="48"/>
  <c r="O146" i="48"/>
  <c r="O143" i="48"/>
  <c r="O140" i="48"/>
  <c r="O137" i="48"/>
  <c r="O557" i="48"/>
  <c r="O552" i="48"/>
  <c r="O549" i="48"/>
  <c r="O546" i="48"/>
  <c r="O544" i="48"/>
  <c r="O541" i="48"/>
  <c r="O538" i="48"/>
  <c r="O535" i="48"/>
  <c r="O531" i="48"/>
  <c r="O528" i="48"/>
  <c r="O525" i="48"/>
  <c r="O523" i="48"/>
  <c r="O520" i="48"/>
  <c r="O516" i="48"/>
  <c r="O513" i="48"/>
  <c r="O510" i="48"/>
  <c r="O506" i="48"/>
  <c r="O503" i="48"/>
  <c r="O500" i="48"/>
  <c r="O497" i="48"/>
  <c r="O494" i="48"/>
  <c r="O491" i="48"/>
  <c r="O488" i="48"/>
  <c r="O485" i="48"/>
  <c r="O481" i="48"/>
  <c r="O478" i="48"/>
  <c r="O476" i="48"/>
  <c r="O472" i="48"/>
  <c r="O469" i="48"/>
  <c r="O466" i="48"/>
  <c r="O464" i="48"/>
  <c r="O460" i="48"/>
  <c r="O457" i="48"/>
  <c r="O454" i="48"/>
  <c r="O451" i="48"/>
  <c r="O448" i="48"/>
  <c r="O445" i="48"/>
  <c r="O441" i="48"/>
  <c r="O438" i="48"/>
  <c r="O435" i="48"/>
  <c r="O432" i="48"/>
  <c r="O430" i="48"/>
  <c r="O426" i="48"/>
  <c r="O425" i="48"/>
  <c r="O423" i="48"/>
  <c r="O419" i="48"/>
  <c r="O416" i="48"/>
  <c r="O413" i="48"/>
  <c r="O378" i="48"/>
  <c r="O376" i="48"/>
  <c r="O374" i="48"/>
  <c r="O372" i="48"/>
  <c r="O369" i="48"/>
  <c r="O367" i="48"/>
  <c r="O365" i="48"/>
  <c r="O363" i="48"/>
  <c r="O361" i="48"/>
  <c r="O359" i="48"/>
  <c r="O354" i="48"/>
  <c r="O352" i="48"/>
  <c r="O348" i="48"/>
  <c r="O346" i="48"/>
  <c r="O344" i="48"/>
  <c r="O342" i="48"/>
  <c r="O339" i="48"/>
  <c r="O337" i="48"/>
  <c r="O335" i="48"/>
  <c r="O333" i="48"/>
  <c r="O330" i="48"/>
  <c r="O327" i="48"/>
  <c r="O325" i="48"/>
  <c r="O322" i="48"/>
  <c r="O320" i="48"/>
  <c r="O318" i="48"/>
  <c r="O315" i="48"/>
  <c r="O312" i="48"/>
  <c r="O309" i="48"/>
  <c r="O306" i="48"/>
  <c r="O303" i="48"/>
  <c r="O301" i="48"/>
  <c r="O298" i="48"/>
  <c r="O294" i="48"/>
  <c r="O291" i="48"/>
  <c r="O288" i="48"/>
  <c r="O285" i="48"/>
  <c r="O282" i="48"/>
  <c r="O279" i="48"/>
  <c r="O276" i="48"/>
  <c r="O273" i="48"/>
  <c r="O269" i="48"/>
  <c r="O266" i="48"/>
  <c r="O263" i="48"/>
  <c r="O260" i="48"/>
  <c r="O257" i="48"/>
  <c r="O254" i="48"/>
  <c r="O251" i="48"/>
  <c r="O248" i="48"/>
  <c r="O245" i="48"/>
  <c r="O241" i="48"/>
  <c r="O238" i="48"/>
  <c r="O235" i="48"/>
  <c r="O232" i="48"/>
  <c r="O229" i="48"/>
  <c r="O226" i="48"/>
  <c r="O223" i="48"/>
  <c r="O220" i="48"/>
  <c r="O217" i="48"/>
  <c r="O214" i="48"/>
  <c r="O211" i="48"/>
  <c r="O208" i="48"/>
  <c r="O205" i="48"/>
  <c r="O202" i="48"/>
  <c r="O199" i="48"/>
  <c r="O196" i="48"/>
  <c r="O193" i="48"/>
  <c r="O190" i="48"/>
  <c r="O187" i="48"/>
  <c r="O184" i="48"/>
  <c r="O182" i="48"/>
  <c r="O178" i="48"/>
  <c r="O174" i="48"/>
  <c r="O171" i="48"/>
  <c r="O168" i="48"/>
  <c r="O165" i="48"/>
  <c r="O162" i="48"/>
  <c r="O159" i="48"/>
  <c r="O154" i="48"/>
  <c r="O151" i="48"/>
  <c r="O148" i="48"/>
  <c r="O145" i="48"/>
  <c r="O142" i="48"/>
  <c r="O139" i="48"/>
  <c r="O135" i="48"/>
  <c r="O695" i="48"/>
  <c r="O692" i="48"/>
  <c r="O689" i="48"/>
  <c r="O686" i="48"/>
  <c r="O683" i="48"/>
  <c r="O680" i="48"/>
  <c r="O677" i="48"/>
  <c r="O674" i="48"/>
  <c r="O671" i="48"/>
  <c r="O668" i="48"/>
  <c r="O665" i="48"/>
  <c r="O662" i="48"/>
  <c r="O659" i="48"/>
  <c r="O656" i="48"/>
  <c r="O654" i="48"/>
  <c r="O652" i="48"/>
  <c r="O649" i="48"/>
  <c r="O646" i="48"/>
  <c r="O643" i="48"/>
  <c r="O640" i="48"/>
  <c r="O637" i="48"/>
  <c r="O634" i="48"/>
  <c r="O631" i="48"/>
  <c r="O628" i="48"/>
  <c r="O625" i="48"/>
  <c r="O622" i="48"/>
  <c r="O619" i="48"/>
  <c r="O615" i="48"/>
  <c r="O617" i="48"/>
  <c r="O612" i="48"/>
  <c r="O609" i="48"/>
  <c r="O606" i="48"/>
  <c r="O603" i="48"/>
  <c r="O600" i="48"/>
  <c r="O598" i="48"/>
  <c r="O595" i="48"/>
  <c r="O592" i="48"/>
  <c r="O589" i="48"/>
  <c r="O586" i="48"/>
  <c r="O583" i="48"/>
  <c r="O580" i="48"/>
  <c r="O577" i="48"/>
  <c r="O575" i="48"/>
  <c r="O570" i="48"/>
  <c r="O569" i="48"/>
  <c r="O566" i="48"/>
  <c r="O563" i="48"/>
  <c r="O558" i="48"/>
  <c r="O904" i="48"/>
  <c r="K115" i="53"/>
  <c r="K111" i="53"/>
  <c r="K144" i="53"/>
  <c r="K145" i="53"/>
  <c r="K194" i="53"/>
  <c r="K125" i="53"/>
  <c r="K127" i="53"/>
  <c r="K16" i="53"/>
  <c r="K32" i="53"/>
  <c r="K102" i="53"/>
  <c r="K105" i="53"/>
  <c r="K4" i="53"/>
  <c r="K139" i="53"/>
  <c r="K148" i="53"/>
  <c r="K189" i="53"/>
  <c r="K168" i="53"/>
  <c r="K41" i="53"/>
  <c r="K42" i="53"/>
  <c r="K193" i="53"/>
  <c r="K202" i="53"/>
  <c r="K46" i="53"/>
  <c r="K44" i="53"/>
  <c r="K93" i="53"/>
  <c r="K136" i="53"/>
  <c r="K15" i="53"/>
  <c r="K17" i="53"/>
  <c r="K123" i="53"/>
  <c r="K5" i="53"/>
  <c r="K51" i="53"/>
  <c r="K61" i="53"/>
  <c r="K67" i="53"/>
  <c r="K138" i="53"/>
  <c r="K48" i="53"/>
  <c r="K73" i="53"/>
  <c r="K86" i="53"/>
  <c r="K146" i="53"/>
  <c r="K106" i="53"/>
  <c r="K149" i="53"/>
  <c r="K63" i="53"/>
  <c r="K203" i="53"/>
  <c r="K201" i="53"/>
  <c r="K91" i="53"/>
  <c r="K68" i="53"/>
  <c r="K109" i="53"/>
  <c r="K188" i="53"/>
  <c r="K166" i="53"/>
  <c r="K117" i="53"/>
  <c r="K12" i="53"/>
  <c r="K107" i="53"/>
  <c r="K82" i="53"/>
  <c r="K142" i="53"/>
  <c r="K14" i="53"/>
  <c r="K191" i="53"/>
  <c r="K137" i="53"/>
  <c r="K190" i="53"/>
  <c r="K177" i="53"/>
  <c r="K162" i="53"/>
  <c r="K56" i="53"/>
  <c r="K150" i="53"/>
  <c r="K192" i="53"/>
  <c r="K60" i="53"/>
  <c r="K172" i="53"/>
  <c r="K187" i="53"/>
  <c r="K37" i="53"/>
  <c r="K110" i="53"/>
  <c r="K31" i="53"/>
  <c r="K38" i="53"/>
  <c r="K141" i="53"/>
  <c r="K121" i="53"/>
  <c r="K195" i="53"/>
  <c r="K10" i="53"/>
  <c r="K29" i="53"/>
  <c r="K34" i="53"/>
  <c r="K124" i="53"/>
  <c r="K130" i="53"/>
  <c r="K65" i="53"/>
  <c r="K79" i="53"/>
  <c r="K25" i="53"/>
  <c r="K80" i="53"/>
  <c r="K9" i="53"/>
  <c r="K72" i="53"/>
  <c r="K24" i="53"/>
  <c r="K81" i="53"/>
  <c r="K114" i="53"/>
  <c r="K128" i="53"/>
  <c r="K132" i="53"/>
  <c r="K129" i="53"/>
  <c r="K98" i="53"/>
  <c r="K58" i="53"/>
  <c r="K135" i="53"/>
  <c r="K158" i="53"/>
  <c r="K75" i="53"/>
  <c r="K13" i="53"/>
  <c r="K178" i="53"/>
  <c r="K131" i="53"/>
  <c r="K90" i="53"/>
  <c r="K161" i="53"/>
  <c r="K47" i="53"/>
  <c r="K126" i="53"/>
  <c r="K134" i="53"/>
  <c r="K167" i="53"/>
  <c r="K30" i="53"/>
  <c r="K181" i="53"/>
  <c r="K104" i="53"/>
  <c r="K64" i="53"/>
  <c r="K23" i="53"/>
  <c r="K35" i="53"/>
  <c r="K94" i="53"/>
  <c r="K154" i="53"/>
  <c r="K171" i="53"/>
  <c r="K100" i="53"/>
  <c r="K159" i="53"/>
  <c r="K26" i="53"/>
  <c r="K89" i="53"/>
  <c r="K50" i="53"/>
  <c r="K199" i="53"/>
  <c r="K20" i="53"/>
  <c r="K175" i="53"/>
  <c r="K173" i="53"/>
  <c r="K152" i="53"/>
  <c r="K156" i="53"/>
  <c r="K103" i="53"/>
  <c r="K185" i="53"/>
  <c r="D14" i="2"/>
  <c r="D13" i="2"/>
  <c r="X5" i="48" l="1"/>
  <c r="H15" i="2"/>
  <c r="K119" i="53"/>
  <c r="K57" i="53"/>
  <c r="K118" i="53"/>
  <c r="K59" i="53"/>
  <c r="K120" i="53"/>
  <c r="K62" i="53"/>
  <c r="K133" i="53"/>
  <c r="K55" i="53"/>
  <c r="K76" i="53"/>
  <c r="K179" i="53"/>
  <c r="K108" i="53"/>
  <c r="T5" i="48"/>
  <c r="K66" i="53"/>
  <c r="K39" i="53"/>
  <c r="K33" i="53"/>
  <c r="K70" i="53"/>
  <c r="K147" i="53"/>
  <c r="K183" i="53"/>
  <c r="K97" i="53"/>
  <c r="K182" i="53"/>
  <c r="K96" i="53"/>
  <c r="K95" i="53"/>
  <c r="K52" i="53"/>
  <c r="K88" i="53"/>
  <c r="K83" i="53"/>
  <c r="K184" i="53"/>
  <c r="K163" i="53"/>
  <c r="K200" i="53"/>
  <c r="K116" i="53"/>
  <c r="K153" i="53"/>
  <c r="K174" i="53"/>
  <c r="K85" i="53"/>
  <c r="K18" i="53"/>
  <c r="K157" i="53"/>
  <c r="K186" i="53"/>
  <c r="K99" i="53"/>
  <c r="K180" i="53"/>
  <c r="K74" i="53"/>
  <c r="K36" i="53"/>
  <c r="K151" i="53"/>
  <c r="K101" i="53"/>
  <c r="K87" i="53"/>
  <c r="K165" i="53"/>
  <c r="K122" i="53"/>
  <c r="K113" i="53"/>
  <c r="K140" i="53"/>
  <c r="K69" i="53"/>
  <c r="K197" i="53"/>
  <c r="K77" i="53"/>
  <c r="K43" i="53"/>
  <c r="K169" i="53"/>
  <c r="K6" i="53"/>
  <c r="K22" i="53"/>
  <c r="K11" i="53"/>
  <c r="K160" i="53"/>
  <c r="K40" i="53"/>
  <c r="K170" i="53"/>
  <c r="K71" i="53"/>
  <c r="K54" i="53"/>
  <c r="K92" i="53"/>
  <c r="K27" i="53"/>
  <c r="K7" i="53"/>
  <c r="K21" i="53"/>
  <c r="K196" i="53"/>
  <c r="K155" i="53"/>
  <c r="K8" i="53"/>
  <c r="K84" i="53"/>
  <c r="K198" i="53"/>
  <c r="K78" i="53"/>
  <c r="K45" i="53"/>
  <c r="K112" i="53"/>
  <c r="K28" i="53"/>
  <c r="K49" i="53"/>
  <c r="K19" i="53"/>
  <c r="K3" i="53"/>
  <c r="K164" i="53"/>
  <c r="K176" i="53"/>
  <c r="K53" i="53"/>
  <c r="F11" i="57" l="1"/>
  <c r="E11" i="57"/>
  <c r="F10" i="57"/>
  <c r="F8" i="57"/>
  <c r="E10" i="57"/>
  <c r="E8" i="57"/>
  <c r="F9" i="57"/>
  <c r="E9" i="57"/>
  <c r="F19" i="2"/>
  <c r="B70" i="57"/>
  <c r="Y7" i="48"/>
  <c r="C47" i="54"/>
  <c r="B4" i="54" l="1"/>
  <c r="D47" i="54"/>
  <c r="E47" i="54" s="1"/>
  <c r="B74" i="57"/>
  <c r="C4" i="2" l="1"/>
  <c r="B4" i="2"/>
  <c r="B6" i="2" s="1"/>
  <c r="D122" i="54"/>
  <c r="E122" i="54" l="1"/>
  <c r="C122" i="54" l="1"/>
  <c r="B81" i="54"/>
  <c r="C5" i="2" l="1"/>
  <c r="B5" i="2"/>
  <c r="F27" i="2"/>
  <c r="G27" i="2" s="1"/>
  <c r="F26" i="2"/>
  <c r="G26" i="2" s="1"/>
  <c r="F25" i="2"/>
  <c r="G25" i="2" s="1"/>
  <c r="E10" i="2"/>
  <c r="F10" i="2" s="1"/>
  <c r="W7" i="48"/>
  <c r="X7" i="48"/>
  <c r="C6" i="2"/>
  <c r="U106" i="53"/>
  <c r="U154" i="53"/>
  <c r="U41" i="53"/>
  <c r="U24" i="53"/>
  <c r="U104" i="53"/>
  <c r="U172" i="53"/>
  <c r="U174" i="53"/>
  <c r="U161" i="53"/>
  <c r="U89" i="53"/>
  <c r="U107" i="53"/>
  <c r="U35" i="53"/>
  <c r="U97" i="53"/>
  <c r="U58" i="53"/>
  <c r="U102" i="53"/>
  <c r="U16" i="53"/>
  <c r="U127" i="53"/>
  <c r="U114" i="53"/>
  <c r="U158" i="53"/>
  <c r="U117" i="53"/>
  <c r="U63" i="53"/>
  <c r="U130" i="53"/>
  <c r="U139" i="53"/>
  <c r="U141" i="53"/>
  <c r="U105" i="53"/>
  <c r="U142" i="53"/>
  <c r="U95" i="53"/>
  <c r="U57" i="53"/>
  <c r="U66" i="53"/>
  <c r="U32" i="53"/>
  <c r="U101" i="53"/>
  <c r="U165" i="53"/>
  <c r="U192" i="53"/>
  <c r="U178" i="53"/>
  <c r="U167" i="53"/>
  <c r="U93" i="53"/>
  <c r="U126" i="53"/>
  <c r="U136" i="53"/>
  <c r="U68" i="53"/>
  <c r="U27" i="53"/>
  <c r="U109" i="53"/>
  <c r="U40" i="53"/>
  <c r="U176" i="53"/>
  <c r="U183" i="53"/>
  <c r="U69" i="53"/>
  <c r="U170" i="53"/>
  <c r="U65" i="53"/>
  <c r="U137" i="53"/>
  <c r="U62" i="53"/>
  <c r="U39" i="53"/>
  <c r="U74" i="53"/>
  <c r="U118" i="53"/>
  <c r="U50" i="53"/>
  <c r="U125" i="53"/>
  <c r="U45" i="53"/>
  <c r="U129" i="53"/>
  <c r="U164" i="53"/>
  <c r="U52" i="53"/>
  <c r="U121" i="53"/>
  <c r="U29" i="53"/>
  <c r="U135" i="53"/>
  <c r="U173" i="53"/>
  <c r="U94" i="53"/>
  <c r="U180" i="53"/>
  <c r="U26" i="53"/>
  <c r="U194" i="53"/>
  <c r="U177" i="53"/>
  <c r="U98" i="53"/>
  <c r="U99" i="53"/>
  <c r="U123" i="53"/>
  <c r="U28" i="53"/>
  <c r="U188" i="53"/>
  <c r="U181" i="53"/>
  <c r="U23" i="53"/>
  <c r="U138" i="53"/>
  <c r="U19" i="53"/>
  <c r="U33" i="53"/>
  <c r="U88" i="53"/>
  <c r="U56" i="53"/>
  <c r="U60" i="53"/>
  <c r="U103" i="53"/>
  <c r="U190" i="53"/>
  <c r="U134" i="53"/>
  <c r="U67" i="53"/>
  <c r="U51" i="53"/>
  <c r="U120" i="53"/>
  <c r="U72" i="53"/>
  <c r="U21" i="53"/>
  <c r="U59" i="53"/>
  <c r="U61" i="53"/>
  <c r="U100" i="53"/>
  <c r="U159" i="53"/>
  <c r="U171" i="53"/>
  <c r="U196" i="53"/>
  <c r="U187" i="53"/>
  <c r="U162" i="53"/>
  <c r="U189" i="53"/>
  <c r="U163" i="53"/>
  <c r="U64" i="53"/>
  <c r="U17" i="53"/>
  <c r="U122" i="53"/>
  <c r="U199" i="53"/>
  <c r="U198" i="53"/>
  <c r="U44" i="53"/>
  <c r="U77" i="53"/>
  <c r="U108" i="53"/>
  <c r="U87" i="53"/>
  <c r="U43" i="53"/>
  <c r="U186" i="53"/>
  <c r="U73" i="53"/>
  <c r="U124" i="53"/>
  <c r="U34" i="53"/>
  <c r="U46" i="53"/>
  <c r="U110" i="53"/>
  <c r="U113" i="53"/>
  <c r="U160" i="53"/>
  <c r="U70" i="53"/>
  <c r="U128" i="53"/>
  <c r="U79" i="53"/>
  <c r="U47" i="53"/>
  <c r="U166" i="53"/>
  <c r="U195" i="53"/>
  <c r="U20" i="53"/>
  <c r="U38" i="53"/>
  <c r="U175" i="53"/>
  <c r="U90" i="53"/>
  <c r="U75" i="53"/>
  <c r="U111" i="53"/>
  <c r="U133" i="53"/>
  <c r="U131" i="53"/>
  <c r="U36" i="53"/>
  <c r="U197" i="53"/>
  <c r="U96" i="53"/>
  <c r="U179" i="53"/>
  <c r="U25" i="53"/>
  <c r="U193" i="53"/>
  <c r="U140" i="53"/>
  <c r="U86" i="53"/>
  <c r="U168" i="53"/>
  <c r="U157" i="53"/>
  <c r="U84" i="53"/>
  <c r="U91" i="53"/>
  <c r="U184" i="53"/>
  <c r="U132" i="53"/>
  <c r="U49" i="53"/>
  <c r="U31" i="53"/>
  <c r="U92" i="53"/>
  <c r="U54" i="53"/>
  <c r="U18" i="53"/>
  <c r="U81" i="53"/>
  <c r="U76" i="53"/>
  <c r="U182" i="53"/>
  <c r="U185" i="53"/>
  <c r="U83" i="53"/>
  <c r="U155" i="53"/>
  <c r="U55" i="53"/>
  <c r="U119" i="53"/>
  <c r="U80" i="53"/>
  <c r="U112" i="53"/>
  <c r="U37" i="53"/>
  <c r="U82" i="53"/>
  <c r="U53" i="53"/>
  <c r="U85" i="53"/>
  <c r="U71" i="53"/>
  <c r="U169" i="53"/>
  <c r="U48" i="53"/>
  <c r="U30" i="53"/>
  <c r="U191" i="53"/>
  <c r="U42" i="53"/>
  <c r="U78" i="53"/>
  <c r="U200" i="53"/>
  <c r="U156" i="53"/>
  <c r="U116" i="53"/>
  <c r="U22" i="53"/>
  <c r="U151" i="53"/>
  <c r="U5" i="53"/>
  <c r="U7" i="53"/>
  <c r="U150" i="53"/>
  <c r="U3" i="53"/>
  <c r="U8" i="53"/>
  <c r="U152" i="53"/>
  <c r="U6" i="53"/>
  <c r="U9" i="53"/>
  <c r="U13" i="53"/>
  <c r="U153" i="53"/>
  <c r="U14" i="53"/>
  <c r="U10" i="53"/>
  <c r="U12" i="53"/>
  <c r="U11" i="53"/>
  <c r="F20" i="2" l="1"/>
  <c r="W40" i="48"/>
  <c r="W33" i="48"/>
  <c r="X33" i="48"/>
  <c r="W34" i="48"/>
  <c r="X34" i="48"/>
  <c r="W27" i="48"/>
  <c r="X27" i="48"/>
  <c r="X22" i="48"/>
  <c r="W22" i="48"/>
  <c r="X36" i="48"/>
  <c r="W36" i="48"/>
  <c r="X32" i="48"/>
  <c r="W32" i="48"/>
  <c r="W9" i="48"/>
  <c r="X9" i="48"/>
  <c r="W31" i="48"/>
  <c r="X31" i="48"/>
  <c r="W29" i="48"/>
  <c r="X29" i="48"/>
  <c r="X28" i="48"/>
  <c r="X26" i="48"/>
  <c r="W26" i="48"/>
  <c r="X16" i="48"/>
  <c r="W16" i="48"/>
  <c r="W37" i="48"/>
  <c r="X37" i="48"/>
  <c r="W19" i="48"/>
  <c r="X19" i="48"/>
  <c r="W25" i="48"/>
  <c r="X25" i="48"/>
  <c r="W23" i="48"/>
  <c r="X23" i="48"/>
  <c r="X14" i="48"/>
  <c r="W14" i="48"/>
  <c r="W28" i="48"/>
  <c r="X38" i="48"/>
  <c r="W38" i="48"/>
  <c r="X18" i="48"/>
  <c r="W18" i="48"/>
  <c r="W13" i="48"/>
  <c r="X13" i="48"/>
  <c r="X6" i="48"/>
  <c r="W6" i="48"/>
  <c r="X35" i="48"/>
  <c r="X30" i="48"/>
  <c r="W30" i="48"/>
  <c r="W11" i="48"/>
  <c r="X11" i="48"/>
  <c r="X8" i="48"/>
  <c r="W8" i="48"/>
  <c r="X40" i="48"/>
  <c r="X12" i="48"/>
  <c r="W12" i="48"/>
  <c r="X39" i="48"/>
  <c r="W24" i="48"/>
  <c r="W35" i="48"/>
  <c r="W21" i="48"/>
  <c r="W17" i="48"/>
  <c r="X17" i="48"/>
  <c r="X21" i="48"/>
  <c r="X20" i="48"/>
  <c r="W20" i="48"/>
  <c r="X10" i="48"/>
  <c r="W10" i="48"/>
  <c r="W39" i="48"/>
  <c r="X24" i="48"/>
  <c r="W15" i="48"/>
  <c r="X15" i="48"/>
  <c r="W5" i="48"/>
  <c r="E13" i="2"/>
  <c r="F13" i="2" s="1"/>
  <c r="E14" i="2"/>
  <c r="F14" i="2" s="1"/>
  <c r="W41" i="48" l="1"/>
  <c r="G7" i="57" s="1"/>
  <c r="C33" i="2"/>
  <c r="D33" i="2"/>
  <c r="G19" i="2"/>
  <c r="D34" i="2" s="1"/>
  <c r="G20" i="2"/>
  <c r="D44" i="2" s="1"/>
  <c r="F34" i="2"/>
  <c r="E34" i="2"/>
  <c r="F44" i="2"/>
  <c r="X41" i="48"/>
  <c r="H7" i="57" s="1"/>
  <c r="F43" i="2"/>
  <c r="E43" i="2"/>
  <c r="B57" i="57" l="1"/>
  <c r="B21" i="57"/>
  <c r="B23" i="57" s="1"/>
  <c r="B33" i="57"/>
  <c r="B35" i="57" s="1"/>
  <c r="B45" i="57"/>
  <c r="B47" i="57" s="1"/>
  <c r="C14" i="2"/>
  <c r="F42" i="2" s="1"/>
  <c r="F45" i="2" s="1"/>
  <c r="F46" i="2" s="1"/>
  <c r="F47" i="2" s="1"/>
  <c r="D43" i="2"/>
  <c r="H11" i="2"/>
  <c r="C43" i="2"/>
  <c r="H10" i="2"/>
  <c r="C13" i="2"/>
  <c r="B9" i="57"/>
  <c r="B11" i="57" s="1"/>
  <c r="F32" i="2" l="1"/>
  <c r="F35" i="2" s="1"/>
  <c r="F36" i="2" s="1"/>
  <c r="F37" i="2" s="1"/>
  <c r="F31" i="2" s="1"/>
  <c r="D27" i="2" s="1"/>
  <c r="G14" i="2"/>
  <c r="H12" i="2"/>
  <c r="F41" i="2"/>
  <c r="E27" i="2" s="1"/>
  <c r="E32" i="2"/>
  <c r="E35" i="2" s="1"/>
  <c r="E36" i="2" s="1"/>
  <c r="E42" i="2"/>
  <c r="E45" i="2" s="1"/>
  <c r="E46" i="2" s="1"/>
  <c r="G13" i="2"/>
  <c r="G15" i="2" s="1"/>
  <c r="B59" i="57"/>
  <c r="C15" i="2"/>
  <c r="D15" i="2" s="1"/>
  <c r="U31" i="48"/>
  <c r="U7" i="48"/>
  <c r="T7" i="48"/>
  <c r="T29" i="48"/>
  <c r="E37" i="2" l="1"/>
  <c r="E31" i="2" s="1"/>
  <c r="D26" i="2" s="1"/>
  <c r="E47" i="2"/>
  <c r="E41" i="2" s="1"/>
  <c r="E26" i="2" s="1"/>
  <c r="F47" i="54"/>
  <c r="F88" i="54" s="1"/>
  <c r="E4" i="54"/>
  <c r="T38" i="48"/>
  <c r="T23" i="48"/>
  <c r="U13" i="48"/>
  <c r="U22" i="48"/>
  <c r="U37" i="48"/>
  <c r="T25" i="48"/>
  <c r="U9" i="48"/>
  <c r="T28" i="48"/>
  <c r="U23" i="48"/>
  <c r="T15" i="48"/>
  <c r="T34" i="48"/>
  <c r="U30" i="48"/>
  <c r="U21" i="48"/>
  <c r="U29" i="48"/>
  <c r="E26" i="54" s="1"/>
  <c r="U20" i="48"/>
  <c r="U40" i="48"/>
  <c r="T11" i="48"/>
  <c r="T27" i="48"/>
  <c r="T26" i="48"/>
  <c r="T24" i="48"/>
  <c r="T17" i="48"/>
  <c r="U12" i="48"/>
  <c r="U10" i="48"/>
  <c r="T22" i="48"/>
  <c r="T8" i="48"/>
  <c r="T39" i="48"/>
  <c r="T37" i="48"/>
  <c r="T32" i="48"/>
  <c r="U28" i="48"/>
  <c r="U27" i="48"/>
  <c r="T14" i="48"/>
  <c r="T21" i="48"/>
  <c r="U11" i="48"/>
  <c r="T35" i="48"/>
  <c r="T13" i="48"/>
  <c r="T9" i="48"/>
  <c r="T36" i="48"/>
  <c r="U39" i="48"/>
  <c r="U33" i="48"/>
  <c r="U32" i="48"/>
  <c r="T31" i="48"/>
  <c r="E28" i="54" s="1"/>
  <c r="T16" i="48"/>
  <c r="U17" i="48"/>
  <c r="T33" i="48"/>
  <c r="U19" i="48"/>
  <c r="T18" i="48"/>
  <c r="T6" i="48"/>
  <c r="T19" i="48"/>
  <c r="T12" i="48"/>
  <c r="U38" i="48"/>
  <c r="U18" i="48"/>
  <c r="U8" i="48"/>
  <c r="T40" i="48"/>
  <c r="T30" i="48"/>
  <c r="T20" i="48"/>
  <c r="T10" i="48"/>
  <c r="U36" i="48"/>
  <c r="U26" i="48"/>
  <c r="U16" i="48"/>
  <c r="U6" i="48"/>
  <c r="U35" i="48"/>
  <c r="U25" i="48"/>
  <c r="U15" i="48"/>
  <c r="U34" i="48"/>
  <c r="U24" i="48"/>
  <c r="U14" i="48"/>
  <c r="B76" i="57" l="1"/>
  <c r="B83" i="57" s="1"/>
  <c r="E10" i="54"/>
  <c r="E18" i="54"/>
  <c r="E17" i="54"/>
  <c r="T41" i="48"/>
  <c r="E7" i="57" s="1"/>
  <c r="E27" i="54"/>
  <c r="E6" i="54"/>
  <c r="E30" i="54"/>
  <c r="E16" i="54"/>
  <c r="E34" i="54"/>
  <c r="E25" i="54"/>
  <c r="E20" i="54"/>
  <c r="E7" i="54"/>
  <c r="E5" i="54"/>
  <c r="E12" i="54"/>
  <c r="E32" i="54"/>
  <c r="E14" i="54"/>
  <c r="E21" i="54"/>
  <c r="E36" i="54"/>
  <c r="E23" i="54"/>
  <c r="E35" i="54"/>
  <c r="E24" i="54"/>
  <c r="E3" i="54"/>
  <c r="E15" i="54"/>
  <c r="E13" i="54"/>
  <c r="E11" i="54"/>
  <c r="E19" i="54"/>
  <c r="E29" i="54"/>
  <c r="E33" i="54"/>
  <c r="E8" i="54"/>
  <c r="E22" i="54"/>
  <c r="E37" i="54"/>
  <c r="E9" i="54"/>
  <c r="E31" i="54"/>
  <c r="C10" i="2" l="1"/>
  <c r="C42" i="2" s="1"/>
  <c r="C34" i="2"/>
  <c r="C44" i="2"/>
  <c r="B46" i="2"/>
  <c r="B36" i="2"/>
  <c r="F24" i="2"/>
  <c r="G24" i="2" s="1"/>
  <c r="F6" i="8"/>
  <c r="E11" i="2"/>
  <c r="F11" i="2" s="1"/>
  <c r="I27" i="2" l="1"/>
  <c r="I26" i="2"/>
  <c r="U5" i="48"/>
  <c r="E2" i="54" s="1"/>
  <c r="E38" i="54" s="1"/>
  <c r="Q15" i="48" l="1"/>
  <c r="Q92" i="48"/>
  <c r="Q104" i="48"/>
  <c r="Q23" i="48"/>
  <c r="Q75" i="48"/>
  <c r="Q40" i="48"/>
  <c r="Q16" i="48"/>
  <c r="Q44" i="48"/>
  <c r="Q25" i="48"/>
  <c r="Q51" i="48"/>
  <c r="Q111" i="48"/>
  <c r="Q128" i="48"/>
  <c r="Q49" i="48"/>
  <c r="Q36" i="48"/>
  <c r="Q94" i="48"/>
  <c r="Q119" i="48"/>
  <c r="Q21" i="48"/>
  <c r="Q71" i="48"/>
  <c r="Q67" i="48"/>
  <c r="Q129" i="48"/>
  <c r="Q6" i="48"/>
  <c r="Q26" i="48"/>
  <c r="Q28" i="48"/>
  <c r="Q18" i="48"/>
  <c r="Q11" i="48"/>
  <c r="Q53" i="48"/>
  <c r="Q47" i="48"/>
  <c r="Q95" i="48"/>
  <c r="Q116" i="48"/>
  <c r="Q110" i="48"/>
  <c r="Q120" i="48"/>
  <c r="Q42" i="48"/>
  <c r="Q105" i="48"/>
  <c r="Q124" i="48"/>
  <c r="Q99" i="48"/>
  <c r="Q8" i="48"/>
  <c r="Q90" i="48"/>
  <c r="Q55" i="48"/>
  <c r="Q107" i="48"/>
  <c r="Q31" i="48"/>
  <c r="Q37" i="48"/>
  <c r="Q125" i="48"/>
  <c r="Q69" i="48"/>
  <c r="Q73" i="48"/>
  <c r="Q83" i="48"/>
  <c r="Q20" i="48"/>
  <c r="Q9" i="48"/>
  <c r="Q80" i="48"/>
  <c r="Q117" i="48"/>
  <c r="Q102" i="48"/>
  <c r="Q127" i="48"/>
  <c r="Q74" i="48"/>
  <c r="Q19" i="48"/>
  <c r="Q114" i="48"/>
  <c r="Q63" i="48"/>
  <c r="Q82" i="48"/>
  <c r="Q60" i="48"/>
  <c r="Q3" i="48"/>
  <c r="Q29" i="48"/>
  <c r="Q72" i="48"/>
  <c r="Q70" i="48"/>
  <c r="Q85" i="48"/>
  <c r="Q126" i="48"/>
  <c r="Q33" i="48"/>
  <c r="Q46" i="48"/>
  <c r="Q39" i="48"/>
  <c r="Q98" i="48"/>
  <c r="Q66" i="48"/>
  <c r="Q86" i="48"/>
  <c r="Q131" i="48"/>
  <c r="Q4" i="48"/>
  <c r="Q84" i="48"/>
  <c r="Q96" i="48"/>
  <c r="Q30" i="48"/>
  <c r="Q38" i="48"/>
  <c r="Q54" i="48"/>
  <c r="Q14" i="48"/>
  <c r="Q45" i="48"/>
  <c r="Q52" i="48"/>
  <c r="Q35" i="48"/>
  <c r="Q24" i="48"/>
  <c r="Q17" i="48"/>
  <c r="Q77" i="48"/>
  <c r="Q109" i="48"/>
  <c r="Q56" i="48"/>
  <c r="Q100" i="48"/>
  <c r="Q59" i="48"/>
  <c r="Q123" i="48"/>
  <c r="Q113" i="48"/>
  <c r="Q78" i="48"/>
  <c r="Q132" i="48"/>
  <c r="Q88" i="48"/>
  <c r="Q76" i="48"/>
  <c r="Q68" i="48"/>
  <c r="Q32" i="48"/>
  <c r="Q89" i="48"/>
  <c r="Q103" i="48"/>
  <c r="Q5" i="48"/>
  <c r="Q130" i="48"/>
  <c r="Q43" i="48"/>
  <c r="Q79" i="48"/>
  <c r="Q118" i="48"/>
  <c r="Q48" i="48"/>
  <c r="Q93" i="48"/>
  <c r="Q133" i="48"/>
  <c r="Q58" i="48"/>
  <c r="Q65" i="48"/>
  <c r="Q64" i="48"/>
  <c r="Q10" i="48"/>
  <c r="Q97" i="48"/>
  <c r="Q122" i="48"/>
  <c r="Q106" i="48"/>
  <c r="Q22" i="48"/>
  <c r="Q121" i="48"/>
  <c r="Q57" i="48"/>
  <c r="Q134" i="48"/>
  <c r="Q62" i="48"/>
  <c r="Q13" i="48"/>
  <c r="Q12" i="48"/>
  <c r="Q7" i="48"/>
  <c r="Q91" i="48"/>
  <c r="Q112" i="48"/>
  <c r="Q81" i="48"/>
  <c r="Q87" i="48"/>
  <c r="Q61" i="48"/>
  <c r="Q101" i="48"/>
  <c r="Q115" i="48"/>
  <c r="Q50" i="48"/>
  <c r="Q41" i="48"/>
  <c r="Q27" i="48"/>
  <c r="Q34" i="48"/>
  <c r="Q108" i="48"/>
  <c r="Q610" i="48"/>
  <c r="Q568" i="48"/>
  <c r="Q472" i="48"/>
  <c r="Q210" i="48"/>
  <c r="Q409" i="48"/>
  <c r="Q888" i="48"/>
  <c r="Q890" i="48"/>
  <c r="Q643" i="48"/>
  <c r="Q740" i="48"/>
  <c r="Q871" i="48"/>
  <c r="Q215" i="48"/>
  <c r="Q489" i="48"/>
  <c r="Q902" i="48"/>
  <c r="Q684" i="48"/>
  <c r="Q581" i="48"/>
  <c r="Q285" i="48"/>
  <c r="Q373" i="48"/>
  <c r="Q733" i="48"/>
  <c r="Q849" i="48"/>
  <c r="Q606" i="48"/>
  <c r="Q499" i="48"/>
  <c r="Q811" i="48"/>
  <c r="Q795" i="48"/>
  <c r="Q513" i="48"/>
  <c r="Q455" i="48"/>
  <c r="Q898" i="48"/>
  <c r="Q523" i="48"/>
  <c r="Q327" i="48"/>
  <c r="Q156" i="48"/>
  <c r="Q262" i="48"/>
  <c r="Q717" i="48"/>
  <c r="Q810" i="48"/>
  <c r="Q829" i="48"/>
  <c r="Q724" i="48"/>
  <c r="Q821" i="48"/>
  <c r="Q411" i="48"/>
  <c r="Q739" i="48"/>
  <c r="Q291" i="48"/>
  <c r="Q840" i="48"/>
  <c r="Q721" i="48"/>
  <c r="Q221" i="48"/>
  <c r="Q507" i="48"/>
  <c r="Q464" i="48"/>
  <c r="Q886" i="48"/>
  <c r="Q307" i="48"/>
  <c r="Q424" i="48"/>
  <c r="Q593" i="48"/>
  <c r="Q823" i="48"/>
  <c r="Q284" i="48"/>
  <c r="Q459" i="48"/>
  <c r="Q443" i="48"/>
  <c r="Q305" i="48"/>
  <c r="Q249" i="48"/>
  <c r="Q169" i="48"/>
  <c r="Q147" i="48"/>
  <c r="Q729" i="48"/>
  <c r="Q343" i="48"/>
  <c r="Q384" i="48"/>
  <c r="Q686" i="48"/>
  <c r="Q853" i="48"/>
  <c r="Q858" i="48"/>
  <c r="Q231" i="48"/>
  <c r="Q385" i="48"/>
  <c r="Q517" i="48"/>
  <c r="Q654" i="48"/>
  <c r="Q400" i="48"/>
  <c r="Q423" i="48"/>
  <c r="Q648" i="48"/>
  <c r="Q826" i="48"/>
  <c r="Q882" i="48"/>
  <c r="Q595" i="48"/>
  <c r="Q788" i="48"/>
  <c r="Q772" i="48"/>
  <c r="Q779" i="48"/>
  <c r="Q195" i="48"/>
  <c r="Q402" i="48"/>
  <c r="Q852" i="48"/>
  <c r="Q901" i="48"/>
  <c r="Q408" i="48"/>
  <c r="Q806" i="48"/>
  <c r="Q608" i="48"/>
  <c r="Q580" i="48"/>
  <c r="Q290" i="48"/>
  <c r="Q662" i="48"/>
  <c r="Q798" i="48"/>
  <c r="Q153" i="48"/>
  <c r="Q716" i="48"/>
  <c r="Q819" i="48"/>
  <c r="Q228" i="48"/>
  <c r="Q698" i="48"/>
  <c r="Q184" i="48"/>
  <c r="Q247" i="48"/>
  <c r="Q675" i="48"/>
  <c r="Q336" i="48"/>
  <c r="Q693" i="48"/>
  <c r="Q592" i="48"/>
  <c r="Q556" i="48"/>
  <c r="Q800" i="48"/>
  <c r="Q797" i="48"/>
  <c r="Q250" i="48"/>
  <c r="Q295" i="48"/>
  <c r="Q814" i="48"/>
  <c r="Q328" i="48"/>
  <c r="Q342" i="48"/>
  <c r="Q269" i="48"/>
  <c r="Q704" i="48"/>
  <c r="Q870" i="48"/>
  <c r="Q775" i="48"/>
  <c r="Q589" i="48"/>
  <c r="Q369" i="48"/>
  <c r="Q177" i="48"/>
  <c r="Q321" i="48"/>
  <c r="Q700" i="48"/>
  <c r="Q204" i="48"/>
  <c r="Q207" i="48"/>
  <c r="Q633" i="48"/>
  <c r="Q326" i="48"/>
  <c r="Q220" i="48"/>
  <c r="Q248" i="48"/>
  <c r="Q375" i="48"/>
  <c r="Q596" i="48"/>
  <c r="Q347" i="48"/>
  <c r="Q500" i="48"/>
  <c r="Q194" i="48"/>
  <c r="Q604" i="48"/>
  <c r="Q236" i="48"/>
  <c r="Q488" i="48"/>
  <c r="Q534" i="48"/>
  <c r="Q437" i="48"/>
  <c r="Q412" i="48"/>
  <c r="Q659" i="48"/>
  <c r="Q621" i="48"/>
  <c r="Q726" i="48"/>
  <c r="Q187" i="48"/>
  <c r="Q875" i="48"/>
  <c r="Q356" i="48"/>
  <c r="Q208" i="48"/>
  <c r="Q397" i="48"/>
  <c r="Q602" i="48"/>
  <c r="Q183" i="48"/>
  <c r="Q837" i="48"/>
  <c r="Q227" i="48"/>
  <c r="Q546" i="48"/>
  <c r="Q671" i="48"/>
  <c r="Q371" i="48"/>
  <c r="Q189" i="48"/>
  <c r="Q266" i="48"/>
  <c r="Q813" i="48"/>
  <c r="Q155" i="48"/>
  <c r="Q588" i="48"/>
  <c r="Q450" i="48"/>
  <c r="Q303" i="48"/>
  <c r="Q618" i="48"/>
  <c r="Q335" i="48"/>
  <c r="Q425" i="48"/>
  <c r="Q649" i="48"/>
  <c r="Q566" i="48"/>
  <c r="Q484" i="48"/>
  <c r="Q444" i="48"/>
  <c r="Q296" i="48"/>
  <c r="Q879" i="48"/>
  <c r="Q405" i="48"/>
  <c r="Q571" i="48"/>
  <c r="Q680" i="48"/>
  <c r="Q494" i="48"/>
  <c r="Q277" i="48"/>
  <c r="Q650" i="48"/>
  <c r="Q764" i="48"/>
  <c r="Q812" i="48"/>
  <c r="Q364" i="48"/>
  <c r="Q426" i="48"/>
  <c r="Q601" i="48"/>
  <c r="Q533" i="48"/>
  <c r="Q430" i="48"/>
  <c r="Q622" i="48"/>
  <c r="Q150" i="48"/>
  <c r="Q263" i="48"/>
  <c r="Q219" i="48"/>
  <c r="Q681" i="48"/>
  <c r="Q748" i="48"/>
  <c r="Q545" i="48"/>
  <c r="Q253" i="48"/>
  <c r="Q820" i="48"/>
  <c r="Q612" i="48"/>
  <c r="Q863" i="48"/>
  <c r="Q492" i="48"/>
  <c r="Q441" i="48"/>
  <c r="Q809" i="48"/>
  <c r="Q199" i="48"/>
  <c r="Q407" i="48"/>
  <c r="Q866" i="48"/>
  <c r="Q312" i="48"/>
  <c r="Q689" i="48"/>
  <c r="Q540" i="48"/>
  <c r="Q346" i="48"/>
  <c r="Q180" i="48"/>
  <c r="Q394" i="48"/>
  <c r="Q333" i="48"/>
  <c r="Q796" i="48"/>
  <c r="Q146" i="48"/>
  <c r="Q746" i="48"/>
  <c r="Q390" i="48"/>
  <c r="Q616" i="48"/>
  <c r="Q311" i="48"/>
  <c r="Q741" i="48"/>
  <c r="Q213" i="48"/>
  <c r="Q590" i="48"/>
  <c r="Q851" i="48"/>
  <c r="Q330" i="48"/>
  <c r="Q320" i="48"/>
  <c r="Q542" i="48"/>
  <c r="Q759" i="48"/>
  <c r="Q401" i="48"/>
  <c r="Q465" i="48"/>
  <c r="Q644" i="48"/>
  <c r="Q391" i="48"/>
  <c r="Q164" i="48"/>
  <c r="Q757" i="48"/>
  <c r="Q159" i="48"/>
  <c r="Q366" i="48"/>
  <c r="Q825" i="48"/>
  <c r="Q815" i="48"/>
  <c r="Q395" i="48"/>
  <c r="Q175" i="48"/>
  <c r="Q634" i="48"/>
  <c r="Q573" i="48"/>
  <c r="Q480" i="48"/>
  <c r="Q725" i="48"/>
  <c r="Q434" i="48"/>
  <c r="Q225" i="48"/>
  <c r="Q697" i="48"/>
  <c r="Q535" i="48"/>
  <c r="Q877" i="48"/>
  <c r="Q735" i="48"/>
  <c r="Q847" i="48"/>
  <c r="Q599" i="48"/>
  <c r="Q832" i="48"/>
  <c r="Q176" i="48"/>
  <c r="Q696" i="48"/>
  <c r="Q462" i="48"/>
  <c r="Q574" i="48"/>
  <c r="Q406" i="48"/>
  <c r="Q490" i="48"/>
  <c r="Q859" i="48"/>
  <c r="Q865" i="48"/>
  <c r="Q636" i="48"/>
  <c r="Q880" i="48"/>
  <c r="Q751" i="48"/>
  <c r="Q439" i="48"/>
  <c r="Q427" i="48"/>
  <c r="Q393" i="48"/>
  <c r="Q594" i="48"/>
  <c r="Q514" i="48"/>
  <c r="Q135" i="48"/>
  <c r="Q617" i="48"/>
  <c r="Q836" i="48"/>
  <c r="Q786" i="48"/>
  <c r="Q475" i="48"/>
  <c r="Q844" i="48"/>
  <c r="Q234" i="48"/>
  <c r="Q625" i="48"/>
  <c r="Q699" i="48"/>
  <c r="Q754" i="48"/>
  <c r="Q141" i="48"/>
  <c r="Q883" i="48"/>
  <c r="Q830" i="48"/>
  <c r="Q864" i="48"/>
  <c r="Q281" i="48"/>
  <c r="Q833" i="48"/>
  <c r="Q446" i="48"/>
  <c r="Q835" i="48"/>
  <c r="Q789" i="48"/>
  <c r="Q211" i="48"/>
  <c r="Q603" i="48"/>
  <c r="Q605" i="48"/>
  <c r="Q641" i="48"/>
  <c r="Q637" i="48"/>
  <c r="Q280" i="48"/>
  <c r="Q718" i="48"/>
  <c r="Q172" i="48"/>
  <c r="Q324" i="48"/>
  <c r="Q828" i="48"/>
  <c r="Q515" i="48"/>
  <c r="Q834" i="48"/>
  <c r="Q498" i="48"/>
  <c r="Q736" i="48"/>
  <c r="Q653" i="48"/>
  <c r="Q272" i="48"/>
  <c r="Q555" i="48"/>
  <c r="Q466" i="48"/>
  <c r="Q541" i="48"/>
  <c r="Q433" i="48"/>
  <c r="Q396" i="48"/>
  <c r="Q230" i="48"/>
  <c r="Q584" i="48"/>
  <c r="Q668" i="48"/>
  <c r="Q682" i="48"/>
  <c r="Q565" i="48"/>
  <c r="Q418" i="48"/>
  <c r="Q692" i="48"/>
  <c r="Q530" i="48"/>
  <c r="Q629" i="48"/>
  <c r="Q428" i="48"/>
  <c r="Q454" i="48"/>
  <c r="Q792" i="48"/>
  <c r="Q271" i="48"/>
  <c r="Q563" i="48"/>
  <c r="Q348" i="48"/>
  <c r="Q344" i="48"/>
  <c r="Q728" i="48"/>
  <c r="Q451" i="48"/>
  <c r="Q554" i="48"/>
  <c r="Q744" i="48"/>
  <c r="Q732" i="48"/>
  <c r="Q157" i="48"/>
  <c r="Y29" i="48" s="1"/>
  <c r="Q363" i="48"/>
  <c r="Q868" i="48"/>
  <c r="Q690" i="48"/>
  <c r="Q352" i="48"/>
  <c r="Q420" i="48"/>
  <c r="Q808" i="48"/>
  <c r="Q577" i="48"/>
  <c r="Q257" i="48"/>
  <c r="Q493" i="48"/>
  <c r="Q138" i="48"/>
  <c r="Q628" i="48"/>
  <c r="Q763" i="48"/>
  <c r="Q273" i="48"/>
  <c r="Q287" i="48"/>
  <c r="Q497" i="48"/>
  <c r="Q178" i="48"/>
  <c r="Q679" i="48"/>
  <c r="Q275" i="48"/>
  <c r="Q756" i="48"/>
  <c r="Q501" i="48"/>
  <c r="Q362" i="48"/>
  <c r="Q246" i="48"/>
  <c r="Q365" i="48"/>
  <c r="Q569" i="48"/>
  <c r="Q766" i="48"/>
  <c r="Q860" i="48"/>
  <c r="Q259" i="48"/>
  <c r="Q474" i="48"/>
  <c r="Q873" i="48"/>
  <c r="Q885" i="48"/>
  <c r="Q661" i="48"/>
  <c r="Q731" i="48"/>
  <c r="Q429" i="48"/>
  <c r="Q631" i="48"/>
  <c r="Q520" i="48"/>
  <c r="Q282" i="48"/>
  <c r="Q706" i="48"/>
  <c r="Q802" i="48"/>
  <c r="Q896" i="48"/>
  <c r="Q892" i="48"/>
  <c r="Q399" i="48"/>
  <c r="Q509" i="48"/>
  <c r="Q239" i="48"/>
  <c r="Q148" i="48"/>
  <c r="Q243" i="48"/>
  <c r="Q374" i="48"/>
  <c r="Q785" i="48"/>
  <c r="Q567" i="48"/>
  <c r="Q903" i="48"/>
  <c r="Q652" i="48"/>
  <c r="Q458" i="48"/>
  <c r="Q769" i="48"/>
  <c r="Q570" i="48"/>
  <c r="Q856" i="48"/>
  <c r="Q334" i="48"/>
  <c r="Q626" i="48"/>
  <c r="Q658" i="48"/>
  <c r="Q331" i="48"/>
  <c r="Q761" i="48"/>
  <c r="Q241" i="48"/>
  <c r="Q192" i="48"/>
  <c r="Q237" i="48"/>
  <c r="Q787" i="48"/>
  <c r="Q422" i="48"/>
  <c r="Q149" i="48"/>
  <c r="Q182" i="48"/>
  <c r="Q663" i="48"/>
  <c r="Q486" i="48"/>
  <c r="Q386" i="48"/>
  <c r="Q278" i="48"/>
  <c r="Q481" i="48"/>
  <c r="Q173" i="48"/>
  <c r="Q469" i="48"/>
  <c r="Q600" i="48"/>
  <c r="Q212" i="48"/>
  <c r="Q657" i="48"/>
  <c r="Q383" i="48"/>
  <c r="Q895" i="48"/>
  <c r="Q557" i="48"/>
  <c r="Q319" i="48"/>
  <c r="Q377" i="48"/>
  <c r="Q676" i="48"/>
  <c r="Q647" i="48"/>
  <c r="Q576" i="48"/>
  <c r="Q771" i="48"/>
  <c r="Q508" i="48"/>
  <c r="Q453" i="48"/>
  <c r="Q372" i="48"/>
  <c r="Q410" i="48"/>
  <c r="Q587" i="48"/>
  <c r="Q431" i="48"/>
  <c r="Q711" i="48"/>
  <c r="Q232" i="48"/>
  <c r="Q884" i="48"/>
  <c r="Q144" i="48"/>
  <c r="Q255" i="48"/>
  <c r="Q842" i="48"/>
  <c r="Q279" i="48"/>
  <c r="Q591" i="48"/>
  <c r="Q635" i="48"/>
  <c r="Q218" i="48"/>
  <c r="Q632" i="48"/>
  <c r="Q251" i="48"/>
  <c r="Q801" i="48"/>
  <c r="Q341" i="48"/>
  <c r="Q171" i="48"/>
  <c r="Q322" i="48"/>
  <c r="Q361" i="48"/>
  <c r="Q302" i="48"/>
  <c r="Q645" i="48"/>
  <c r="Q413" i="48"/>
  <c r="Q749" i="48"/>
  <c r="Q767" i="48"/>
  <c r="Q597" i="48"/>
  <c r="Q742" i="48"/>
  <c r="Q575" i="48"/>
  <c r="Q491" i="48"/>
  <c r="Q582" i="48"/>
  <c r="Q329" i="48"/>
  <c r="Q145" i="48"/>
  <c r="Q722" i="48"/>
  <c r="Q203" i="48"/>
  <c r="Q309" i="48"/>
  <c r="Q762" i="48"/>
  <c r="Q310" i="48"/>
  <c r="Q522" i="48"/>
  <c r="Q861" i="48"/>
  <c r="Q170" i="48"/>
  <c r="Q673" i="48"/>
  <c r="Q421" i="48"/>
  <c r="Q627" i="48"/>
  <c r="Q217" i="48"/>
  <c r="Q670" i="48"/>
  <c r="Q623" i="48"/>
  <c r="Q256" i="48"/>
  <c r="Q154" i="48"/>
  <c r="Q667" i="48"/>
  <c r="Q562" i="48"/>
  <c r="Q197" i="48"/>
  <c r="Q162" i="48"/>
  <c r="Q678" i="48"/>
  <c r="Q664" i="48"/>
  <c r="Q223" i="48"/>
  <c r="Q715" i="48"/>
  <c r="Q382" i="48"/>
  <c r="Q782" i="48"/>
  <c r="Q646" i="48"/>
  <c r="Q244" i="48"/>
  <c r="Q899" i="48"/>
  <c r="Q705" i="48"/>
  <c r="Q293" i="48"/>
  <c r="Q181" i="48"/>
  <c r="Q642" i="48"/>
  <c r="Q611" i="48"/>
  <c r="Q201" i="48"/>
  <c r="Q190" i="48"/>
  <c r="Q222" i="48"/>
  <c r="Q165" i="48"/>
  <c r="Q719" i="48"/>
  <c r="Q205" i="48"/>
  <c r="Q185" i="48"/>
  <c r="Q539" i="48"/>
  <c r="Q531" i="48"/>
  <c r="Q206" i="48"/>
  <c r="Q656" i="48"/>
  <c r="Q358" i="48"/>
  <c r="Q152" i="48"/>
  <c r="Q504" i="48"/>
  <c r="Q889" i="48"/>
  <c r="Q414" i="48"/>
  <c r="Q161" i="48"/>
  <c r="Q677" i="48"/>
  <c r="Q354" i="48"/>
  <c r="Q265" i="48"/>
  <c r="Q449" i="48"/>
  <c r="Q791" i="48"/>
  <c r="Q586" i="48"/>
  <c r="Q857" i="48"/>
  <c r="Q136" i="48"/>
  <c r="Q300" i="48"/>
  <c r="Q695" i="48"/>
  <c r="Q151" i="48"/>
  <c r="Q359" i="48"/>
  <c r="Q445" i="48"/>
  <c r="Q315" i="48"/>
  <c r="Q318" i="48"/>
  <c r="Q511" i="48"/>
  <c r="Q794" i="48"/>
  <c r="Q620" i="48"/>
  <c r="Q640" i="48"/>
  <c r="Q470" i="48"/>
  <c r="Q838" i="48"/>
  <c r="Q843" i="48"/>
  <c r="Q502" i="48"/>
  <c r="Q613" i="48"/>
  <c r="Q876" i="48"/>
  <c r="Q897" i="48"/>
  <c r="Q747" i="48"/>
  <c r="Q848" i="48"/>
  <c r="Q774" i="48"/>
  <c r="Q790" i="48"/>
  <c r="Q463" i="48"/>
  <c r="Q526" i="48"/>
  <c r="Q839" i="48"/>
  <c r="Q313" i="48"/>
  <c r="Q750" i="48"/>
  <c r="Q804" i="48"/>
  <c r="Q510" i="48"/>
  <c r="Q387" i="48"/>
  <c r="Q743" i="48"/>
  <c r="Q708" i="48"/>
  <c r="Q755" i="48"/>
  <c r="Q158" i="48"/>
  <c r="Q887" i="48"/>
  <c r="Q770" i="48"/>
  <c r="Q503" i="48"/>
  <c r="Q537" i="48"/>
  <c r="Q202" i="48"/>
  <c r="Q379" i="48"/>
  <c r="Q432" i="48"/>
  <c r="Q261" i="48"/>
  <c r="Q547" i="48"/>
  <c r="Q351" i="48"/>
  <c r="Q854" i="48"/>
  <c r="Q448" i="48"/>
  <c r="Q674" i="48"/>
  <c r="Q314" i="48"/>
  <c r="Q460" i="48"/>
  <c r="Q416" i="48"/>
  <c r="Q283" i="48"/>
  <c r="Q578" i="48"/>
  <c r="Q723" i="48"/>
  <c r="Q304" i="48"/>
  <c r="Q435" i="48"/>
  <c r="Q512" i="48"/>
  <c r="Q518" i="48"/>
  <c r="Q168" i="48"/>
  <c r="Q669" i="48"/>
  <c r="Q457" i="48"/>
  <c r="Q340" i="48"/>
  <c r="Q712" i="48"/>
  <c r="Q506" i="48"/>
  <c r="Q536" i="48"/>
  <c r="Q476" i="48"/>
  <c r="Q745" i="48"/>
  <c r="Q878" i="48"/>
  <c r="Q727" i="48"/>
  <c r="Q264" i="48"/>
  <c r="Q691" i="48"/>
  <c r="Q529" i="48"/>
  <c r="Q233" i="48"/>
  <c r="Q862" i="48"/>
  <c r="Q765" i="48"/>
  <c r="Q822" i="48"/>
  <c r="Q403" i="48"/>
  <c r="Q516" i="48"/>
  <c r="Q317" i="48"/>
  <c r="Q240" i="48"/>
  <c r="Q827" i="48"/>
  <c r="Q737" i="48"/>
  <c r="Q777" i="48"/>
  <c r="Q850" i="48"/>
  <c r="Q776" i="48"/>
  <c r="Q193" i="48"/>
  <c r="Q598" i="48"/>
  <c r="Q869" i="48"/>
  <c r="Q196" i="48"/>
  <c r="Q163" i="48"/>
  <c r="Q447" i="48"/>
  <c r="Q585" i="48"/>
  <c r="Q398" i="48"/>
  <c r="Q687" i="48"/>
  <c r="Q188" i="48"/>
  <c r="Q198" i="48"/>
  <c r="Q768" i="48"/>
  <c r="Q306" i="48"/>
  <c r="Q404" i="48"/>
  <c r="Q816" i="48"/>
  <c r="Q572" i="48"/>
  <c r="Q831" i="48"/>
  <c r="Q773" i="48"/>
  <c r="Q672" i="48"/>
  <c r="Q294" i="48"/>
  <c r="Q583" i="48"/>
  <c r="Q760" i="48"/>
  <c r="Q874" i="48"/>
  <c r="Q781" i="48"/>
  <c r="Q855" i="48"/>
  <c r="Q276" i="48"/>
  <c r="Q270" i="48"/>
  <c r="Q553" i="48"/>
  <c r="Q560" i="48"/>
  <c r="Q338" i="48"/>
  <c r="Q487" i="48"/>
  <c r="Q392" i="48"/>
  <c r="Q630" i="48"/>
  <c r="Q378" i="48"/>
  <c r="Q752" i="48"/>
  <c r="Q298" i="48"/>
  <c r="Q639" i="48"/>
  <c r="Q803" i="48"/>
  <c r="Q900" i="48"/>
  <c r="Q325" i="48"/>
  <c r="Q260" i="48"/>
  <c r="Q238" i="48"/>
  <c r="Q381" i="48"/>
  <c r="Q353" i="48"/>
  <c r="Q701" i="48"/>
  <c r="Q471" i="48"/>
  <c r="Q440" i="48"/>
  <c r="Q713" i="48"/>
  <c r="Q350" i="48"/>
  <c r="Q376" i="48"/>
  <c r="Q824" i="48"/>
  <c r="Q179" i="48"/>
  <c r="Q142" i="48"/>
  <c r="Q818" i="48"/>
  <c r="Q436" i="48"/>
  <c r="Q780" i="48"/>
  <c r="Q360" i="48"/>
  <c r="Q651" i="48"/>
  <c r="Q186" i="48"/>
  <c r="Q685" i="48"/>
  <c r="Q160" i="48"/>
  <c r="Q893" i="48"/>
  <c r="Q688" i="48"/>
  <c r="Q482" i="48"/>
  <c r="Q607" i="48"/>
  <c r="Q442" i="48"/>
  <c r="Q245" i="48"/>
  <c r="Q738" i="48"/>
  <c r="Q485" i="48"/>
  <c r="Q564" i="48"/>
  <c r="Q143" i="48"/>
  <c r="Q483" i="48"/>
  <c r="Q226" i="48"/>
  <c r="Q734" i="48"/>
  <c r="Q817" i="48"/>
  <c r="Q702" i="48"/>
  <c r="Q558" i="48"/>
  <c r="Q660" i="48"/>
  <c r="Q288" i="48"/>
  <c r="Q357" i="48"/>
  <c r="Q519" i="48"/>
  <c r="Q881" i="48"/>
  <c r="Q452" i="48"/>
  <c r="Q904" i="48"/>
  <c r="Q552" i="48"/>
  <c r="Q894" i="48"/>
  <c r="Q496" i="48"/>
  <c r="Q710" i="48"/>
  <c r="Q805" i="48"/>
  <c r="Q419" i="48"/>
  <c r="Q666" i="48"/>
  <c r="Q140" i="48"/>
  <c r="Q468" i="48"/>
  <c r="Q267" i="48"/>
  <c r="Q758" i="48"/>
  <c r="Q841" i="48"/>
  <c r="Q665" i="48"/>
  <c r="Q389" i="48"/>
  <c r="Q505" i="48"/>
  <c r="Q345" i="48"/>
  <c r="Q479" i="48"/>
  <c r="Q166" i="48"/>
  <c r="Q548" i="48"/>
  <c r="Q368" i="48"/>
  <c r="Q355" i="48"/>
  <c r="Q417" i="48"/>
  <c r="Q551" i="48"/>
  <c r="Q521" i="48"/>
  <c r="Q367" i="48"/>
  <c r="Q286" i="48"/>
  <c r="Q299" i="48"/>
  <c r="Q753" i="48"/>
  <c r="Q456" i="48"/>
  <c r="Q609" i="48"/>
  <c r="Q308" i="48"/>
  <c r="Q252" i="48"/>
  <c r="Q846" i="48"/>
  <c r="Q229" i="48"/>
  <c r="Q478" i="48"/>
  <c r="Q845" i="48"/>
  <c r="Q370" i="48"/>
  <c r="Q799" i="48"/>
  <c r="Q289" i="48"/>
  <c r="Q714" i="48"/>
  <c r="Q337" i="48"/>
  <c r="Q655" i="48"/>
  <c r="Q528" i="48"/>
  <c r="Q167" i="48"/>
  <c r="Q638" i="48"/>
  <c r="Q438" i="48"/>
  <c r="Q544" i="48"/>
  <c r="Q274" i="48"/>
  <c r="Q258" i="48"/>
  <c r="Q292" i="48"/>
  <c r="Q216" i="48"/>
  <c r="Q538" i="48"/>
  <c r="Q614" i="48"/>
  <c r="Q532" i="48"/>
  <c r="Q214" i="48"/>
  <c r="Q323" i="48"/>
  <c r="Q495" i="48"/>
  <c r="Q807" i="48"/>
  <c r="Q349" i="48"/>
  <c r="Q415" i="48"/>
  <c r="Q720" i="48"/>
  <c r="Q891" i="48"/>
  <c r="Q254" i="48"/>
  <c r="Q301" i="48"/>
  <c r="Q339" i="48"/>
  <c r="Q467" i="48"/>
  <c r="Q561" i="48"/>
  <c r="Q174" i="48"/>
  <c r="Q579" i="48"/>
  <c r="Q200" i="48"/>
  <c r="Q783" i="48"/>
  <c r="Q235" i="48"/>
  <c r="Q550" i="48"/>
  <c r="Q524" i="48"/>
  <c r="Q549" i="48"/>
  <c r="Q615" i="48"/>
  <c r="Q694" i="48"/>
  <c r="Q703" i="48"/>
  <c r="Q525" i="48"/>
  <c r="Q543" i="48"/>
  <c r="Q224" i="48"/>
  <c r="Q477" i="48"/>
  <c r="Q709" i="48"/>
  <c r="Q619" i="48"/>
  <c r="Q388" i="48"/>
  <c r="Q268" i="48"/>
  <c r="Q707" i="48"/>
  <c r="Q527" i="48"/>
  <c r="Q683" i="48"/>
  <c r="Q139" i="48"/>
  <c r="Q473" i="48"/>
  <c r="Q297" i="48"/>
  <c r="Q559" i="48"/>
  <c r="Q778" i="48"/>
  <c r="Q242" i="48"/>
  <c r="Q624" i="48"/>
  <c r="Q316" i="48"/>
  <c r="Q191" i="48"/>
  <c r="Q332" i="48"/>
  <c r="Q209" i="48"/>
  <c r="Q872" i="48"/>
  <c r="Q793" i="48"/>
  <c r="Q137" i="48"/>
  <c r="Q784" i="48"/>
  <c r="Q380" i="48"/>
  <c r="Q730" i="48"/>
  <c r="Q461" i="48"/>
  <c r="Q867" i="48"/>
  <c r="Y31" i="48"/>
  <c r="Y38" i="48"/>
  <c r="U41" i="48"/>
  <c r="F7" i="57" s="1"/>
  <c r="B56" i="57" s="1"/>
  <c r="B44" i="57" l="1"/>
  <c r="B46" i="57" s="1"/>
  <c r="B32" i="57"/>
  <c r="B34" i="57" s="1"/>
  <c r="B20" i="57"/>
  <c r="B22" i="57" s="1"/>
  <c r="B8" i="57"/>
  <c r="Y40" i="48"/>
  <c r="Y16" i="48"/>
  <c r="Y28" i="48"/>
  <c r="Y17" i="48"/>
  <c r="Y20" i="48"/>
  <c r="Y10" i="48"/>
  <c r="Y27" i="48"/>
  <c r="Y19" i="48"/>
  <c r="Y36" i="48"/>
  <c r="Y32" i="48"/>
  <c r="Y23" i="48"/>
  <c r="Y35" i="48"/>
  <c r="Y9" i="48"/>
  <c r="Y8" i="48"/>
  <c r="Y34" i="48"/>
  <c r="Y37" i="48"/>
  <c r="Y12" i="48"/>
  <c r="Y33" i="48"/>
  <c r="Y11" i="48"/>
  <c r="Y30" i="48"/>
  <c r="Y22" i="48"/>
  <c r="Y26" i="48"/>
  <c r="Y6" i="48"/>
  <c r="Y14" i="48"/>
  <c r="Y25" i="48"/>
  <c r="Y15" i="48"/>
  <c r="Y21" i="48"/>
  <c r="Y13" i="48"/>
  <c r="Y5" i="48"/>
  <c r="Y24" i="48"/>
  <c r="Y18" i="48"/>
  <c r="Y39" i="48"/>
  <c r="C11" i="2"/>
  <c r="B10" i="57"/>
  <c r="G10" i="2"/>
  <c r="C45" i="2"/>
  <c r="C46" i="2" s="1"/>
  <c r="C47" i="2" s="1"/>
  <c r="C41" i="2" s="1"/>
  <c r="E24" i="2" s="1"/>
  <c r="C32" i="2"/>
  <c r="Y41" i="48" l="1"/>
  <c r="G11" i="2"/>
  <c r="G12" i="2" s="1"/>
  <c r="B58" i="57"/>
  <c r="C12" i="2"/>
  <c r="D12" i="2" s="1"/>
  <c r="D32" i="2"/>
  <c r="D35" i="2" s="1"/>
  <c r="D36" i="2" s="1"/>
  <c r="D42" i="2"/>
  <c r="D45" i="2" s="1"/>
  <c r="D46" i="2" s="1"/>
  <c r="C35" i="2"/>
  <c r="C36" i="2" s="1"/>
  <c r="C37" i="2" l="1"/>
  <c r="C31" i="2" s="1"/>
  <c r="D24" i="2" s="1"/>
  <c r="D47" i="2"/>
  <c r="D41" i="2" s="1"/>
  <c r="E25" i="2" s="1"/>
  <c r="D37" i="2"/>
  <c r="D31" i="2" s="1"/>
  <c r="D25" i="2" s="1"/>
  <c r="I25" i="2" l="1"/>
  <c r="M187" i="48" s="1"/>
  <c r="H24" i="2"/>
  <c r="I24" i="2"/>
  <c r="M476" i="48"/>
  <c r="M558" i="48"/>
  <c r="M635" i="48"/>
  <c r="M848" i="48"/>
  <c r="M372" i="48"/>
  <c r="M350" i="48"/>
  <c r="M306" i="48"/>
  <c r="M516" i="48"/>
  <c r="M292" i="48"/>
  <c r="M862" i="48"/>
  <c r="M753" i="48"/>
  <c r="M874" i="48"/>
  <c r="M409" i="48"/>
  <c r="M590" i="48"/>
  <c r="M755" i="48"/>
  <c r="M866" i="48"/>
  <c r="M593" i="48"/>
  <c r="M757" i="48"/>
  <c r="M437" i="48"/>
  <c r="M624" i="48"/>
  <c r="M777" i="48"/>
  <c r="M179" i="48"/>
  <c r="M756" i="48"/>
  <c r="M338" i="48"/>
  <c r="M413" i="48"/>
  <c r="M477" i="48"/>
  <c r="M228" i="48"/>
  <c r="M484" i="48"/>
  <c r="M813" i="48"/>
  <c r="M488" i="48"/>
  <c r="M555" i="48"/>
  <c r="M735" i="48"/>
  <c r="M860" i="48"/>
  <c r="M190" i="48"/>
  <c r="M583" i="48"/>
  <c r="M354" i="48"/>
  <c r="M546" i="48"/>
  <c r="M403" i="48"/>
  <c r="M294" i="48"/>
  <c r="M308" i="48"/>
  <c r="M344" i="48"/>
  <c r="M327" i="48"/>
  <c r="M422" i="48"/>
  <c r="M611" i="48"/>
  <c r="M769" i="48"/>
  <c r="M397" i="48"/>
  <c r="M579" i="48"/>
  <c r="M748" i="48"/>
  <c r="M771" i="48"/>
  <c r="M883" i="48"/>
  <c r="M582" i="48"/>
  <c r="M750" i="48"/>
  <c r="M332" i="48"/>
  <c r="M618" i="48"/>
  <c r="M447" i="48"/>
  <c r="M198" i="48"/>
  <c r="M613" i="48"/>
  <c r="M349" i="48"/>
  <c r="M458" i="48"/>
  <c r="M648" i="48"/>
  <c r="M273" i="48"/>
  <c r="M160" i="48"/>
  <c r="M450" i="48"/>
  <c r="M201" i="48"/>
  <c r="M616" i="48"/>
  <c r="M772" i="48"/>
  <c r="M651" i="48"/>
  <c r="M795" i="48"/>
  <c r="M895" i="48"/>
  <c r="M148" i="48"/>
  <c r="M598" i="48"/>
  <c r="M226" i="48"/>
  <c r="M502" i="48"/>
  <c r="M250" i="48"/>
  <c r="M669" i="48"/>
  <c r="M806" i="48"/>
  <c r="M381" i="48"/>
  <c r="M511" i="48"/>
  <c r="M513" i="48"/>
  <c r="M289" i="48"/>
  <c r="M141" i="48"/>
  <c r="M319" i="48"/>
  <c r="M728" i="48"/>
  <c r="M856" i="48"/>
  <c r="M751" i="48"/>
  <c r="M873" i="48"/>
  <c r="M333" i="48"/>
  <c r="M671" i="48"/>
  <c r="M352" i="48"/>
  <c r="M493" i="48"/>
  <c r="M549" i="48"/>
  <c r="M800" i="48"/>
  <c r="M711" i="48"/>
  <c r="M463" i="48"/>
  <c r="M394" i="48"/>
  <c r="M318" i="48"/>
  <c r="M359" i="48"/>
  <c r="M634" i="48"/>
  <c r="M596" i="48"/>
  <c r="M503" i="48"/>
  <c r="M168" i="48"/>
  <c r="M768" i="48"/>
  <c r="M346" i="48"/>
  <c r="M143" i="48"/>
  <c r="M434" i="48"/>
  <c r="M186" i="48"/>
  <c r="M601" i="48"/>
  <c r="M762" i="48"/>
  <c r="M636" i="48"/>
  <c r="M785" i="48"/>
  <c r="M890" i="48"/>
  <c r="M348" i="48"/>
  <c r="M146" i="48"/>
  <c r="M436" i="48"/>
  <c r="M764" i="48"/>
  <c r="M345" i="48"/>
  <c r="M449" i="48"/>
  <c r="M639" i="48"/>
  <c r="M787" i="48"/>
  <c r="M891" i="48"/>
  <c r="M766" i="48"/>
  <c r="M347" i="48"/>
  <c r="M452" i="48"/>
  <c r="M642" i="48"/>
  <c r="M789" i="48"/>
  <c r="M892" i="48"/>
  <c r="M222" i="48"/>
  <c r="M638" i="48"/>
  <c r="M786" i="48"/>
  <c r="M364" i="48"/>
  <c r="M482" i="48"/>
  <c r="M673" i="48"/>
  <c r="M809" i="48"/>
  <c r="M902" i="48"/>
  <c r="M339" i="48"/>
  <c r="M185" i="48"/>
  <c r="M474" i="48"/>
  <c r="M225" i="48"/>
  <c r="M641" i="48"/>
  <c r="M788" i="48"/>
  <c r="M366" i="48"/>
  <c r="M487" i="48"/>
  <c r="M675" i="48"/>
  <c r="M811" i="48"/>
  <c r="M903" i="48"/>
  <c r="M199" i="48"/>
  <c r="M619" i="48"/>
  <c r="M251" i="48"/>
  <c r="M460" i="48"/>
  <c r="M236" i="48"/>
  <c r="M526" i="48"/>
  <c r="M271" i="48"/>
  <c r="M693" i="48"/>
  <c r="M822" i="48"/>
  <c r="M389" i="48"/>
  <c r="M533" i="48"/>
  <c r="M717" i="48"/>
  <c r="M845" i="48"/>
  <c r="M538" i="48"/>
  <c r="M316" i="48"/>
  <c r="M161" i="48"/>
  <c r="M573" i="48"/>
  <c r="M744" i="48"/>
  <c r="M328" i="48"/>
  <c r="M420" i="48"/>
  <c r="M608" i="48"/>
  <c r="M767" i="48"/>
  <c r="M881" i="48"/>
  <c r="M149" i="48"/>
  <c r="M695" i="48"/>
  <c r="M523" i="48"/>
  <c r="M628" i="48"/>
  <c r="M288" i="48"/>
  <c r="M304" i="48"/>
  <c r="M334" i="48"/>
  <c r="M727" i="48"/>
  <c r="M539" i="48"/>
  <c r="M433" i="48"/>
  <c r="M376" i="48"/>
  <c r="M173" i="48"/>
  <c r="M522" i="48"/>
  <c r="M155" i="48"/>
  <c r="M217" i="48"/>
  <c r="M243" i="48"/>
  <c r="M592" i="48"/>
  <c r="M528" i="48"/>
  <c r="M335" i="48"/>
  <c r="M577" i="48"/>
  <c r="M205" i="48"/>
  <c r="M416" i="48"/>
  <c r="M367" i="48"/>
  <c r="M169" i="48"/>
  <c r="M459" i="48"/>
  <c r="M210" i="48"/>
  <c r="M626" i="48"/>
  <c r="M778" i="48"/>
  <c r="M357" i="48"/>
  <c r="M470" i="48"/>
  <c r="M661" i="48"/>
  <c r="M801" i="48"/>
  <c r="M898" i="48"/>
  <c r="M369" i="48"/>
  <c r="M172" i="48"/>
  <c r="M462" i="48"/>
  <c r="M213" i="48"/>
  <c r="M629" i="48"/>
  <c r="M780" i="48"/>
  <c r="M358" i="48"/>
  <c r="M473" i="48"/>
  <c r="M664" i="48"/>
  <c r="M803" i="48"/>
  <c r="M899" i="48"/>
  <c r="M216" i="48"/>
  <c r="M632" i="48"/>
  <c r="M782" i="48"/>
  <c r="M360" i="48"/>
  <c r="M475" i="48"/>
  <c r="M667" i="48"/>
  <c r="M805" i="48"/>
  <c r="M900" i="48"/>
  <c r="M885" i="48"/>
  <c r="M496" i="48"/>
  <c r="M244" i="48"/>
  <c r="M663" i="48"/>
  <c r="M802" i="48"/>
  <c r="M379" i="48"/>
  <c r="M504" i="48"/>
  <c r="M697" i="48"/>
  <c r="M825" i="48"/>
  <c r="M255" i="48"/>
  <c r="M378" i="48"/>
  <c r="M209" i="48"/>
  <c r="M499" i="48"/>
  <c r="M247" i="48"/>
  <c r="M666" i="48"/>
  <c r="M804" i="48"/>
  <c r="M380" i="48"/>
  <c r="M507" i="48"/>
  <c r="M699" i="48"/>
  <c r="M827" i="48"/>
  <c r="M181" i="48"/>
  <c r="M248" i="48"/>
  <c r="M643" i="48"/>
  <c r="M276" i="48"/>
  <c r="M485" i="48"/>
  <c r="M261" i="48"/>
  <c r="M550" i="48"/>
  <c r="M296" i="48"/>
  <c r="M710" i="48"/>
  <c r="M838" i="48"/>
  <c r="M398" i="48"/>
  <c r="M560" i="48"/>
  <c r="M733" i="48"/>
  <c r="M859" i="48"/>
  <c r="M140" i="48"/>
  <c r="M431" i="48"/>
  <c r="M183" i="48"/>
  <c r="M597" i="48"/>
  <c r="M761" i="48"/>
  <c r="M340" i="48"/>
  <c r="M446" i="48"/>
  <c r="M633" i="48"/>
  <c r="M783" i="48"/>
  <c r="M889" i="48"/>
  <c r="M414" i="48"/>
  <c r="M159" i="48"/>
  <c r="M272" i="48"/>
  <c r="M652" i="48"/>
  <c r="M472" i="48"/>
  <c r="M386" i="48"/>
  <c r="M743" i="48"/>
  <c r="M612" i="48"/>
  <c r="M219" i="48"/>
  <c r="M501" i="48"/>
  <c r="M454" i="48"/>
  <c r="M656" i="48"/>
  <c r="M287" i="48"/>
  <c r="M645" i="48"/>
  <c r="M654" i="48"/>
  <c r="M374" i="48"/>
  <c r="M610" i="48"/>
  <c r="M659" i="48"/>
  <c r="M677" i="48"/>
  <c r="M525" i="48"/>
  <c r="M600" i="48"/>
  <c r="M229" i="48"/>
  <c r="M438" i="48"/>
  <c r="M419" i="48"/>
  <c r="M194" i="48"/>
  <c r="M483" i="48"/>
  <c r="M234" i="48"/>
  <c r="M650" i="48"/>
  <c r="M794" i="48"/>
  <c r="M371" i="48"/>
  <c r="M492" i="48"/>
  <c r="M685" i="48"/>
  <c r="M817" i="48"/>
  <c r="M211" i="48"/>
  <c r="M423" i="48"/>
  <c r="M197" i="48"/>
  <c r="M486" i="48"/>
  <c r="M237" i="48"/>
  <c r="M655" i="48"/>
  <c r="M796" i="48"/>
  <c r="M373" i="48"/>
  <c r="M495" i="48"/>
  <c r="M688" i="48"/>
  <c r="M819" i="48"/>
  <c r="M240" i="48"/>
  <c r="M657" i="48"/>
  <c r="M798" i="48"/>
  <c r="M375" i="48"/>
  <c r="M498" i="48"/>
  <c r="M691" i="48"/>
  <c r="M821" i="48"/>
  <c r="M790" i="48"/>
  <c r="M893" i="48"/>
  <c r="M521" i="48"/>
  <c r="M268" i="48"/>
  <c r="M687" i="48"/>
  <c r="M818" i="48"/>
  <c r="M387" i="48"/>
  <c r="M527" i="48"/>
  <c r="M713" i="48"/>
  <c r="M841" i="48"/>
  <c r="M570" i="48"/>
  <c r="M457" i="48"/>
  <c r="M233" i="48"/>
  <c r="M524" i="48"/>
  <c r="M274" i="48"/>
  <c r="M690" i="48"/>
  <c r="M820" i="48"/>
  <c r="M388" i="48"/>
  <c r="M530" i="48"/>
  <c r="M715" i="48"/>
  <c r="M843" i="48"/>
  <c r="M230" i="48"/>
  <c r="M298" i="48"/>
  <c r="M665" i="48"/>
  <c r="M301" i="48"/>
  <c r="M510" i="48"/>
  <c r="M286" i="48"/>
  <c r="M138" i="48"/>
  <c r="M317" i="48"/>
  <c r="M726" i="48"/>
  <c r="M854" i="48"/>
  <c r="M406" i="48"/>
  <c r="M581" i="48"/>
  <c r="M749" i="48"/>
  <c r="M872" i="48"/>
  <c r="M166" i="48"/>
  <c r="M456" i="48"/>
  <c r="M207" i="48"/>
  <c r="M623" i="48"/>
  <c r="M776" i="48"/>
  <c r="M356" i="48"/>
  <c r="M467" i="48"/>
  <c r="M658" i="48"/>
  <c r="M799" i="48"/>
  <c r="M897" i="48"/>
  <c r="M142" i="48"/>
  <c r="M904" i="48"/>
  <c r="M208" i="48"/>
  <c r="M680" i="48"/>
  <c r="M684" i="48"/>
  <c r="M135" i="48"/>
  <c r="M514" i="48"/>
  <c r="M153" i="48"/>
  <c r="M548" i="48"/>
  <c r="M631" i="48"/>
  <c r="M426" i="48"/>
  <c r="M704" i="48"/>
  <c r="M617" i="48"/>
  <c r="M609" i="48"/>
  <c r="M451" i="48"/>
  <c r="M752" i="48"/>
  <c r="M637" i="48"/>
  <c r="M425" i="48"/>
  <c r="M277" i="48"/>
  <c r="M816" i="48"/>
  <c r="M245" i="48"/>
  <c r="M497" i="48"/>
  <c r="M646" i="48"/>
  <c r="M279" i="48"/>
  <c r="M257" i="48"/>
  <c r="M466" i="48"/>
  <c r="M242" i="48"/>
  <c r="M532" i="48"/>
  <c r="M278" i="48"/>
  <c r="M698" i="48"/>
  <c r="M826" i="48"/>
  <c r="M391" i="48"/>
  <c r="M537" i="48"/>
  <c r="M721" i="48"/>
  <c r="M849" i="48"/>
  <c r="M260" i="48"/>
  <c r="M469" i="48"/>
  <c r="M246" i="48"/>
  <c r="M536" i="48"/>
  <c r="M281" i="48"/>
  <c r="M700" i="48"/>
  <c r="M828" i="48"/>
  <c r="M392" i="48"/>
  <c r="M540" i="48"/>
  <c r="M723" i="48"/>
  <c r="M851" i="48"/>
  <c r="M284" i="48"/>
  <c r="M702" i="48"/>
  <c r="M830" i="48"/>
  <c r="M393" i="48"/>
  <c r="M543" i="48"/>
  <c r="M725" i="48"/>
  <c r="M852" i="48"/>
  <c r="M823" i="48"/>
  <c r="M206" i="48"/>
  <c r="M311" i="48"/>
  <c r="M722" i="48"/>
  <c r="M850" i="48"/>
  <c r="M404" i="48"/>
  <c r="M574" i="48"/>
  <c r="M745" i="48"/>
  <c r="M869" i="48"/>
  <c r="M662" i="48"/>
  <c r="M506" i="48"/>
  <c r="M283" i="48"/>
  <c r="M136" i="48"/>
  <c r="M314" i="48"/>
  <c r="M724" i="48"/>
  <c r="M853" i="48"/>
  <c r="M405" i="48"/>
  <c r="M578" i="48"/>
  <c r="M747" i="48"/>
  <c r="M871" i="48"/>
  <c r="M595" i="48"/>
  <c r="M361" i="48"/>
  <c r="M151" i="48"/>
  <c r="M342" i="48"/>
  <c r="M137" i="48"/>
  <c r="M427" i="48"/>
  <c r="M180" i="48"/>
  <c r="M594" i="48"/>
  <c r="M758" i="48"/>
  <c r="M341" i="48"/>
  <c r="M442" i="48"/>
  <c r="M630" i="48"/>
  <c r="M781" i="48"/>
  <c r="M888" i="48"/>
  <c r="M215" i="48"/>
  <c r="M505" i="48"/>
  <c r="M253" i="48"/>
  <c r="M672" i="48"/>
  <c r="M808" i="48"/>
  <c r="M382" i="48"/>
  <c r="M512" i="48"/>
  <c r="M703" i="48"/>
  <c r="M831" i="48"/>
  <c r="M315" i="48"/>
  <c r="M603" i="48"/>
  <c r="M232" i="48"/>
  <c r="M291" i="48"/>
  <c r="M580" i="48"/>
  <c r="M162" i="48"/>
  <c r="M589" i="48"/>
  <c r="M265" i="48"/>
  <c r="M572" i="48"/>
  <c r="M263" i="48"/>
  <c r="M177" i="48"/>
  <c r="M784" i="48"/>
  <c r="M683" i="48"/>
  <c r="M214" i="48"/>
  <c r="M203" i="48"/>
  <c r="M832" i="48"/>
  <c r="M145" i="48"/>
  <c r="M175" i="48"/>
  <c r="M517" i="48"/>
  <c r="M868" i="48"/>
  <c r="M337" i="48"/>
  <c r="M249" i="48"/>
  <c r="M668" i="48"/>
  <c r="M303" i="48"/>
  <c r="M282" i="48"/>
  <c r="M491" i="48"/>
  <c r="M267" i="48"/>
  <c r="M559" i="48"/>
  <c r="M300" i="48"/>
  <c r="M714" i="48"/>
  <c r="M842" i="48"/>
  <c r="M400" i="48"/>
  <c r="M562" i="48"/>
  <c r="M737" i="48"/>
  <c r="M861" i="48"/>
  <c r="M285" i="48"/>
  <c r="M494" i="48"/>
  <c r="M270" i="48"/>
  <c r="M302" i="48"/>
  <c r="M716" i="48"/>
  <c r="M844" i="48"/>
  <c r="M401" i="48"/>
  <c r="M565" i="48"/>
  <c r="M739" i="48"/>
  <c r="M863" i="48"/>
  <c r="M305" i="48"/>
  <c r="M718" i="48"/>
  <c r="M846" i="48"/>
  <c r="M402" i="48"/>
  <c r="M568" i="48"/>
  <c r="M741" i="48"/>
  <c r="M865" i="48"/>
  <c r="M839" i="48"/>
  <c r="M280" i="48"/>
  <c r="M158" i="48"/>
  <c r="M564" i="48"/>
  <c r="M738" i="48"/>
  <c r="M870" i="48"/>
  <c r="M412" i="48"/>
  <c r="M599" i="48"/>
  <c r="M760" i="48"/>
  <c r="M878" i="48"/>
  <c r="M174" i="48"/>
  <c r="M531" i="48"/>
  <c r="M310" i="48"/>
  <c r="M157" i="48"/>
  <c r="M567" i="48"/>
  <c r="M740" i="48"/>
  <c r="M323" i="48"/>
  <c r="M415" i="48"/>
  <c r="M602" i="48"/>
  <c r="M763" i="48"/>
  <c r="M879" i="48"/>
  <c r="M640" i="48"/>
  <c r="M432" i="48"/>
  <c r="M178" i="48"/>
  <c r="M363" i="48"/>
  <c r="M163" i="48"/>
  <c r="M453" i="48"/>
  <c r="M204" i="48"/>
  <c r="M620" i="48"/>
  <c r="M774" i="48"/>
  <c r="M355" i="48"/>
  <c r="M465" i="48"/>
  <c r="M653" i="48"/>
  <c r="M797" i="48"/>
  <c r="M896" i="48"/>
  <c r="M239" i="48"/>
  <c r="M529" i="48"/>
  <c r="M275" i="48"/>
  <c r="M696" i="48"/>
  <c r="M824" i="48"/>
  <c r="M390" i="48"/>
  <c r="M534" i="48"/>
  <c r="M719" i="48"/>
  <c r="M847" i="48"/>
  <c r="M479" i="48"/>
  <c r="M569" i="48"/>
  <c r="M254" i="48"/>
  <c r="M676" i="48"/>
  <c r="M221" i="48"/>
  <c r="M519" i="48"/>
  <c r="M385" i="48"/>
  <c r="M615" i="48"/>
  <c r="M836" i="48"/>
  <c r="M322" i="48"/>
  <c r="M326" i="48"/>
  <c r="M561" i="48"/>
  <c r="M775" i="48"/>
  <c r="M238" i="48"/>
  <c r="M464" i="48"/>
  <c r="M810" i="48"/>
  <c r="M509" i="48"/>
  <c r="M707" i="48"/>
  <c r="M518" i="48"/>
  <c r="M290" i="48"/>
  <c r="M481" i="48"/>
  <c r="M395" i="48"/>
  <c r="M535" i="48"/>
  <c r="M418" i="48"/>
  <c r="M231" i="48"/>
  <c r="M184" i="48"/>
  <c r="M241" i="48"/>
  <c r="M152" i="48"/>
  <c r="M441" i="48"/>
  <c r="M384" i="48"/>
  <c r="M835" i="48"/>
  <c r="M709" i="48"/>
  <c r="M706" i="48"/>
  <c r="M258" i="48"/>
  <c r="M554" i="48"/>
  <c r="M313" i="48"/>
  <c r="M605" i="48"/>
  <c r="M647" i="48"/>
  <c r="M585" i="48"/>
  <c r="M736" i="48"/>
  <c r="M218" i="48"/>
  <c r="M515" i="48"/>
  <c r="M837" i="48"/>
  <c r="M834" i="48"/>
  <c r="M547" i="48"/>
  <c r="M730" i="48"/>
  <c r="M765" i="48"/>
  <c r="M792" i="48"/>
  <c r="M674" i="48"/>
  <c r="M312" i="48"/>
  <c r="M833" i="48"/>
  <c r="M679" i="48"/>
  <c r="M262" i="48"/>
  <c r="M901" i="48"/>
  <c r="M551" i="48"/>
  <c r="M307" i="48"/>
  <c r="M156" i="48"/>
  <c r="M191" i="48"/>
  <c r="M489" i="48"/>
  <c r="M195" i="48"/>
  <c r="M670" i="48"/>
  <c r="M171" i="48"/>
  <c r="M508" i="48"/>
  <c r="M705" i="48"/>
  <c r="M259" i="48"/>
  <c r="M807" i="48"/>
  <c r="M396" i="48"/>
  <c r="M858" i="48"/>
  <c r="M880" i="48"/>
  <c r="M370" i="48"/>
  <c r="M552" i="48"/>
  <c r="M224" i="48"/>
  <c r="M266" i="48"/>
  <c r="M417" i="48"/>
  <c r="M235" i="48"/>
  <c r="M812" i="48"/>
  <c r="M681" i="48"/>
  <c r="M545" i="48"/>
  <c r="M729" i="48"/>
  <c r="M293" i="48"/>
  <c r="M320" i="48"/>
  <c r="M571" i="48"/>
  <c r="M480" i="48"/>
  <c r="M682" i="48"/>
  <c r="M660" i="48"/>
  <c r="M622" i="48"/>
  <c r="M256" i="48"/>
  <c r="M445" i="48"/>
  <c r="M383" i="48"/>
  <c r="M814" i="48"/>
  <c r="M857" i="48"/>
  <c r="M708" i="48"/>
  <c r="M689" i="48"/>
  <c r="M742" i="48"/>
  <c r="M815" i="48"/>
  <c r="M759" i="48"/>
  <c r="H25" i="2"/>
  <c r="K759" i="48" s="1"/>
  <c r="B75" i="57"/>
  <c r="B82" i="57" s="1"/>
  <c r="M471" i="48" l="1"/>
  <c r="M607" i="48"/>
  <c r="M604" i="48"/>
  <c r="M444" i="48"/>
  <c r="M365" i="48"/>
  <c r="M455" i="48"/>
  <c r="M139" i="48"/>
  <c r="N139" i="48" s="1"/>
  <c r="M584" i="48"/>
  <c r="M829" i="48"/>
  <c r="M212" i="48"/>
  <c r="M461" i="48"/>
  <c r="M894" i="48"/>
  <c r="M884" i="48"/>
  <c r="M614" i="48"/>
  <c r="M746" i="48"/>
  <c r="M362" i="48"/>
  <c r="M840" i="48"/>
  <c r="M575" i="48"/>
  <c r="M754" i="48"/>
  <c r="M732" i="48"/>
  <c r="M490" i="48"/>
  <c r="M877" i="48"/>
  <c r="M192" i="48"/>
  <c r="M189" i="48"/>
  <c r="M343" i="48"/>
  <c r="M182" i="48"/>
  <c r="M299" i="48"/>
  <c r="M606" i="48"/>
  <c r="M407" i="48"/>
  <c r="M701" i="48"/>
  <c r="M435" i="48"/>
  <c r="M353" i="48"/>
  <c r="M793" i="48"/>
  <c r="M773" i="48"/>
  <c r="M331" i="48"/>
  <c r="M541" i="48"/>
  <c r="M720" i="48"/>
  <c r="M264" i="48"/>
  <c r="M627" i="48"/>
  <c r="M876" i="48"/>
  <c r="M309" i="48"/>
  <c r="M220" i="48"/>
  <c r="M625" i="48"/>
  <c r="M867" i="48"/>
  <c r="M170" i="48"/>
  <c r="M167" i="48"/>
  <c r="M329" i="48"/>
  <c r="M154" i="48"/>
  <c r="M269" i="48"/>
  <c r="M227" i="48"/>
  <c r="M399" i="48"/>
  <c r="M678" i="48"/>
  <c r="M202" i="48"/>
  <c r="M591" i="48"/>
  <c r="M336" i="48"/>
  <c r="M410" i="48"/>
  <c r="M864" i="48"/>
  <c r="M587" i="48"/>
  <c r="M692" i="48"/>
  <c r="M196" i="48"/>
  <c r="M563" i="48"/>
  <c r="M544" i="48"/>
  <c r="M576" i="48"/>
  <c r="M566" i="48"/>
  <c r="M542" i="48"/>
  <c r="M649" i="48"/>
  <c r="M712" i="48"/>
  <c r="M368" i="48"/>
  <c r="M686" i="48"/>
  <c r="M424" i="48"/>
  <c r="M588" i="48"/>
  <c r="M734" i="48"/>
  <c r="M147" i="48"/>
  <c r="M731" i="48"/>
  <c r="M430" i="48"/>
  <c r="M443" i="48"/>
  <c r="M500" i="48"/>
  <c r="M330" i="48"/>
  <c r="M164" i="48"/>
  <c r="M478" i="48"/>
  <c r="M200" i="48"/>
  <c r="M252" i="48"/>
  <c r="M297" i="48"/>
  <c r="M791" i="48"/>
  <c r="M887" i="48"/>
  <c r="M557" i="48"/>
  <c r="M176" i="48"/>
  <c r="M150" i="48"/>
  <c r="M295" i="48"/>
  <c r="M321" i="48"/>
  <c r="M377" i="48"/>
  <c r="M448" i="48"/>
  <c r="M586" i="48"/>
  <c r="M770" i="48"/>
  <c r="M429" i="48"/>
  <c r="M428" i="48"/>
  <c r="M882" i="48"/>
  <c r="M351" i="48"/>
  <c r="M411" i="48"/>
  <c r="M694" i="48"/>
  <c r="M165" i="48"/>
  <c r="M553" i="48"/>
  <c r="M644" i="48"/>
  <c r="M779" i="48"/>
  <c r="M223" i="48"/>
  <c r="M855" i="48"/>
  <c r="M875" i="48"/>
  <c r="M520" i="48"/>
  <c r="M144" i="48"/>
  <c r="M439" i="48"/>
  <c r="M621" i="48"/>
  <c r="M188" i="48"/>
  <c r="M440" i="48"/>
  <c r="M886" i="48"/>
  <c r="M421" i="48"/>
  <c r="M556" i="48"/>
  <c r="M324" i="48"/>
  <c r="M408" i="48"/>
  <c r="M325" i="48"/>
  <c r="M468" i="48"/>
  <c r="M193" i="48"/>
  <c r="K881" i="48"/>
  <c r="N881" i="48" s="1"/>
  <c r="K152" i="48"/>
  <c r="N152" i="48" s="1"/>
  <c r="K511" i="48"/>
  <c r="K212" i="48"/>
  <c r="K882" i="48"/>
  <c r="K756" i="48"/>
  <c r="N756" i="48" s="1"/>
  <c r="K148" i="48"/>
  <c r="K423" i="48"/>
  <c r="N423" i="48" s="1"/>
  <c r="K349" i="48"/>
  <c r="N349" i="48" s="1"/>
  <c r="K141" i="48"/>
  <c r="N141" i="48" s="1"/>
  <c r="K678" i="48"/>
  <c r="N678" i="48" s="1"/>
  <c r="K477" i="48"/>
  <c r="N477" i="48" s="1"/>
  <c r="K509" i="48"/>
  <c r="N509" i="48" s="1"/>
  <c r="K323" i="48"/>
  <c r="N323" i="48" s="1"/>
  <c r="K320" i="48"/>
  <c r="N320" i="48" s="1"/>
  <c r="K285" i="48"/>
  <c r="N285" i="48" s="1"/>
  <c r="K885" i="48"/>
  <c r="N885" i="48" s="1"/>
  <c r="K534" i="48"/>
  <c r="N534" i="48" s="1"/>
  <c r="K239" i="48"/>
  <c r="K606" i="48"/>
  <c r="K758" i="48"/>
  <c r="K151" i="48"/>
  <c r="K208" i="48"/>
  <c r="N208" i="48" s="1"/>
  <c r="K807" i="48"/>
  <c r="N807" i="48" s="1"/>
  <c r="K264" i="48"/>
  <c r="K163" i="48"/>
  <c r="N163" i="48" s="1"/>
  <c r="K136" i="48"/>
  <c r="N136" i="48" s="1"/>
  <c r="K162" i="48"/>
  <c r="N162" i="48" s="1"/>
  <c r="K382" i="48"/>
  <c r="K438" i="48"/>
  <c r="N438" i="48" s="1"/>
  <c r="K676" i="48"/>
  <c r="N676" i="48" s="1"/>
  <c r="K571" i="48"/>
  <c r="N571" i="48" s="1"/>
  <c r="K572" i="48"/>
  <c r="K843" i="48"/>
  <c r="N843" i="48" s="1"/>
  <c r="K403" i="48"/>
  <c r="N403" i="48" s="1"/>
  <c r="K542" i="48"/>
  <c r="K581" i="48"/>
  <c r="K286" i="48"/>
  <c r="N286" i="48" s="1"/>
  <c r="K330" i="48"/>
  <c r="N330" i="48" s="1"/>
  <c r="K804" i="48"/>
  <c r="N804" i="48" s="1"/>
  <c r="K223" i="48"/>
  <c r="K810" i="48"/>
  <c r="K623" i="48"/>
  <c r="N623" i="48" s="1"/>
  <c r="K877" i="48"/>
  <c r="K859" i="48"/>
  <c r="K354" i="48"/>
  <c r="N354" i="48" s="1"/>
  <c r="K366" i="48"/>
  <c r="N366" i="48" s="1"/>
  <c r="K378" i="48"/>
  <c r="N378" i="48" s="1"/>
  <c r="K604" i="48"/>
  <c r="K504" i="48"/>
  <c r="N504" i="48" s="1"/>
  <c r="K335" i="48"/>
  <c r="K340" i="48"/>
  <c r="N340" i="48" s="1"/>
  <c r="K344" i="48"/>
  <c r="N344" i="48" s="1"/>
  <c r="K271" i="48"/>
  <c r="N271" i="48" s="1"/>
  <c r="K334" i="48"/>
  <c r="K795" i="48"/>
  <c r="N795" i="48" s="1"/>
  <c r="K800" i="48"/>
  <c r="N800" i="48" s="1"/>
  <c r="K809" i="48"/>
  <c r="K796" i="48"/>
  <c r="K429" i="48"/>
  <c r="K863" i="48"/>
  <c r="K706" i="48"/>
  <c r="K743" i="48"/>
  <c r="N743" i="48" s="1"/>
  <c r="K900" i="48"/>
  <c r="N900" i="48" s="1"/>
  <c r="K213" i="48"/>
  <c r="K566" i="48"/>
  <c r="K452" i="48"/>
  <c r="N452" i="48" s="1"/>
  <c r="K200" i="48"/>
  <c r="K755" i="48"/>
  <c r="K695" i="48"/>
  <c r="N695" i="48" s="1"/>
  <c r="K376" i="48"/>
  <c r="K601" i="48"/>
  <c r="N601" i="48" s="1"/>
  <c r="K556" i="48"/>
  <c r="K288" i="48"/>
  <c r="N288" i="48" s="1"/>
  <c r="K764" i="48"/>
  <c r="N764" i="48" s="1"/>
  <c r="K624" i="48"/>
  <c r="K447" i="48"/>
  <c r="N447" i="48" s="1"/>
  <c r="K544" i="48"/>
  <c r="N544" i="48" s="1"/>
  <c r="K846" i="48"/>
  <c r="N846" i="48" s="1"/>
  <c r="K707" i="48"/>
  <c r="N707" i="48" s="1"/>
  <c r="K760" i="48"/>
  <c r="N760" i="48" s="1"/>
  <c r="K237" i="48"/>
  <c r="N237" i="48" s="1"/>
  <c r="K393" i="48"/>
  <c r="N393" i="48" s="1"/>
  <c r="K149" i="48"/>
  <c r="N149" i="48" s="1"/>
  <c r="K688" i="48"/>
  <c r="N688" i="48" s="1"/>
  <c r="K404" i="48"/>
  <c r="N404" i="48" s="1"/>
  <c r="K269" i="48"/>
  <c r="K262" i="48"/>
  <c r="N262" i="48" s="1"/>
  <c r="K629" i="48"/>
  <c r="N629" i="48" s="1"/>
  <c r="K536" i="48"/>
  <c r="K396" i="48"/>
  <c r="K503" i="48"/>
  <c r="N503" i="48" s="1"/>
  <c r="K384" i="48"/>
  <c r="N384" i="48" s="1"/>
  <c r="K657" i="48"/>
  <c r="N657" i="48" s="1"/>
  <c r="K333" i="48"/>
  <c r="N333" i="48" s="1"/>
  <c r="K345" i="48"/>
  <c r="K448" i="48"/>
  <c r="K767" i="48"/>
  <c r="N767" i="48" s="1"/>
  <c r="K281" i="48"/>
  <c r="K381" i="48"/>
  <c r="N381" i="48" s="1"/>
  <c r="K435" i="48"/>
  <c r="K698" i="48"/>
  <c r="N698" i="48" s="1"/>
  <c r="K591" i="48"/>
  <c r="N591" i="48" s="1"/>
  <c r="K294" i="48"/>
  <c r="N294" i="48" s="1"/>
  <c r="K636" i="48"/>
  <c r="N636" i="48" s="1"/>
  <c r="K873" i="48"/>
  <c r="N873" i="48" s="1"/>
  <c r="K476" i="48"/>
  <c r="N476" i="48" s="1"/>
  <c r="K484" i="48"/>
  <c r="N484" i="48" s="1"/>
  <c r="K188" i="48"/>
  <c r="K817" i="48"/>
  <c r="N817" i="48" s="1"/>
  <c r="K740" i="48"/>
  <c r="N740" i="48" s="1"/>
  <c r="K686" i="48"/>
  <c r="K515" i="48"/>
  <c r="N515" i="48" s="1"/>
  <c r="K187" i="48"/>
  <c r="K417" i="48"/>
  <c r="N417" i="48" s="1"/>
  <c r="K283" i="48"/>
  <c r="N283" i="48" s="1"/>
  <c r="K390" i="48"/>
  <c r="N390" i="48" s="1"/>
  <c r="K464" i="48"/>
  <c r="N464" i="48" s="1"/>
  <c r="K778" i="48"/>
  <c r="N778" i="48" s="1"/>
  <c r="K594" i="48"/>
  <c r="N594" i="48" s="1"/>
  <c r="K694" i="48"/>
  <c r="K858" i="48"/>
  <c r="N858" i="48" s="1"/>
  <c r="K455" i="48"/>
  <c r="N455" i="48" s="1"/>
  <c r="K232" i="48"/>
  <c r="K646" i="48"/>
  <c r="K178" i="48"/>
  <c r="N178" i="48" s="1"/>
  <c r="K408" i="48"/>
  <c r="K808" i="48"/>
  <c r="N808" i="48" s="1"/>
  <c r="K229" i="48"/>
  <c r="K143" i="48"/>
  <c r="N143" i="48" s="1"/>
  <c r="K156" i="48"/>
  <c r="K219" i="48"/>
  <c r="K715" i="48"/>
  <c r="K524" i="48"/>
  <c r="N524" i="48" s="1"/>
  <c r="K815" i="48"/>
  <c r="N815" i="48" s="1"/>
  <c r="K589" i="48"/>
  <c r="N589" i="48" s="1"/>
  <c r="K406" i="48"/>
  <c r="K510" i="48"/>
  <c r="N510" i="48" s="1"/>
  <c r="K391" i="48"/>
  <c r="K666" i="48"/>
  <c r="K595" i="48"/>
  <c r="N595" i="48" s="1"/>
  <c r="K207" i="48"/>
  <c r="K684" i="48"/>
  <c r="N684" i="48" s="1"/>
  <c r="K733" i="48"/>
  <c r="N733" i="48" s="1"/>
  <c r="K550" i="48"/>
  <c r="N550" i="48" s="1"/>
  <c r="K788" i="48"/>
  <c r="N788" i="48" s="1"/>
  <c r="K199" i="48"/>
  <c r="N199" i="48" s="1"/>
  <c r="K197" i="48"/>
  <c r="N197" i="48" s="1"/>
  <c r="K379" i="48"/>
  <c r="K862" i="48"/>
  <c r="N862" i="48" s="1"/>
  <c r="K761" i="48"/>
  <c r="N761" i="48" s="1"/>
  <c r="K154" i="48"/>
  <c r="K184" i="48"/>
  <c r="K651" i="48"/>
  <c r="N651" i="48" s="1"/>
  <c r="K450" i="48"/>
  <c r="K673" i="48"/>
  <c r="N673" i="48" s="1"/>
  <c r="K496" i="48"/>
  <c r="K462" i="48"/>
  <c r="N462" i="48" s="1"/>
  <c r="K332" i="48"/>
  <c r="N332" i="48" s="1"/>
  <c r="K739" i="48"/>
  <c r="N739" i="48" s="1"/>
  <c r="K580" i="48"/>
  <c r="N580" i="48" s="1"/>
  <c r="K290" i="48"/>
  <c r="N290" i="48" s="1"/>
  <c r="K720" i="48"/>
  <c r="K805" i="48"/>
  <c r="N805" i="48" s="1"/>
  <c r="K348" i="48"/>
  <c r="N348" i="48" s="1"/>
  <c r="K521" i="48"/>
  <c r="N521" i="48" s="1"/>
  <c r="K347" i="48"/>
  <c r="N347" i="48" s="1"/>
  <c r="K523" i="48"/>
  <c r="K590" i="48"/>
  <c r="K786" i="48"/>
  <c r="N786" i="48" s="1"/>
  <c r="K893" i="48"/>
  <c r="N893" i="48" s="1"/>
  <c r="K516" i="48"/>
  <c r="K150" i="48"/>
  <c r="K190" i="48"/>
  <c r="N190" i="48" s="1"/>
  <c r="K437" i="48"/>
  <c r="N437" i="48" s="1"/>
  <c r="K155" i="48"/>
  <c r="K661" i="48"/>
  <c r="N661" i="48" s="1"/>
  <c r="K718" i="48"/>
  <c r="N718" i="48" s="1"/>
  <c r="K519" i="48"/>
  <c r="K599" i="48"/>
  <c r="K421" i="48"/>
  <c r="K369" i="48"/>
  <c r="N369" i="48" s="1"/>
  <c r="K830" i="48"/>
  <c r="N830" i="48" s="1"/>
  <c r="K472" i="48"/>
  <c r="K495" i="48"/>
  <c r="N495" i="48" s="1"/>
  <c r="K738" i="48"/>
  <c r="N738" i="48" s="1"/>
  <c r="K823" i="48"/>
  <c r="K159" i="48"/>
  <c r="N159" i="48" s="1"/>
  <c r="K221" i="48"/>
  <c r="K898" i="48"/>
  <c r="N898" i="48" s="1"/>
  <c r="K850" i="48"/>
  <c r="N850" i="48" s="1"/>
  <c r="K196" i="48"/>
  <c r="K240" i="48"/>
  <c r="K238" i="48"/>
  <c r="K324" i="48"/>
  <c r="K774" i="48"/>
  <c r="N774" i="48" s="1"/>
  <c r="K615" i="48"/>
  <c r="N615" i="48" s="1"/>
  <c r="K441" i="48"/>
  <c r="N441" i="48" s="1"/>
  <c r="K699" i="48"/>
  <c r="K467" i="48"/>
  <c r="N467" i="48" s="1"/>
  <c r="K710" i="48"/>
  <c r="N710" i="48" s="1"/>
  <c r="K655" i="48"/>
  <c r="N655" i="48" s="1"/>
  <c r="K794" i="48"/>
  <c r="K737" i="48"/>
  <c r="N737" i="48" s="1"/>
  <c r="K621" i="48"/>
  <c r="K583" i="48"/>
  <c r="N583" i="48" s="1"/>
  <c r="K614" i="48"/>
  <c r="N614" i="48" s="1"/>
  <c r="K892" i="48"/>
  <c r="N892" i="48" s="1"/>
  <c r="K235" i="48"/>
  <c r="K410" i="48"/>
  <c r="K491" i="48"/>
  <c r="N491" i="48" s="1"/>
  <c r="K741" i="48"/>
  <c r="N741" i="48" s="1"/>
  <c r="K588" i="48"/>
  <c r="K852" i="48"/>
  <c r="K849" i="48"/>
  <c r="N849" i="48" s="1"/>
  <c r="K385" i="48"/>
  <c r="N385" i="48" s="1"/>
  <c r="K857" i="48"/>
  <c r="N857" i="48" s="1"/>
  <c r="K498" i="48"/>
  <c r="N498" i="48" s="1"/>
  <c r="K419" i="48"/>
  <c r="N419" i="48" s="1"/>
  <c r="K161" i="48"/>
  <c r="N161" i="48" s="1"/>
  <c r="K338" i="48"/>
  <c r="N338" i="48" s="1"/>
  <c r="K147" i="48"/>
  <c r="K433" i="48"/>
  <c r="N433" i="48" s="1"/>
  <c r="K415" i="48"/>
  <c r="N415" i="48" s="1"/>
  <c r="K363" i="48"/>
  <c r="N363" i="48" s="1"/>
  <c r="K371" i="48"/>
  <c r="N371" i="48" s="1"/>
  <c r="K649" i="48"/>
  <c r="K752" i="48"/>
  <c r="N752" i="48" s="1"/>
  <c r="K432" i="48"/>
  <c r="N432" i="48" s="1"/>
  <c r="K386" i="48"/>
  <c r="N386" i="48" s="1"/>
  <c r="K693" i="48"/>
  <c r="N693" i="48" s="1"/>
  <c r="K267" i="48"/>
  <c r="N267" i="48" s="1"/>
  <c r="K414" i="48"/>
  <c r="K331" i="48"/>
  <c r="N331" i="48" s="1"/>
  <c r="K875" i="48"/>
  <c r="K392" i="48"/>
  <c r="K459" i="48"/>
  <c r="K528" i="48"/>
  <c r="N528" i="48" s="1"/>
  <c r="K280" i="48"/>
  <c r="K608" i="48"/>
  <c r="N608" i="48" s="1"/>
  <c r="K316" i="48"/>
  <c r="K445" i="48"/>
  <c r="N445" i="48" s="1"/>
  <c r="K806" i="48"/>
  <c r="N806" i="48" s="1"/>
  <c r="K226" i="48"/>
  <c r="K194" i="48"/>
  <c r="N194" i="48" s="1"/>
  <c r="K179" i="48"/>
  <c r="N179" i="48" s="1"/>
  <c r="K901" i="48"/>
  <c r="K278" i="48"/>
  <c r="N278" i="48" s="1"/>
  <c r="K751" i="48"/>
  <c r="N751" i="48" s="1"/>
  <c r="K167" i="48"/>
  <c r="K368" i="48"/>
  <c r="K413" i="48"/>
  <c r="N413" i="48" s="1"/>
  <c r="K300" i="48"/>
  <c r="N300" i="48" s="1"/>
  <c r="K567" i="48"/>
  <c r="N567" i="48" s="1"/>
  <c r="K245" i="48"/>
  <c r="N245" i="48" s="1"/>
  <c r="K186" i="48"/>
  <c r="N186" i="48" s="1"/>
  <c r="K797" i="48"/>
  <c r="N797" i="48" s="1"/>
  <c r="K721" i="48"/>
  <c r="K298" i="48"/>
  <c r="K824" i="48"/>
  <c r="N824" i="48" s="1"/>
  <c r="K254" i="48"/>
  <c r="K351" i="48"/>
  <c r="K180" i="48"/>
  <c r="K308" i="48"/>
  <c r="N308" i="48" s="1"/>
  <c r="K730" i="48"/>
  <c r="N730" i="48" s="1"/>
  <c r="K547" i="48"/>
  <c r="N547" i="48" s="1"/>
  <c r="K287" i="48"/>
  <c r="N287" i="48" s="1"/>
  <c r="K869" i="48"/>
  <c r="K635" i="48"/>
  <c r="K506" i="48"/>
  <c r="K672" i="48"/>
  <c r="N672" i="48" s="1"/>
  <c r="K600" i="48"/>
  <c r="K880" i="48"/>
  <c r="K549" i="48"/>
  <c r="N549" i="48" s="1"/>
  <c r="K530" i="48"/>
  <c r="N530" i="48" s="1"/>
  <c r="K233" i="48"/>
  <c r="K682" i="48"/>
  <c r="N682" i="48" s="1"/>
  <c r="K480" i="48"/>
  <c r="K486" i="48"/>
  <c r="N486" i="48" s="1"/>
  <c r="K854" i="48"/>
  <c r="N854" i="48" s="1"/>
  <c r="K301" i="48"/>
  <c r="N301" i="48" s="1"/>
  <c r="K247" i="48"/>
  <c r="N247" i="48" s="1"/>
  <c r="K659" i="48"/>
  <c r="K897" i="48"/>
  <c r="N897" i="48" s="1"/>
  <c r="K443" i="48"/>
  <c r="K560" i="48"/>
  <c r="N560" i="48" s="1"/>
  <c r="K261" i="48"/>
  <c r="K211" i="48"/>
  <c r="N211" i="48" s="1"/>
  <c r="K641" i="48"/>
  <c r="N641" i="48" s="1"/>
  <c r="K570" i="48"/>
  <c r="N570" i="48" s="1"/>
  <c r="K801" i="48"/>
  <c r="N801" i="48" s="1"/>
  <c r="K818" i="48"/>
  <c r="K355" i="48"/>
  <c r="N355" i="48" s="1"/>
  <c r="K597" i="48"/>
  <c r="N597" i="48" s="1"/>
  <c r="K670" i="48"/>
  <c r="N670" i="48" s="1"/>
  <c r="K845" i="48"/>
  <c r="N845" i="48" s="1"/>
  <c r="K266" i="48"/>
  <c r="K461" i="48"/>
  <c r="K160" i="48"/>
  <c r="N160" i="48" s="1"/>
  <c r="K426" i="48"/>
  <c r="K482" i="48"/>
  <c r="K206" i="48"/>
  <c r="K833" i="48"/>
  <c r="N833" i="48" s="1"/>
  <c r="K750" i="48"/>
  <c r="N750" i="48" s="1"/>
  <c r="K565" i="48"/>
  <c r="K904" i="48"/>
  <c r="N904" i="48" s="1"/>
  <c r="K667" i="48"/>
  <c r="N667" i="48" s="1"/>
  <c r="K463" i="48"/>
  <c r="N463" i="48" s="1"/>
  <c r="K537" i="48"/>
  <c r="N537" i="48" s="1"/>
  <c r="K230" i="48"/>
  <c r="N230" i="48" s="1"/>
  <c r="K874" i="48"/>
  <c r="N874" i="48" s="1"/>
  <c r="K766" i="48"/>
  <c r="N766" i="48" s="1"/>
  <c r="K425" i="48"/>
  <c r="N425" i="48" s="1"/>
  <c r="K409" i="48"/>
  <c r="N409" i="48" s="1"/>
  <c r="K638" i="48"/>
  <c r="K522" i="48"/>
  <c r="K876" i="48"/>
  <c r="K654" i="48"/>
  <c r="N654" i="48" s="1"/>
  <c r="K558" i="48"/>
  <c r="N558" i="48" s="1"/>
  <c r="K336" i="48"/>
  <c r="K359" i="48"/>
  <c r="N359" i="48" s="1"/>
  <c r="K256" i="48"/>
  <c r="K305" i="48"/>
  <c r="K383" i="48"/>
  <c r="K412" i="48"/>
  <c r="K552" i="48"/>
  <c r="K562" i="48"/>
  <c r="N562" i="48" s="1"/>
  <c r="K702" i="48"/>
  <c r="K352" i="48"/>
  <c r="N352" i="48" s="1"/>
  <c r="K373" i="48"/>
  <c r="N373" i="48" s="1"/>
  <c r="K564" i="48"/>
  <c r="N564" i="48" s="1"/>
  <c r="K868" i="48"/>
  <c r="N868" i="48" s="1"/>
  <c r="K837" i="48"/>
  <c r="N837" i="48" s="1"/>
  <c r="K769" i="48"/>
  <c r="N769" i="48" s="1"/>
  <c r="K329" i="48"/>
  <c r="K722" i="48"/>
  <c r="N722" i="48" s="1"/>
  <c r="K790" i="48"/>
  <c r="N790" i="48" s="1"/>
  <c r="K603" i="48"/>
  <c r="N603" i="48" s="1"/>
  <c r="K139" i="48"/>
  <c r="K520" i="48"/>
  <c r="K701" i="48"/>
  <c r="N701" i="48" s="1"/>
  <c r="K719" i="48"/>
  <c r="N719" i="48" s="1"/>
  <c r="K342" i="48"/>
  <c r="K512" i="48"/>
  <c r="N512" i="48" s="1"/>
  <c r="K742" i="48"/>
  <c r="N742" i="48" s="1"/>
  <c r="K775" i="48"/>
  <c r="N775" i="48" s="1"/>
  <c r="K189" i="48"/>
  <c r="K182" i="48"/>
  <c r="K525" i="48"/>
  <c r="N525" i="48" s="1"/>
  <c r="K587" i="48"/>
  <c r="K727" i="48"/>
  <c r="N727" i="48" s="1"/>
  <c r="K834" i="48"/>
  <c r="N834" i="48" s="1"/>
  <c r="K181" i="48"/>
  <c r="K374" i="48"/>
  <c r="K444" i="48"/>
  <c r="N444" i="48" s="1"/>
  <c r="K798" i="48"/>
  <c r="N798" i="48" s="1"/>
  <c r="K420" i="48"/>
  <c r="N420" i="48" s="1"/>
  <c r="K538" i="48"/>
  <c r="N538" i="48" s="1"/>
  <c r="K492" i="48"/>
  <c r="K669" i="48"/>
  <c r="N669" i="48" s="1"/>
  <c r="K598" i="48"/>
  <c r="K887" i="48"/>
  <c r="K645" i="48"/>
  <c r="K169" i="48"/>
  <c r="N169" i="48" s="1"/>
  <c r="K584" i="48"/>
  <c r="K289" i="48"/>
  <c r="K309" i="48"/>
  <c r="N309" i="48" s="1"/>
  <c r="K791" i="48"/>
  <c r="K202" i="48"/>
  <c r="K466" i="48"/>
  <c r="N466" i="48" s="1"/>
  <c r="K157" i="48"/>
  <c r="K596" i="48"/>
  <c r="N596" i="48" s="1"/>
  <c r="K860" i="48"/>
  <c r="N860" i="48" s="1"/>
  <c r="K465" i="48"/>
  <c r="K327" i="48"/>
  <c r="N327" i="48" s="1"/>
  <c r="K220" i="48"/>
  <c r="K696" i="48"/>
  <c r="K622" i="48"/>
  <c r="N622" i="48" s="1"/>
  <c r="K888" i="48"/>
  <c r="K227" i="48"/>
  <c r="K554" i="48"/>
  <c r="N554" i="48" s="1"/>
  <c r="K258" i="48"/>
  <c r="N258" i="48" s="1"/>
  <c r="K468" i="48"/>
  <c r="N468" i="48" s="1"/>
  <c r="K745" i="48"/>
  <c r="N745" i="48" s="1"/>
  <c r="K532" i="48"/>
  <c r="K812" i="48"/>
  <c r="N812" i="48" s="1"/>
  <c r="K662" i="48"/>
  <c r="N662" i="48" s="1"/>
  <c r="K346" i="48"/>
  <c r="N346" i="48" s="1"/>
  <c r="K253" i="48"/>
  <c r="N253" i="48" s="1"/>
  <c r="K832" i="48"/>
  <c r="N832" i="48" s="1"/>
  <c r="K765" i="48"/>
  <c r="N765" i="48" s="1"/>
  <c r="K302" i="48"/>
  <c r="N302" i="48" s="1"/>
  <c r="K388" i="48"/>
  <c r="N388" i="48" s="1"/>
  <c r="K457" i="48"/>
  <c r="N457" i="48" s="1"/>
  <c r="K489" i="48"/>
  <c r="N489" i="48" s="1"/>
  <c r="K191" i="48"/>
  <c r="N191" i="48" s="1"/>
  <c r="K785" i="48"/>
  <c r="N785" i="48" s="1"/>
  <c r="K726" i="48"/>
  <c r="N726" i="48" s="1"/>
  <c r="K665" i="48"/>
  <c r="N665" i="48" s="1"/>
  <c r="K903" i="48"/>
  <c r="N903" i="48" s="1"/>
  <c r="K362" i="48"/>
  <c r="K799" i="48"/>
  <c r="N799" i="48" s="1"/>
  <c r="K828" i="48"/>
  <c r="K398" i="48"/>
  <c r="N398" i="48" s="1"/>
  <c r="K485" i="48"/>
  <c r="N485" i="48" s="1"/>
  <c r="K343" i="48"/>
  <c r="N343" i="48" s="1"/>
  <c r="K225" i="48"/>
  <c r="N225" i="48" s="1"/>
  <c r="K617" i="48"/>
  <c r="K731" i="48"/>
  <c r="K555" i="48"/>
  <c r="K295" i="48"/>
  <c r="K183" i="48"/>
  <c r="N183" i="48" s="1"/>
  <c r="K561" i="48"/>
  <c r="N561" i="48" s="1"/>
  <c r="K717" i="48"/>
  <c r="N717" i="48" s="1"/>
  <c r="K526" i="48"/>
  <c r="N526" i="48" s="1"/>
  <c r="K353" i="48"/>
  <c r="K361" i="48"/>
  <c r="K259" i="48"/>
  <c r="N259" i="48" s="1"/>
  <c r="K364" i="48"/>
  <c r="N364" i="48" s="1"/>
  <c r="K430" i="48"/>
  <c r="K714" i="48"/>
  <c r="N714" i="48" s="1"/>
  <c r="K582" i="48"/>
  <c r="N582" i="48" s="1"/>
  <c r="K401" i="48"/>
  <c r="N401" i="48" s="1"/>
  <c r="K841" i="48"/>
  <c r="K656" i="48"/>
  <c r="N656" i="48" s="1"/>
  <c r="K475" i="48"/>
  <c r="K883" i="48"/>
  <c r="N883" i="48" s="1"/>
  <c r="K144" i="48"/>
  <c r="K454" i="48"/>
  <c r="N454" i="48" s="1"/>
  <c r="K762" i="48"/>
  <c r="N762" i="48" s="1"/>
  <c r="K607" i="48"/>
  <c r="N607" i="48" s="1"/>
  <c r="K312" i="48"/>
  <c r="N312" i="48" s="1"/>
  <c r="K864" i="48"/>
  <c r="K222" i="48"/>
  <c r="N222" i="48" s="1"/>
  <c r="K265" i="48"/>
  <c r="N265" i="48" s="1"/>
  <c r="K757" i="48"/>
  <c r="K563" i="48"/>
  <c r="K826" i="48"/>
  <c r="N826" i="48" s="1"/>
  <c r="K770" i="48"/>
  <c r="N770" i="48" s="1"/>
  <c r="K867" i="48"/>
  <c r="K367" i="48"/>
  <c r="N367" i="48" s="1"/>
  <c r="K748" i="48"/>
  <c r="K870" i="48"/>
  <c r="N870" i="48" s="1"/>
  <c r="K318" i="48"/>
  <c r="N318" i="48" s="1"/>
  <c r="K284" i="48"/>
  <c r="N284" i="48" s="1"/>
  <c r="K263" i="48"/>
  <c r="N263" i="48" s="1"/>
  <c r="K732" i="48"/>
  <c r="N732" i="48" s="1"/>
  <c r="K158" i="48"/>
  <c r="N158" i="48" s="1"/>
  <c r="K709" i="48"/>
  <c r="N709" i="48" s="1"/>
  <c r="K514" i="48"/>
  <c r="K576" i="48"/>
  <c r="K311" i="48"/>
  <c r="K784" i="48"/>
  <c r="N784" i="48" s="1"/>
  <c r="K821" i="48"/>
  <c r="N821" i="48" s="1"/>
  <c r="K609" i="48"/>
  <c r="N609" i="48" s="1"/>
  <c r="K685" i="48"/>
  <c r="N685" i="48" s="1"/>
  <c r="K502" i="48"/>
  <c r="N502" i="48" s="1"/>
  <c r="K319" i="48"/>
  <c r="N319" i="48" s="1"/>
  <c r="K612" i="48"/>
  <c r="N612" i="48" s="1"/>
  <c r="K279" i="48"/>
  <c r="N279" i="48" s="1"/>
  <c r="K529" i="48"/>
  <c r="N529" i="48" s="1"/>
  <c r="K293" i="48"/>
  <c r="N293" i="48" s="1"/>
  <c r="K215" i="48"/>
  <c r="N215" i="48" s="1"/>
  <c r="K689" i="48"/>
  <c r="K231" i="48"/>
  <c r="N231" i="48" s="1"/>
  <c r="K380" i="48"/>
  <c r="N380" i="48" s="1"/>
  <c r="K306" i="48"/>
  <c r="N306" i="48" s="1"/>
  <c r="K697" i="48"/>
  <c r="K619" i="48"/>
  <c r="N619" i="48" s="1"/>
  <c r="K145" i="48"/>
  <c r="N145" i="48" s="1"/>
  <c r="K493" i="48"/>
  <c r="N493" i="48" s="1"/>
  <c r="K753" i="48"/>
  <c r="N753" i="48" s="1"/>
  <c r="K579" i="48"/>
  <c r="N579" i="48" s="1"/>
  <c r="K543" i="48"/>
  <c r="N543" i="48" s="1"/>
  <c r="K681" i="48"/>
  <c r="N681" i="48" s="1"/>
  <c r="K135" i="48"/>
  <c r="N135" i="48" s="1"/>
  <c r="K328" i="48"/>
  <c r="K325" i="48"/>
  <c r="K250" i="48"/>
  <c r="N250" i="48" s="1"/>
  <c r="K816" i="48"/>
  <c r="N816" i="48" s="1"/>
  <c r="K779" i="48"/>
  <c r="K768" i="48"/>
  <c r="K894" i="48"/>
  <c r="N894" i="48" s="1"/>
  <c r="K407" i="48"/>
  <c r="N407" i="48" s="1"/>
  <c r="K513" i="48"/>
  <c r="N513" i="48" s="1"/>
  <c r="K400" i="48"/>
  <c r="N400" i="48" s="1"/>
  <c r="K644" i="48"/>
  <c r="N644" i="48" s="1"/>
  <c r="K575" i="48"/>
  <c r="K879" i="48"/>
  <c r="N879" i="48" s="1"/>
  <c r="K704" i="48"/>
  <c r="K399" i="48"/>
  <c r="K620" i="48"/>
  <c r="K871" i="48"/>
  <c r="N871" i="48" s="1"/>
  <c r="K501" i="48"/>
  <c r="N501" i="48" s="1"/>
  <c r="K275" i="48"/>
  <c r="K350" i="48"/>
  <c r="N350" i="48" s="1"/>
  <c r="K781" i="48"/>
  <c r="N781" i="48" s="1"/>
  <c r="K679" i="48"/>
  <c r="N679" i="48" s="1"/>
  <c r="K395" i="48"/>
  <c r="N395" i="48" s="1"/>
  <c r="K481" i="48"/>
  <c r="N481" i="48" s="1"/>
  <c r="K634" i="48"/>
  <c r="K574" i="48"/>
  <c r="N574" i="48" s="1"/>
  <c r="K653" i="48"/>
  <c r="N653" i="48" s="1"/>
  <c r="K164" i="48"/>
  <c r="K839" i="48"/>
  <c r="N839" i="48" s="1"/>
  <c r="K878" i="48"/>
  <c r="N878" i="48" s="1"/>
  <c r="K605" i="48"/>
  <c r="K313" i="48"/>
  <c r="K469" i="48"/>
  <c r="N469" i="48" s="1"/>
  <c r="K820" i="48"/>
  <c r="K248" i="48"/>
  <c r="K370" i="48"/>
  <c r="N370" i="48" s="1"/>
  <c r="K416" i="48"/>
  <c r="N416" i="48" s="1"/>
  <c r="K321" i="48"/>
  <c r="K317" i="48"/>
  <c r="K479" i="48"/>
  <c r="N479" i="48" s="1"/>
  <c r="K827" i="48"/>
  <c r="N827" i="48" s="1"/>
  <c r="K658" i="48"/>
  <c r="K456" i="48"/>
  <c r="K270" i="48"/>
  <c r="N270" i="48" s="1"/>
  <c r="K838" i="48"/>
  <c r="K276" i="48"/>
  <c r="N276" i="48" s="1"/>
  <c r="K508" i="48"/>
  <c r="N508" i="48" s="1"/>
  <c r="K483" i="48"/>
  <c r="N483" i="48" s="1"/>
  <c r="K840" i="48"/>
  <c r="K889" i="48"/>
  <c r="N889" i="48" s="1"/>
  <c r="K252" i="48"/>
  <c r="K533" i="48"/>
  <c r="N533" i="48" s="1"/>
  <c r="K236" i="48"/>
  <c r="N236" i="48" s="1"/>
  <c r="K628" i="48"/>
  <c r="K772" i="48"/>
  <c r="K174" i="48"/>
  <c r="N174" i="48" s="1"/>
  <c r="K494" i="48"/>
  <c r="N494" i="48" s="1"/>
  <c r="K802" i="48"/>
  <c r="N802" i="48" s="1"/>
  <c r="K592" i="48"/>
  <c r="N592" i="48" s="1"/>
  <c r="K218" i="48"/>
  <c r="K170" i="48"/>
  <c r="K780" i="48"/>
  <c r="N780" i="48" s="1"/>
  <c r="K713" i="48"/>
  <c r="K545" i="48"/>
  <c r="K360" i="48"/>
  <c r="N360" i="48" s="1"/>
  <c r="K771" i="48"/>
  <c r="K282" i="48"/>
  <c r="N282" i="48" s="1"/>
  <c r="K637" i="48"/>
  <c r="K434" i="48"/>
  <c r="N434" i="48" s="1"/>
  <c r="K192" i="48"/>
  <c r="K214" i="48"/>
  <c r="N214" i="48" s="1"/>
  <c r="K203" i="48"/>
  <c r="N203" i="48" s="1"/>
  <c r="K593" i="48"/>
  <c r="N593" i="48" s="1"/>
  <c r="K299" i="48"/>
  <c r="K851" i="48"/>
  <c r="N851" i="48" s="1"/>
  <c r="K613" i="48"/>
  <c r="N613" i="48" s="1"/>
  <c r="K411" i="48"/>
  <c r="K865" i="48"/>
  <c r="N865" i="48" s="1"/>
  <c r="K754" i="48"/>
  <c r="K855" i="48"/>
  <c r="K257" i="48"/>
  <c r="N257" i="48" s="1"/>
  <c r="K165" i="48"/>
  <c r="K436" i="48"/>
  <c r="N436" i="48" s="1"/>
  <c r="K291" i="48"/>
  <c r="N291" i="48" s="1"/>
  <c r="K518" i="48"/>
  <c r="K803" i="48"/>
  <c r="N803" i="48" s="1"/>
  <c r="K541" i="48"/>
  <c r="N541" i="48" s="1"/>
  <c r="K671" i="48"/>
  <c r="N671" i="48" s="1"/>
  <c r="K691" i="48"/>
  <c r="K490" i="48"/>
  <c r="K891" i="48"/>
  <c r="N891" i="48" s="1"/>
  <c r="K234" i="48"/>
  <c r="K273" i="48"/>
  <c r="N273" i="48" s="1"/>
  <c r="K792" i="48"/>
  <c r="K153" i="48"/>
  <c r="K177" i="48"/>
  <c r="K705" i="48"/>
  <c r="N705" i="48" s="1"/>
  <c r="K811" i="48"/>
  <c r="N811" i="48" s="1"/>
  <c r="K902" i="48"/>
  <c r="N902" i="48" s="1"/>
  <c r="K460" i="48"/>
  <c r="N460" i="48" s="1"/>
  <c r="K337" i="48"/>
  <c r="N337" i="48" s="1"/>
  <c r="K884" i="48"/>
  <c r="K527" i="48"/>
  <c r="K782" i="48"/>
  <c r="N782" i="48" s="1"/>
  <c r="K711" i="48"/>
  <c r="N711" i="48" s="1"/>
  <c r="K677" i="48"/>
  <c r="N677" i="48" s="1"/>
  <c r="K700" i="48"/>
  <c r="N700" i="48" s="1"/>
  <c r="K723" i="48"/>
  <c r="N723" i="48" s="1"/>
  <c r="K173" i="48"/>
  <c r="N173" i="48" s="1"/>
  <c r="K861" i="48"/>
  <c r="N861" i="48" s="1"/>
  <c r="K664" i="48"/>
  <c r="N664" i="48" s="1"/>
  <c r="K224" i="48"/>
  <c r="N224" i="48" s="1"/>
  <c r="K243" i="48"/>
  <c r="N243" i="48" s="1"/>
  <c r="K339" i="48"/>
  <c r="K458" i="48"/>
  <c r="N458" i="48" s="1"/>
  <c r="K813" i="48"/>
  <c r="N813" i="48" s="1"/>
  <c r="K531" i="48"/>
  <c r="K314" i="48"/>
  <c r="K341" i="48"/>
  <c r="N341" i="48" s="1"/>
  <c r="K171" i="48"/>
  <c r="K724" i="48"/>
  <c r="K890" i="48"/>
  <c r="N890" i="48" s="1"/>
  <c r="K397" i="48"/>
  <c r="N397" i="48" s="1"/>
  <c r="K487" i="48"/>
  <c r="N487" i="48" s="1"/>
  <c r="K446" i="48"/>
  <c r="K895" i="48"/>
  <c r="N895" i="48" s="1"/>
  <c r="K618" i="48"/>
  <c r="K216" i="48"/>
  <c r="K777" i="48"/>
  <c r="N777" i="48" s="1"/>
  <c r="K819" i="48"/>
  <c r="N819" i="48" s="1"/>
  <c r="K358" i="48"/>
  <c r="N358" i="48" s="1"/>
  <c r="K449" i="48"/>
  <c r="N449" i="48" s="1"/>
  <c r="K744" i="48"/>
  <c r="K692" i="48"/>
  <c r="K625" i="48"/>
  <c r="N625" i="48" s="1"/>
  <c r="K627" i="48"/>
  <c r="K424" i="48"/>
  <c r="N424" i="48" s="1"/>
  <c r="K793" i="48"/>
  <c r="N793" i="48" s="1"/>
  <c r="K856" i="48"/>
  <c r="K303" i="48"/>
  <c r="K228" i="48"/>
  <c r="N228" i="48" s="1"/>
  <c r="K736" i="48"/>
  <c r="N736" i="48" s="1"/>
  <c r="K763" i="48"/>
  <c r="K297" i="48"/>
  <c r="K578" i="48"/>
  <c r="K142" i="48"/>
  <c r="K630" i="48"/>
  <c r="N630" i="48" s="1"/>
  <c r="K427" i="48"/>
  <c r="N427" i="48" s="1"/>
  <c r="K172" i="48"/>
  <c r="K836" i="48"/>
  <c r="N836" i="48" s="1"/>
  <c r="K735" i="48"/>
  <c r="N735" i="48" s="1"/>
  <c r="K747" i="48"/>
  <c r="N747" i="48" s="1"/>
  <c r="K610" i="48"/>
  <c r="K831" i="48"/>
  <c r="N831" i="48" s="1"/>
  <c r="K680" i="48"/>
  <c r="K418" i="48"/>
  <c r="K535" i="48"/>
  <c r="N535" i="48" s="1"/>
  <c r="K470" i="48"/>
  <c r="N470" i="48" s="1"/>
  <c r="K690" i="48"/>
  <c r="K205" i="48"/>
  <c r="K138" i="48"/>
  <c r="N138" i="48" s="1"/>
  <c r="K499" i="48"/>
  <c r="K166" i="48"/>
  <c r="N166" i="48" s="1"/>
  <c r="K643" i="48"/>
  <c r="N643" i="48" s="1"/>
  <c r="K848" i="48"/>
  <c r="N848" i="48" s="1"/>
  <c r="K783" i="48"/>
  <c r="N783" i="48" s="1"/>
  <c r="K389" i="48"/>
  <c r="K616" i="48"/>
  <c r="K663" i="48"/>
  <c r="N663" i="48" s="1"/>
  <c r="K255" i="48"/>
  <c r="N255" i="48" s="1"/>
  <c r="K687" i="48"/>
  <c r="K175" i="48"/>
  <c r="N175" i="48" s="1"/>
  <c r="K198" i="48"/>
  <c r="N198" i="48" s="1"/>
  <c r="K377" i="48"/>
  <c r="K631" i="48"/>
  <c r="K195" i="48"/>
  <c r="N195" i="48" s="1"/>
  <c r="K193" i="48"/>
  <c r="K787" i="48"/>
  <c r="N787" i="48" s="1"/>
  <c r="K357" i="48"/>
  <c r="N357" i="48" s="1"/>
  <c r="K642" i="48"/>
  <c r="K734" i="48"/>
  <c r="K402" i="48"/>
  <c r="N402" i="48" s="1"/>
  <c r="K249" i="48"/>
  <c r="N249" i="48" s="1"/>
  <c r="K844" i="48"/>
  <c r="N844" i="48" s="1"/>
  <c r="K573" i="48"/>
  <c r="K548" i="48"/>
  <c r="N548" i="48" s="1"/>
  <c r="K829" i="48"/>
  <c r="N829" i="48" s="1"/>
  <c r="K168" i="48"/>
  <c r="N168" i="48" s="1"/>
  <c r="K440" i="48"/>
  <c r="K557" i="48"/>
  <c r="K315" i="48"/>
  <c r="N315" i="48" s="1"/>
  <c r="K648" i="48"/>
  <c r="K728" i="48"/>
  <c r="N728" i="48" s="1"/>
  <c r="K668" i="48"/>
  <c r="N668" i="48" s="1"/>
  <c r="K896" i="48"/>
  <c r="K602" i="48"/>
  <c r="N602" i="48" s="1"/>
  <c r="K310" i="48"/>
  <c r="K217" i="48"/>
  <c r="K553" i="48"/>
  <c r="K453" i="48"/>
  <c r="N453" i="48" s="1"/>
  <c r="K853" i="48"/>
  <c r="K847" i="48"/>
  <c r="N847" i="48" s="1"/>
  <c r="K241" i="48"/>
  <c r="K442" i="48"/>
  <c r="N442" i="48" s="1"/>
  <c r="K137" i="48"/>
  <c r="N137" i="48" s="1"/>
  <c r="K611" i="48"/>
  <c r="N611" i="48" s="1"/>
  <c r="K708" i="48"/>
  <c r="N708" i="48" s="1"/>
  <c r="K640" i="48"/>
  <c r="N640" i="48" s="1"/>
  <c r="K652" i="48"/>
  <c r="N652" i="48" s="1"/>
  <c r="K712" i="48"/>
  <c r="K204" i="48"/>
  <c r="K405" i="48"/>
  <c r="N405" i="48" s="1"/>
  <c r="K517" i="48"/>
  <c r="K703" i="48"/>
  <c r="K505" i="48"/>
  <c r="K326" i="48"/>
  <c r="K322" i="48"/>
  <c r="N322" i="48" s="1"/>
  <c r="K274" i="48"/>
  <c r="K683" i="48"/>
  <c r="N683" i="48" s="1"/>
  <c r="K647" i="48"/>
  <c r="K577" i="48"/>
  <c r="K872" i="48"/>
  <c r="K451" i="48"/>
  <c r="N451" i="48" s="1"/>
  <c r="K507" i="48"/>
  <c r="N507" i="48" s="1"/>
  <c r="K209" i="48"/>
  <c r="N209" i="48" s="1"/>
  <c r="K716" i="48"/>
  <c r="N716" i="48" s="1"/>
  <c r="K356" i="48"/>
  <c r="N356" i="48" s="1"/>
  <c r="K365" i="48"/>
  <c r="K210" i="48"/>
  <c r="N210" i="48" s="1"/>
  <c r="K296" i="48"/>
  <c r="K394" i="48"/>
  <c r="N394" i="48" s="1"/>
  <c r="K675" i="48"/>
  <c r="N675" i="48" s="1"/>
  <c r="K474" i="48"/>
  <c r="K825" i="48"/>
  <c r="N825" i="48" s="1"/>
  <c r="K488" i="48"/>
  <c r="N488" i="48" s="1"/>
  <c r="K633" i="48"/>
  <c r="N633" i="48" s="1"/>
  <c r="K431" i="48"/>
  <c r="N431" i="48" s="1"/>
  <c r="K146" i="48"/>
  <c r="N146" i="48" s="1"/>
  <c r="K822" i="48"/>
  <c r="N822" i="48" s="1"/>
  <c r="K251" i="48"/>
  <c r="K292" i="48"/>
  <c r="K201" i="48"/>
  <c r="N201" i="48" s="1"/>
  <c r="K569" i="48"/>
  <c r="N569" i="48" s="1"/>
  <c r="K626" i="48"/>
  <c r="N626" i="48" s="1"/>
  <c r="K244" i="48"/>
  <c r="N244" i="48" s="1"/>
  <c r="K585" i="48"/>
  <c r="K773" i="48"/>
  <c r="N773" i="48" s="1"/>
  <c r="K674" i="48"/>
  <c r="N674" i="48" s="1"/>
  <c r="K387" i="48"/>
  <c r="N387" i="48" s="1"/>
  <c r="K478" i="48"/>
  <c r="K842" i="48"/>
  <c r="N842" i="48" s="1"/>
  <c r="K632" i="48"/>
  <c r="N632" i="48" s="1"/>
  <c r="K428" i="48"/>
  <c r="K268" i="48"/>
  <c r="N268" i="48" s="1"/>
  <c r="K660" i="48"/>
  <c r="N660" i="48" s="1"/>
  <c r="K789" i="48"/>
  <c r="N789" i="48" s="1"/>
  <c r="K586" i="48"/>
  <c r="K422" i="48"/>
  <c r="K471" i="48"/>
  <c r="N471" i="48" s="1"/>
  <c r="K246" i="48"/>
  <c r="K866" i="48"/>
  <c r="N866" i="48" s="1"/>
  <c r="K497" i="48"/>
  <c r="K540" i="48"/>
  <c r="N540" i="48" s="1"/>
  <c r="K886" i="48"/>
  <c r="K500" i="48"/>
  <c r="K568" i="48"/>
  <c r="N568" i="48" s="1"/>
  <c r="K272" i="48"/>
  <c r="K746" i="48"/>
  <c r="K176" i="48"/>
  <c r="K725" i="48"/>
  <c r="K539" i="48"/>
  <c r="N539" i="48" s="1"/>
  <c r="K899" i="48"/>
  <c r="N899" i="48" s="1"/>
  <c r="K650" i="48"/>
  <c r="N650" i="48" s="1"/>
  <c r="K307" i="48"/>
  <c r="N307" i="48" s="1"/>
  <c r="K260" i="48"/>
  <c r="K814" i="48"/>
  <c r="K473" i="48"/>
  <c r="N473" i="48" s="1"/>
  <c r="K277" i="48"/>
  <c r="N277" i="48" s="1"/>
  <c r="K729" i="48"/>
  <c r="K375" i="48"/>
  <c r="N375" i="48" s="1"/>
  <c r="K546" i="48"/>
  <c r="N546" i="48" s="1"/>
  <c r="K639" i="48"/>
  <c r="N639" i="48" s="1"/>
  <c r="K749" i="48"/>
  <c r="N749" i="48" s="1"/>
  <c r="K776" i="48"/>
  <c r="K185" i="48"/>
  <c r="N185" i="48" s="1"/>
  <c r="K140" i="48"/>
  <c r="N140" i="48" s="1"/>
  <c r="K304" i="48"/>
  <c r="N304" i="48" s="1"/>
  <c r="K559" i="48"/>
  <c r="N559" i="48" s="1"/>
  <c r="K439" i="48"/>
  <c r="K372" i="48"/>
  <c r="N372" i="48" s="1"/>
  <c r="K835" i="48"/>
  <c r="N835" i="48" s="1"/>
  <c r="K242" i="48"/>
  <c r="N242" i="48" s="1"/>
  <c r="K551" i="48"/>
  <c r="M36" i="48"/>
  <c r="M133" i="48"/>
  <c r="M11" i="48"/>
  <c r="M74" i="48"/>
  <c r="M10" i="48"/>
  <c r="M75" i="48"/>
  <c r="M76" i="48"/>
  <c r="M22" i="48"/>
  <c r="M85" i="48"/>
  <c r="M23" i="48"/>
  <c r="M87" i="48"/>
  <c r="M40" i="48"/>
  <c r="M104" i="48"/>
  <c r="M65" i="48"/>
  <c r="M129" i="48"/>
  <c r="M35" i="48"/>
  <c r="M29" i="48"/>
  <c r="M4" i="48"/>
  <c r="M86" i="48"/>
  <c r="M18" i="48"/>
  <c r="M82" i="48"/>
  <c r="M19" i="48"/>
  <c r="M83" i="48"/>
  <c r="M84" i="48"/>
  <c r="M30" i="48"/>
  <c r="M94" i="48"/>
  <c r="M31" i="48"/>
  <c r="M95" i="48"/>
  <c r="M48" i="48"/>
  <c r="M112" i="48"/>
  <c r="M9" i="48"/>
  <c r="M73" i="48"/>
  <c r="M5" i="48"/>
  <c r="M53" i="48"/>
  <c r="M93" i="48"/>
  <c r="M125" i="48"/>
  <c r="M26" i="48"/>
  <c r="M90" i="48"/>
  <c r="M27" i="48"/>
  <c r="M91" i="48"/>
  <c r="M92" i="48"/>
  <c r="M38" i="48"/>
  <c r="M102" i="48"/>
  <c r="M39" i="48"/>
  <c r="M103" i="48"/>
  <c r="M56" i="48"/>
  <c r="M120" i="48"/>
  <c r="M17" i="48"/>
  <c r="M81" i="48"/>
  <c r="M61" i="48"/>
  <c r="M44" i="48"/>
  <c r="M108" i="48"/>
  <c r="M12" i="48"/>
  <c r="M34" i="48"/>
  <c r="M98" i="48"/>
  <c r="M37" i="48"/>
  <c r="M99" i="48"/>
  <c r="M100" i="48"/>
  <c r="M46" i="48"/>
  <c r="M110" i="48"/>
  <c r="M47" i="48"/>
  <c r="M111" i="48"/>
  <c r="M64" i="48"/>
  <c r="M128" i="48"/>
  <c r="M25" i="48"/>
  <c r="M89" i="48"/>
  <c r="M117" i="48"/>
  <c r="M101" i="48"/>
  <c r="M13" i="48"/>
  <c r="M42" i="48"/>
  <c r="M106" i="48"/>
  <c r="M43" i="48"/>
  <c r="M107" i="48"/>
  <c r="M45" i="48"/>
  <c r="M109" i="48"/>
  <c r="M54" i="48"/>
  <c r="M119" i="48"/>
  <c r="M55" i="48"/>
  <c r="M118" i="48"/>
  <c r="M8" i="48"/>
  <c r="M72" i="48"/>
  <c r="M33" i="48"/>
  <c r="M97" i="48"/>
  <c r="M21" i="48"/>
  <c r="M58" i="48"/>
  <c r="M122" i="48"/>
  <c r="M59" i="48"/>
  <c r="M123" i="48"/>
  <c r="M60" i="48"/>
  <c r="M124" i="48"/>
  <c r="M6" i="48"/>
  <c r="M70" i="48"/>
  <c r="M134" i="48"/>
  <c r="M7" i="48"/>
  <c r="M71" i="48"/>
  <c r="M24" i="48"/>
  <c r="M88" i="48"/>
  <c r="M49" i="48"/>
  <c r="M113" i="48"/>
  <c r="M77" i="48"/>
  <c r="M66" i="48"/>
  <c r="M130" i="48"/>
  <c r="M3" i="48"/>
  <c r="M67" i="48"/>
  <c r="M131" i="48"/>
  <c r="M69" i="48"/>
  <c r="M132" i="48"/>
  <c r="M14" i="48"/>
  <c r="M78" i="48"/>
  <c r="M15" i="48"/>
  <c r="M79" i="48"/>
  <c r="M32" i="48"/>
  <c r="M96" i="48"/>
  <c r="M57" i="48"/>
  <c r="M121" i="48"/>
  <c r="M20" i="48"/>
  <c r="M126" i="48"/>
  <c r="M105" i="48"/>
  <c r="M51" i="48"/>
  <c r="M28" i="48"/>
  <c r="M115" i="48"/>
  <c r="M52" i="48"/>
  <c r="M16" i="48"/>
  <c r="M50" i="48"/>
  <c r="M127" i="48"/>
  <c r="M116" i="48"/>
  <c r="M63" i="48"/>
  <c r="M80" i="48"/>
  <c r="M114" i="48"/>
  <c r="M68" i="48"/>
  <c r="M62" i="48"/>
  <c r="M41" i="48"/>
  <c r="K81" i="48"/>
  <c r="K125" i="48"/>
  <c r="K93" i="48"/>
  <c r="K71" i="48"/>
  <c r="K127" i="48"/>
  <c r="K82" i="48"/>
  <c r="K55" i="48"/>
  <c r="K105" i="48"/>
  <c r="K64" i="48"/>
  <c r="K114" i="48"/>
  <c r="K31" i="48"/>
  <c r="K46" i="48"/>
  <c r="K50" i="48"/>
  <c r="K100" i="48"/>
  <c r="K54" i="48"/>
  <c r="K22" i="48"/>
  <c r="K90" i="48"/>
  <c r="K17" i="48"/>
  <c r="K73" i="48"/>
  <c r="K63" i="48"/>
  <c r="K7" i="48"/>
  <c r="K41" i="48"/>
  <c r="K18" i="48"/>
  <c r="K115" i="48"/>
  <c r="K120" i="48"/>
  <c r="K61" i="48"/>
  <c r="K86" i="48"/>
  <c r="K35" i="48"/>
  <c r="K10" i="48"/>
  <c r="K43" i="48"/>
  <c r="K116" i="48"/>
  <c r="K42" i="48"/>
  <c r="K39" i="48"/>
  <c r="K129" i="48"/>
  <c r="K83" i="48"/>
  <c r="K67" i="48"/>
  <c r="K59" i="48"/>
  <c r="K128" i="48"/>
  <c r="K9" i="48"/>
  <c r="K107" i="48"/>
  <c r="K122" i="48"/>
  <c r="K80" i="48"/>
  <c r="K26" i="48"/>
  <c r="K97" i="48"/>
  <c r="K56" i="48"/>
  <c r="K126" i="48"/>
  <c r="K13" i="48"/>
  <c r="K76" i="48"/>
  <c r="K52" i="48"/>
  <c r="K109" i="48"/>
  <c r="K40" i="48"/>
  <c r="K99" i="48"/>
  <c r="K65" i="48"/>
  <c r="K119" i="48"/>
  <c r="K30" i="48"/>
  <c r="K87" i="48"/>
  <c r="K88" i="48"/>
  <c r="K16" i="48"/>
  <c r="K111" i="48"/>
  <c r="K33" i="48"/>
  <c r="K75" i="48"/>
  <c r="K62" i="48"/>
  <c r="K12" i="48"/>
  <c r="K132" i="48"/>
  <c r="K130" i="48"/>
  <c r="K77" i="48"/>
  <c r="K58" i="48"/>
  <c r="K45" i="48"/>
  <c r="K32" i="48"/>
  <c r="K110" i="48"/>
  <c r="K74" i="48"/>
  <c r="K23" i="48"/>
  <c r="K79" i="48"/>
  <c r="K24" i="48"/>
  <c r="K113" i="48"/>
  <c r="K36" i="48"/>
  <c r="K47" i="48"/>
  <c r="K133" i="48"/>
  <c r="K103" i="48"/>
  <c r="K89" i="48"/>
  <c r="K51" i="48"/>
  <c r="K123" i="48"/>
  <c r="K102" i="48"/>
  <c r="K11" i="48"/>
  <c r="K69" i="48"/>
  <c r="K3" i="48"/>
  <c r="K124" i="48"/>
  <c r="K78" i="48"/>
  <c r="K134" i="48"/>
  <c r="K44" i="48"/>
  <c r="K25" i="48"/>
  <c r="K60" i="48"/>
  <c r="K14" i="48"/>
  <c r="K70" i="48"/>
  <c r="K27" i="48"/>
  <c r="K118" i="48"/>
  <c r="K8" i="48"/>
  <c r="K98" i="48"/>
  <c r="K85" i="48"/>
  <c r="K112" i="48"/>
  <c r="K29" i="48"/>
  <c r="K53" i="48"/>
  <c r="K34" i="48"/>
  <c r="K15" i="48"/>
  <c r="K21" i="48"/>
  <c r="K96" i="48"/>
  <c r="K121" i="48"/>
  <c r="K68" i="48"/>
  <c r="K37" i="48"/>
  <c r="K49" i="48"/>
  <c r="K84" i="48"/>
  <c r="K92" i="48"/>
  <c r="K38" i="48"/>
  <c r="K4" i="48"/>
  <c r="K131" i="48"/>
  <c r="K101" i="48"/>
  <c r="K48" i="48"/>
  <c r="K104" i="48"/>
  <c r="K5" i="48"/>
  <c r="K57" i="48"/>
  <c r="K19" i="48"/>
  <c r="K66" i="48"/>
  <c r="K72" i="48"/>
  <c r="K108" i="48"/>
  <c r="K20" i="48"/>
  <c r="K28" i="48"/>
  <c r="K94" i="48"/>
  <c r="K117" i="48"/>
  <c r="K6" i="48"/>
  <c r="K91" i="48"/>
  <c r="K106" i="48"/>
  <c r="K95" i="48"/>
  <c r="N838" i="48"/>
  <c r="N565" i="48"/>
  <c r="N763" i="48"/>
  <c r="N240" i="48"/>
  <c r="N317" i="48"/>
  <c r="N605" i="48"/>
  <c r="N572" i="48"/>
  <c r="N759" i="48"/>
  <c r="N156" i="48"/>
  <c r="N229" i="48"/>
  <c r="N6" i="48" l="1"/>
  <c r="N165" i="48"/>
  <c r="N694" i="48"/>
  <c r="N448" i="48"/>
  <c r="N264" i="48"/>
  <c r="N606" i="48"/>
  <c r="N212" i="48"/>
  <c r="N557" i="48"/>
  <c r="N167" i="48"/>
  <c r="N575" i="48"/>
  <c r="N220" i="48"/>
  <c r="N791" i="48"/>
  <c r="N117" i="48"/>
  <c r="N87" i="48"/>
  <c r="N500" i="48"/>
  <c r="N563" i="48"/>
  <c r="N876" i="48"/>
  <c r="N588" i="48"/>
  <c r="N576" i="48"/>
  <c r="N189" i="48"/>
  <c r="N884" i="48"/>
  <c r="N192" i="48"/>
  <c r="N887" i="48"/>
  <c r="N176" i="48"/>
  <c r="N170" i="48"/>
  <c r="N362" i="48"/>
  <c r="N731" i="48"/>
  <c r="N164" i="48"/>
  <c r="N336" i="48"/>
  <c r="N686" i="48"/>
  <c r="N73" i="48"/>
  <c r="N154" i="48"/>
  <c r="N351" i="48"/>
  <c r="N91" i="48"/>
  <c r="N123" i="48"/>
  <c r="N22" i="48"/>
  <c r="N24" i="48"/>
  <c r="N17" i="48"/>
  <c r="N886" i="48"/>
  <c r="N855" i="48"/>
  <c r="N227" i="48"/>
  <c r="N32" i="48"/>
  <c r="N321" i="48"/>
  <c r="N779" i="48"/>
  <c r="N38" i="48"/>
  <c r="N52" i="48"/>
  <c r="N57" i="48"/>
  <c r="N443" i="48"/>
  <c r="N621" i="48"/>
  <c r="N520" i="48"/>
  <c r="N566" i="48"/>
  <c r="N411" i="48"/>
  <c r="N377" i="48"/>
  <c r="N734" i="48"/>
  <c r="N478" i="48"/>
  <c r="N150" i="48"/>
  <c r="N429" i="48"/>
  <c r="N440" i="48"/>
  <c r="N864" i="48"/>
  <c r="N269" i="48"/>
  <c r="N81" i="48"/>
  <c r="N712" i="48"/>
  <c r="N88" i="48"/>
  <c r="N92" i="48"/>
  <c r="N50" i="48"/>
  <c r="N110" i="48"/>
  <c r="N193" i="48"/>
  <c r="N421" i="48"/>
  <c r="N5" i="48"/>
  <c r="N30" i="48"/>
  <c r="N297" i="48"/>
  <c r="N430" i="48"/>
  <c r="N200" i="48"/>
  <c r="N324" i="48"/>
  <c r="N133" i="48"/>
  <c r="N295" i="48"/>
  <c r="N875" i="48"/>
  <c r="N556" i="48"/>
  <c r="N29" i="48"/>
  <c r="N4" i="48"/>
  <c r="N61" i="48"/>
  <c r="N72" i="48"/>
  <c r="N121" i="48"/>
  <c r="N85" i="48"/>
  <c r="N25" i="48"/>
  <c r="N113" i="48"/>
  <c r="N58" i="48"/>
  <c r="N40" i="48"/>
  <c r="N26" i="48"/>
  <c r="N86" i="48"/>
  <c r="N31" i="48"/>
  <c r="N93" i="48"/>
  <c r="N3" i="48"/>
  <c r="N131" i="48"/>
  <c r="N102" i="48"/>
  <c r="N96" i="48"/>
  <c r="N44" i="48"/>
  <c r="N77" i="48"/>
  <c r="N16" i="48"/>
  <c r="N109" i="48"/>
  <c r="N114" i="48"/>
  <c r="N125" i="48"/>
  <c r="N408" i="48"/>
  <c r="N69" i="48"/>
  <c r="N67" i="48"/>
  <c r="N97" i="48"/>
  <c r="N128" i="48"/>
  <c r="N45" i="48"/>
  <c r="N36" i="48"/>
  <c r="N66" i="48"/>
  <c r="N105" i="48"/>
  <c r="N23" i="48"/>
  <c r="N60" i="48"/>
  <c r="N99" i="48"/>
  <c r="N46" i="48"/>
  <c r="N37" i="48"/>
  <c r="N8" i="48"/>
  <c r="N127" i="48"/>
  <c r="N84" i="48"/>
  <c r="N28" i="48"/>
  <c r="N43" i="48"/>
  <c r="N107" i="48"/>
  <c r="N20" i="48"/>
  <c r="N54" i="48"/>
  <c r="N74" i="48"/>
  <c r="N49" i="48"/>
  <c r="N33" i="48"/>
  <c r="N89" i="48"/>
  <c r="N100" i="48"/>
  <c r="N53" i="48"/>
  <c r="N94" i="48"/>
  <c r="N124" i="48"/>
  <c r="N18" i="48"/>
  <c r="N62" i="48"/>
  <c r="N68" i="48"/>
  <c r="N63" i="48"/>
  <c r="N51" i="48"/>
  <c r="N79" i="48"/>
  <c r="N71" i="48"/>
  <c r="N59" i="48"/>
  <c r="N64" i="48"/>
  <c r="N98" i="48"/>
  <c r="N120" i="48"/>
  <c r="N27" i="48"/>
  <c r="N9" i="48"/>
  <c r="N129" i="48"/>
  <c r="N76" i="48"/>
  <c r="N80" i="48"/>
  <c r="N116" i="48"/>
  <c r="N132" i="48"/>
  <c r="N11" i="48"/>
  <c r="N78" i="48"/>
  <c r="N15" i="48"/>
  <c r="N130" i="48"/>
  <c r="N7" i="48"/>
  <c r="N122" i="48"/>
  <c r="N55" i="48"/>
  <c r="N42" i="48"/>
  <c r="N34" i="48"/>
  <c r="N56" i="48"/>
  <c r="N90" i="48"/>
  <c r="N112" i="48"/>
  <c r="N65" i="48"/>
  <c r="N75" i="48"/>
  <c r="N126" i="48"/>
  <c r="N119" i="48"/>
  <c r="N13" i="48"/>
  <c r="N47" i="48"/>
  <c r="N12" i="48"/>
  <c r="N103" i="48"/>
  <c r="N48" i="48"/>
  <c r="N82" i="48"/>
  <c r="N104" i="48"/>
  <c r="N10" i="48"/>
  <c r="N115" i="48"/>
  <c r="N41" i="48"/>
  <c r="N14" i="48"/>
  <c r="N70" i="48"/>
  <c r="N21" i="48"/>
  <c r="N108" i="48"/>
  <c r="N39" i="48"/>
  <c r="N95" i="48"/>
  <c r="N101" i="48"/>
  <c r="N111" i="48"/>
  <c r="N134" i="48"/>
  <c r="N106" i="48"/>
  <c r="N83" i="48"/>
  <c r="N19" i="48"/>
  <c r="N704" i="48"/>
  <c r="N744" i="48"/>
  <c r="N720" i="48"/>
  <c r="N810" i="48"/>
  <c r="N233" i="48"/>
  <c r="N147" i="48"/>
  <c r="N511" i="48"/>
  <c r="N410" i="48"/>
  <c r="N422" i="48"/>
  <c r="N867" i="48"/>
  <c r="N631" i="48"/>
  <c r="N204" i="48"/>
  <c r="N703" i="48"/>
  <c r="N182" i="48"/>
  <c r="N254" i="48"/>
  <c r="N207" i="48"/>
  <c r="N724" i="48"/>
  <c r="N383" i="48"/>
  <c r="N184" i="48"/>
  <c r="N637" i="48"/>
  <c r="N497" i="48"/>
  <c r="N713" i="48"/>
  <c r="N706" i="48"/>
  <c r="N435" i="48"/>
  <c r="N587" i="48"/>
  <c r="N634" i="48"/>
  <c r="N771" i="48"/>
  <c r="N426" i="48"/>
  <c r="N618" i="48"/>
  <c r="N772" i="48"/>
  <c r="N226" i="48"/>
  <c r="N757" i="48"/>
  <c r="N296" i="48"/>
  <c r="N365" i="48"/>
  <c r="N461" i="48"/>
  <c r="N251" i="48"/>
  <c r="N666" i="48"/>
  <c r="N376" i="48"/>
  <c r="N620" i="48"/>
  <c r="N339" i="48"/>
  <c r="N252" i="48"/>
  <c r="N638" i="48"/>
  <c r="N221" i="48"/>
  <c r="N586" i="48"/>
  <c r="N518" i="48"/>
  <c r="N219" i="48"/>
  <c r="N624" i="48"/>
  <c r="N314" i="48"/>
  <c r="N325" i="48"/>
  <c r="N659" i="48"/>
  <c r="N880" i="48"/>
  <c r="N505" i="48"/>
  <c r="N305" i="48"/>
  <c r="N496" i="48"/>
  <c r="N361" i="48"/>
  <c r="N658" i="48"/>
  <c r="N514" i="48"/>
  <c r="N459" i="48"/>
  <c r="N642" i="48"/>
  <c r="N725" i="48"/>
  <c r="N187" i="48"/>
  <c r="N465" i="48"/>
  <c r="N180" i="48"/>
  <c r="N896" i="48"/>
  <c r="N499" i="48"/>
  <c r="N729" i="48"/>
  <c r="N329" i="48"/>
  <c r="N266" i="48"/>
  <c r="N523" i="48"/>
  <c r="N599" i="48"/>
  <c r="N281" i="48"/>
  <c r="N604" i="48"/>
  <c r="N610" i="48"/>
  <c r="N342" i="48"/>
  <c r="N188" i="48"/>
  <c r="N335" i="48"/>
  <c r="N482" i="48"/>
  <c r="N328" i="48"/>
  <c r="N475" i="48"/>
  <c r="N689" i="48"/>
  <c r="N841" i="48"/>
  <c r="N647" i="48"/>
  <c r="N882" i="48"/>
  <c r="N289" i="48"/>
  <c r="N755" i="48"/>
  <c r="N754" i="48"/>
  <c r="N232" i="48"/>
  <c r="N303" i="48"/>
  <c r="N584" i="48"/>
  <c r="N748" i="48"/>
  <c r="N699" i="48"/>
  <c r="N155" i="48"/>
  <c r="N142" i="48"/>
  <c r="N313" i="48"/>
  <c r="N687" i="48"/>
  <c r="N316" i="48"/>
  <c r="N680" i="48"/>
  <c r="N527" i="48"/>
  <c r="N196" i="48"/>
  <c r="N872" i="48"/>
  <c r="N246" i="48"/>
  <c r="N581" i="48"/>
  <c r="N517" i="48"/>
  <c r="N796" i="48"/>
  <c r="N590" i="48"/>
  <c r="N412" i="48"/>
  <c r="N406" i="48"/>
  <c r="N439" i="48"/>
  <c r="N172" i="48"/>
  <c r="N522" i="48"/>
  <c r="N456" i="48"/>
  <c r="N823" i="48"/>
  <c r="N334" i="48"/>
  <c r="N205" i="48"/>
  <c r="N399" i="48"/>
  <c r="N696" i="48"/>
  <c r="N392" i="48"/>
  <c r="N690" i="48"/>
  <c r="N649" i="48"/>
  <c r="N646" i="48"/>
  <c r="N490" i="48"/>
  <c r="N616" i="48"/>
  <c r="N353" i="48"/>
  <c r="N573" i="48"/>
  <c r="N506" i="48"/>
  <c r="N792" i="48"/>
  <c r="N828" i="48"/>
  <c r="N617" i="48"/>
  <c r="N181" i="48"/>
  <c r="N852" i="48"/>
  <c r="N578" i="48"/>
  <c r="N721" i="48"/>
  <c r="N645" i="48"/>
  <c r="N177" i="48"/>
  <c r="N516" i="48"/>
  <c r="N153" i="48"/>
  <c r="N853" i="48"/>
  <c r="N261" i="48"/>
  <c r="N474" i="48"/>
  <c r="N746" i="48"/>
  <c r="N545" i="48"/>
  <c r="N840" i="48"/>
  <c r="N274" i="48"/>
  <c r="N326" i="48"/>
  <c r="N298" i="48"/>
  <c r="N692" i="48"/>
  <c r="N532" i="48"/>
  <c r="N171" i="48"/>
  <c r="N856" i="48"/>
  <c r="N598" i="48"/>
  <c r="N213" i="48"/>
  <c r="N292" i="48"/>
  <c r="N144" i="48"/>
  <c r="N148" i="48"/>
  <c r="N794" i="48"/>
  <c r="N814" i="48"/>
  <c r="N702" i="48"/>
  <c r="N536" i="48"/>
  <c r="N809" i="48"/>
  <c r="N492" i="48"/>
  <c r="N414" i="48"/>
  <c r="N379" i="48"/>
  <c r="N272" i="48"/>
  <c r="N241" i="48"/>
  <c r="N635" i="48"/>
  <c r="N768" i="48"/>
  <c r="N374" i="48"/>
  <c r="N888" i="48"/>
  <c r="N697" i="48"/>
  <c r="N151" i="48"/>
  <c r="N216" i="48"/>
  <c r="N389" i="48"/>
  <c r="N551" i="48"/>
  <c r="N202" i="48"/>
  <c r="N818" i="48"/>
  <c r="N715" i="48"/>
  <c r="N758" i="48"/>
  <c r="N428" i="48"/>
  <c r="N480" i="48"/>
  <c r="N859" i="48"/>
  <c r="N280" i="48"/>
  <c r="N519" i="48"/>
  <c r="N553" i="48"/>
  <c r="N368" i="48"/>
  <c r="N248" i="48"/>
  <c r="N600" i="48"/>
  <c r="N382" i="48"/>
  <c r="N206" i="48"/>
  <c r="N238" i="48"/>
  <c r="N877" i="48"/>
  <c r="N234" i="48"/>
  <c r="N776" i="48"/>
  <c r="N418" i="48"/>
  <c r="N869" i="48"/>
  <c r="N863" i="48"/>
  <c r="N345" i="48"/>
  <c r="B19" i="54" s="1"/>
  <c r="N901" i="48"/>
  <c r="N260" i="48"/>
  <c r="N542" i="48"/>
  <c r="N628" i="48"/>
  <c r="N472" i="48"/>
  <c r="N223" i="48"/>
  <c r="N235" i="48"/>
  <c r="N820" i="48"/>
  <c r="N311" i="48"/>
  <c r="N577" i="48"/>
  <c r="N627" i="48"/>
  <c r="N648" i="48"/>
  <c r="N531" i="48"/>
  <c r="N310" i="48"/>
  <c r="N275" i="48"/>
  <c r="N218" i="48"/>
  <c r="N217" i="48"/>
  <c r="N239" i="48"/>
  <c r="N256" i="48"/>
  <c r="N299" i="48"/>
  <c r="N555" i="48"/>
  <c r="N396" i="48"/>
  <c r="N552" i="48"/>
  <c r="N450" i="48"/>
  <c r="N446" i="48"/>
  <c r="N691" i="48"/>
  <c r="N585" i="48"/>
  <c r="N391" i="48"/>
  <c r="N118" i="48"/>
  <c r="C71" i="54" s="1"/>
  <c r="N157" i="48"/>
  <c r="B26" i="54" s="1"/>
  <c r="N35" i="48"/>
  <c r="C78" i="54" s="1"/>
  <c r="C68" i="54" l="1"/>
  <c r="C75" i="54"/>
  <c r="C80" i="54"/>
  <c r="C76" i="54"/>
  <c r="C74" i="54"/>
  <c r="C72" i="54"/>
  <c r="B18" i="54"/>
  <c r="C77" i="54"/>
  <c r="B30" i="54"/>
  <c r="C79" i="54"/>
  <c r="B27" i="54"/>
  <c r="C57" i="54"/>
  <c r="C51" i="54"/>
  <c r="C67" i="54"/>
  <c r="C52" i="54"/>
  <c r="C53" i="54"/>
  <c r="B28" i="54"/>
  <c r="B13" i="54"/>
  <c r="C64" i="54"/>
  <c r="C48" i="54"/>
  <c r="C55" i="54"/>
  <c r="B16" i="54"/>
  <c r="B22" i="54"/>
  <c r="B2" i="54"/>
  <c r="B6" i="54"/>
  <c r="C60" i="54"/>
  <c r="B11" i="54"/>
  <c r="B3" i="54"/>
  <c r="C69" i="54"/>
  <c r="D69" i="54" s="1"/>
  <c r="E69" i="54" s="1"/>
  <c r="F69" i="54" s="1"/>
  <c r="F110" i="54" s="1"/>
  <c r="C58" i="54"/>
  <c r="C66" i="54"/>
  <c r="B7" i="54"/>
  <c r="D71" i="54"/>
  <c r="E71" i="54" s="1"/>
  <c r="D78" i="54"/>
  <c r="E78" i="54" s="1"/>
  <c r="B35" i="54"/>
  <c r="D68" i="54"/>
  <c r="E68" i="54" s="1"/>
  <c r="D72" i="54"/>
  <c r="E72" i="54" s="1"/>
  <c r="B25" i="54"/>
  <c r="C62" i="54"/>
  <c r="B33" i="54"/>
  <c r="D75" i="54" l="1"/>
  <c r="E75" i="54" s="1"/>
  <c r="B37" i="54"/>
  <c r="B32" i="54"/>
  <c r="D80" i="54"/>
  <c r="E80" i="54" s="1"/>
  <c r="B31" i="54"/>
  <c r="D79" i="54"/>
  <c r="E79" i="54" s="1"/>
  <c r="B29" i="54"/>
  <c r="D76" i="54"/>
  <c r="E76" i="54" s="1"/>
  <c r="D74" i="54"/>
  <c r="E74" i="54" s="1"/>
  <c r="C61" i="54"/>
  <c r="D61" i="54" s="1"/>
  <c r="E61" i="54" s="1"/>
  <c r="D77" i="54"/>
  <c r="E77" i="54" s="1"/>
  <c r="D52" i="54"/>
  <c r="E52" i="54" s="1"/>
  <c r="B9" i="54"/>
  <c r="B34" i="54"/>
  <c r="B20" i="54"/>
  <c r="C56" i="54"/>
  <c r="D56" i="54" s="1"/>
  <c r="E56" i="54" s="1"/>
  <c r="F78" i="54"/>
  <c r="F119" i="54" s="1"/>
  <c r="B14" i="54"/>
  <c r="B36" i="54"/>
  <c r="C49" i="54"/>
  <c r="D49" i="54" s="1"/>
  <c r="E49" i="54" s="1"/>
  <c r="C70" i="54"/>
  <c r="D70" i="54" s="1"/>
  <c r="E70" i="54" s="1"/>
  <c r="C63" i="54"/>
  <c r="D63" i="54" s="1"/>
  <c r="F71" i="54"/>
  <c r="F112" i="54" s="1"/>
  <c r="D57" i="54"/>
  <c r="E57" i="54" s="1"/>
  <c r="C73" i="54"/>
  <c r="D73" i="54" s="1"/>
  <c r="E73" i="54" s="1"/>
  <c r="D60" i="54"/>
  <c r="E60" i="54" s="1"/>
  <c r="B17" i="54"/>
  <c r="D67" i="54"/>
  <c r="E67" i="54" s="1"/>
  <c r="B8" i="54"/>
  <c r="B21" i="54"/>
  <c r="D51" i="54"/>
  <c r="E51" i="54" s="1"/>
  <c r="D64" i="54"/>
  <c r="E64" i="54" s="1"/>
  <c r="C54" i="54"/>
  <c r="D54" i="54" s="1"/>
  <c r="E54" i="54" s="1"/>
  <c r="B5" i="54"/>
  <c r="D53" i="54"/>
  <c r="E53" i="54" s="1"/>
  <c r="C50" i="54"/>
  <c r="D50" i="54" s="1"/>
  <c r="E50" i="54" s="1"/>
  <c r="C45" i="54"/>
  <c r="D45" i="54" s="1"/>
  <c r="E45" i="54" s="1"/>
  <c r="B10" i="54"/>
  <c r="B24" i="54"/>
  <c r="D58" i="54"/>
  <c r="E58" i="54" s="1"/>
  <c r="D55" i="54"/>
  <c r="E55" i="54" s="1"/>
  <c r="C65" i="54"/>
  <c r="D65" i="54" s="1"/>
  <c r="E65" i="54" s="1"/>
  <c r="F65" i="54" s="1"/>
  <c r="F106" i="54" s="1"/>
  <c r="C46" i="54"/>
  <c r="B12" i="54"/>
  <c r="C59" i="54"/>
  <c r="D59" i="54" s="1"/>
  <c r="E59" i="54" s="1"/>
  <c r="D48" i="54"/>
  <c r="E48" i="54" s="1"/>
  <c r="D66" i="54"/>
  <c r="E66" i="54" s="1"/>
  <c r="B23" i="54"/>
  <c r="B15" i="54"/>
  <c r="F68" i="54"/>
  <c r="F109" i="54" s="1"/>
  <c r="D62" i="54"/>
  <c r="E62" i="54" s="1"/>
  <c r="F62" i="54" s="1"/>
  <c r="F103" i="54" s="1"/>
  <c r="F72" i="54"/>
  <c r="F113" i="54" s="1"/>
  <c r="F75" i="54" l="1"/>
  <c r="F116" i="54" s="1"/>
  <c r="F74" i="54"/>
  <c r="F115" i="54" s="1"/>
  <c r="F76" i="54"/>
  <c r="F117" i="54" s="1"/>
  <c r="F77" i="54"/>
  <c r="F118" i="54" s="1"/>
  <c r="F80" i="54"/>
  <c r="F121" i="54" s="1"/>
  <c r="F60" i="54"/>
  <c r="F101" i="54" s="1"/>
  <c r="F79" i="54"/>
  <c r="F120" i="54" s="1"/>
  <c r="F52" i="54"/>
  <c r="F93" i="54" s="1"/>
  <c r="F57" i="54"/>
  <c r="F98" i="54" s="1"/>
  <c r="F51" i="54"/>
  <c r="F92" i="54" s="1"/>
  <c r="E63" i="54"/>
  <c r="F63" i="54" s="1"/>
  <c r="F104" i="54" s="1"/>
  <c r="F67" i="54"/>
  <c r="F108" i="54" s="1"/>
  <c r="F64" i="54"/>
  <c r="F105" i="54" s="1"/>
  <c r="C81" i="54"/>
  <c r="F53" i="54"/>
  <c r="F94" i="54" s="1"/>
  <c r="D46" i="54"/>
  <c r="E46" i="54" s="1"/>
  <c r="F46" i="54" s="1"/>
  <c r="F87" i="54" s="1"/>
  <c r="B38" i="54"/>
  <c r="F55" i="54"/>
  <c r="F96" i="54" s="1"/>
  <c r="F58" i="54"/>
  <c r="F99" i="54" s="1"/>
  <c r="F66" i="54"/>
  <c r="F107" i="54" s="1"/>
  <c r="F48" i="54"/>
  <c r="F89" i="54" s="1"/>
  <c r="F59" i="54"/>
  <c r="F100" i="54" s="1"/>
  <c r="F73" i="54"/>
  <c r="F114" i="54" s="1"/>
  <c r="F50" i="54"/>
  <c r="F91" i="54" s="1"/>
  <c r="F49" i="54"/>
  <c r="F90" i="54" s="1"/>
  <c r="F70" i="54"/>
  <c r="F111" i="54" s="1"/>
  <c r="F56" i="54"/>
  <c r="F97" i="54" s="1"/>
  <c r="F61" i="54"/>
  <c r="F102" i="54" s="1"/>
  <c r="F54" i="54"/>
  <c r="F95" i="54" s="1"/>
  <c r="F45" i="54"/>
  <c r="D81" i="54" l="1"/>
  <c r="E81" i="54"/>
  <c r="F81" i="54"/>
  <c r="F86" i="54"/>
  <c r="F122" i="54" s="1"/>
</calcChain>
</file>

<file path=xl/sharedStrings.xml><?xml version="1.0" encoding="utf-8"?>
<sst xmlns="http://schemas.openxmlformats.org/spreadsheetml/2006/main" count="7593" uniqueCount="1675">
  <si>
    <t>Age Category</t>
  </si>
  <si>
    <t>Population Data</t>
  </si>
  <si>
    <t>Number of Stoves installed</t>
  </si>
  <si>
    <t>PoA</t>
  </si>
  <si>
    <t>Total/Average</t>
  </si>
  <si>
    <t>Total</t>
  </si>
  <si>
    <t>Sampling Constants</t>
  </si>
  <si>
    <t>Level of sampling</t>
  </si>
  <si>
    <t>Confidence (%) (90 or 95)</t>
  </si>
  <si>
    <t>Margin of Error (%)</t>
  </si>
  <si>
    <t>Z value</t>
  </si>
  <si>
    <t>Quantity</t>
  </si>
  <si>
    <t>Date of Installation</t>
  </si>
  <si>
    <t>No</t>
  </si>
  <si>
    <t>Yes</t>
  </si>
  <si>
    <t xml:space="preserve"> </t>
  </si>
  <si>
    <t>Saiful Islam</t>
  </si>
  <si>
    <t>Description</t>
  </si>
  <si>
    <t>Value</t>
  </si>
  <si>
    <t>fraction</t>
  </si>
  <si>
    <t>Parameters</t>
  </si>
  <si>
    <t>Units</t>
  </si>
  <si>
    <t>Reference</t>
  </si>
  <si>
    <t xml:space="preserve">Quantity of firewood consumed in baseline scenario during year y (tons per household per year) </t>
  </si>
  <si>
    <t>tonnes/ year</t>
  </si>
  <si>
    <t>Registered PoA-DD/VPA-DDs</t>
  </si>
  <si>
    <t>%</t>
  </si>
  <si>
    <t xml:space="preserve">Uncertainity Correction Factor </t>
  </si>
  <si>
    <t>Adjustment factor to account for uncertainty related to project cookstove efficiency test</t>
  </si>
  <si>
    <t>Leakage Adjustment Factor (LAF)</t>
  </si>
  <si>
    <t xml:space="preserve">Adjustment factor to account for leakage </t>
  </si>
  <si>
    <t>MD.WAHID</t>
  </si>
  <si>
    <t>MD.ABDUS SALAM</t>
  </si>
  <si>
    <t>Halima Begum</t>
  </si>
  <si>
    <t>Nurjahan Begum</t>
  </si>
  <si>
    <t>Md. Abdur Razzak</t>
  </si>
  <si>
    <t>Salma</t>
  </si>
  <si>
    <t>Hasina Khatun</t>
  </si>
  <si>
    <t>Monowara Begum</t>
  </si>
  <si>
    <t>SHAHINUR</t>
  </si>
  <si>
    <t>Amena Begum</t>
  </si>
  <si>
    <t>HASINA BEGUM</t>
  </si>
  <si>
    <t>Md. Abul Kalam Azad</t>
  </si>
  <si>
    <t>NASIMA BEGUM</t>
  </si>
  <si>
    <t>Ranu</t>
  </si>
  <si>
    <t xml:space="preserve">Usage rate for project cookstoves in year y, based on adoption rate and drop off rate revealed by usage surveys (fraction) </t>
  </si>
  <si>
    <t xml:space="preserve">Usage of baseline cookstove during the year y (fraction) in project scenario </t>
  </si>
  <si>
    <t>y-1</t>
  </si>
  <si>
    <t>VPA 10</t>
  </si>
  <si>
    <t>VPA 11</t>
  </si>
  <si>
    <t>VPA 12</t>
  </si>
  <si>
    <t>VPA 13</t>
  </si>
  <si>
    <t>VPA 14</t>
  </si>
  <si>
    <t>VPA 15</t>
  </si>
  <si>
    <t>VPA 16</t>
  </si>
  <si>
    <t>VPA 17</t>
  </si>
  <si>
    <t>VPA 18</t>
  </si>
  <si>
    <t>VPA 19</t>
  </si>
  <si>
    <t>VPA 20</t>
  </si>
  <si>
    <t>VPA 21</t>
  </si>
  <si>
    <t>VPA 22</t>
  </si>
  <si>
    <t>VPA 23</t>
  </si>
  <si>
    <t>VPA 24</t>
  </si>
  <si>
    <t>VPA 25</t>
  </si>
  <si>
    <t>VPA 26</t>
  </si>
  <si>
    <t>VPA 27</t>
  </si>
  <si>
    <t>VPA 28</t>
  </si>
  <si>
    <t>VPA 29</t>
  </si>
  <si>
    <t>VPA 30</t>
  </si>
  <si>
    <t>VPA 31</t>
  </si>
  <si>
    <t>VPA 32</t>
  </si>
  <si>
    <t>VPA 33</t>
  </si>
  <si>
    <t>VPA 34</t>
  </si>
  <si>
    <t>VPA 35</t>
  </si>
  <si>
    <t>VPA 36</t>
  </si>
  <si>
    <t>VPA NUMBER</t>
  </si>
  <si>
    <t>MD. ABDUR RAHIM</t>
  </si>
  <si>
    <t>BISWAJIT BISWAS</t>
  </si>
  <si>
    <t>MD. SHAFIQUL ISLAM</t>
  </si>
  <si>
    <t>MD. KUTUB UDDIN</t>
  </si>
  <si>
    <t>MD. JAHIRUL ISLAM</t>
  </si>
  <si>
    <t>JULEKHA</t>
  </si>
  <si>
    <t>MD.SHAFIQUL ISLAM</t>
  </si>
  <si>
    <t>MD.JAMAL HOSSAIN</t>
  </si>
  <si>
    <t>Md. Osman Goni</t>
  </si>
  <si>
    <t>Parameter</t>
  </si>
  <si>
    <t>ER multiplier</t>
  </si>
  <si>
    <t>Sample Size  required</t>
  </si>
  <si>
    <t>Unit</t>
  </si>
  <si>
    <t>Population Size</t>
  </si>
  <si>
    <t>number</t>
  </si>
  <si>
    <t>Sample Size</t>
  </si>
  <si>
    <t>Proportion for Up,y</t>
  </si>
  <si>
    <t>Standard error of proportion for Up,y</t>
  </si>
  <si>
    <t>Precision for Up,y</t>
  </si>
  <si>
    <t>Result for Up,y</t>
  </si>
  <si>
    <t xml:space="preserve"> --</t>
  </si>
  <si>
    <t>Proportion for non baseline stove usage (1-DFb,Stove,y)</t>
  </si>
  <si>
    <t>Standard error of proportion for non baseline stove usage</t>
  </si>
  <si>
    <t>Precision for non baseline stove usage</t>
  </si>
  <si>
    <t>Result for non baseline stove usage</t>
  </si>
  <si>
    <t>Monitoring Session</t>
  </si>
  <si>
    <t>MS2</t>
  </si>
  <si>
    <t xml:space="preserve">   </t>
  </si>
  <si>
    <t>Debasish Biswas</t>
  </si>
  <si>
    <t>Biswajit Biswas</t>
  </si>
  <si>
    <t>JACKSON CHOWDHURY</t>
  </si>
  <si>
    <t>KH. MUSFIQUR RAHMAN</t>
  </si>
  <si>
    <t>Pankaj Kumar Mohanto</t>
  </si>
  <si>
    <t>MD. WAHID</t>
  </si>
  <si>
    <t>Parimal Kumar Biswas</t>
  </si>
  <si>
    <t>MD.MANNAN HAWLADER</t>
  </si>
  <si>
    <t>Md.Tarikuzzaman</t>
  </si>
  <si>
    <t>AMIT KUMAR BISWAS</t>
  </si>
  <si>
    <t xml:space="preserve">Age category </t>
  </si>
  <si>
    <t xml:space="preserve">  </t>
  </si>
  <si>
    <t>Adults</t>
  </si>
  <si>
    <t>Md. Mannan Howlader</t>
  </si>
  <si>
    <t>Md. Abdus Sabur</t>
  </si>
  <si>
    <t>Md. Farhad Shaik</t>
  </si>
  <si>
    <t>Md. Rayhan Ali Biswas</t>
  </si>
  <si>
    <t>Md. Mozaharul Islam</t>
  </si>
  <si>
    <t>Debashish Biswas</t>
  </si>
  <si>
    <t>Md. Tarikuzzaman</t>
  </si>
  <si>
    <t>Ranjan Saha</t>
  </si>
  <si>
    <t>Swadesh Majumder</t>
  </si>
  <si>
    <t>Md. Mominur Islam</t>
  </si>
  <si>
    <t>Amit Kumar Biswas</t>
  </si>
  <si>
    <t>Jackson Chowdhury</t>
  </si>
  <si>
    <t>Md. Ahsan Habib</t>
  </si>
  <si>
    <t>Md. Musharrof Hosen</t>
  </si>
  <si>
    <t>Sheikh Md. Abu Tareq</t>
  </si>
  <si>
    <t>MD.ARSHADUR RAHMAN</t>
  </si>
  <si>
    <t>DATTAPARA BANIACHONG</t>
  </si>
  <si>
    <t>BISWAJIT ADHIKARI</t>
  </si>
  <si>
    <t>PARIMAL KUMAR BISWAS</t>
  </si>
  <si>
    <t>Md.Forhad Sheik</t>
  </si>
  <si>
    <t>Md.Mannan Hawlader</t>
  </si>
  <si>
    <t>Md.Arshad Kamal</t>
  </si>
  <si>
    <t>Md.Mostakim Sagar</t>
  </si>
  <si>
    <t>Anuj Kumar Majumder</t>
  </si>
  <si>
    <t>Shamim Haider</t>
  </si>
  <si>
    <t>Extent Of baseline use (%)</t>
  </si>
  <si>
    <t>VPA 01</t>
  </si>
  <si>
    <t>VPA 03</t>
  </si>
  <si>
    <t>VPA 02</t>
  </si>
  <si>
    <t>VPA 04</t>
  </si>
  <si>
    <t>VPA 05</t>
  </si>
  <si>
    <t>VPA 06</t>
  </si>
  <si>
    <t>VPA 07</t>
  </si>
  <si>
    <t>VPA 08</t>
  </si>
  <si>
    <t>VPA 09</t>
  </si>
  <si>
    <t>Crediting period start date of the specific-case VPA</t>
  </si>
  <si>
    <r>
      <t>Estimated U</t>
    </r>
    <r>
      <rPr>
        <b/>
        <vertAlign val="subscript"/>
        <sz val="10"/>
        <color theme="1"/>
        <rFont val="Calibri"/>
        <family val="2"/>
        <scheme val="minor"/>
      </rPr>
      <t xml:space="preserve">P,y </t>
    </r>
    <r>
      <rPr>
        <b/>
        <sz val="10"/>
        <color theme="1"/>
        <rFont val="Calibri (Body)"/>
      </rPr>
      <t>(p)</t>
    </r>
  </si>
  <si>
    <r>
      <t>U</t>
    </r>
    <r>
      <rPr>
        <vertAlign val="subscript"/>
        <sz val="10"/>
        <color theme="1"/>
        <rFont val="Calibri"/>
        <family val="2"/>
      </rPr>
      <t>P,y</t>
    </r>
  </si>
  <si>
    <r>
      <t>DF</t>
    </r>
    <r>
      <rPr>
        <vertAlign val="subscript"/>
        <sz val="10"/>
        <color theme="1"/>
        <rFont val="Calibri"/>
        <family val="2"/>
      </rPr>
      <t>b,Stove,y</t>
    </r>
  </si>
  <si>
    <r>
      <t>U</t>
    </r>
    <r>
      <rPr>
        <b/>
        <vertAlign val="subscript"/>
        <sz val="10"/>
        <color theme="1"/>
        <rFont val="Calibri"/>
        <family val="2"/>
        <scheme val="minor"/>
      </rPr>
      <t>P,y</t>
    </r>
  </si>
  <si>
    <r>
      <t>DF</t>
    </r>
    <r>
      <rPr>
        <b/>
        <vertAlign val="subscript"/>
        <sz val="10"/>
        <color theme="1"/>
        <rFont val="Calibri"/>
        <family val="2"/>
        <scheme val="minor"/>
      </rPr>
      <t>b,Stove,y</t>
    </r>
  </si>
  <si>
    <r>
      <t>η</t>
    </r>
    <r>
      <rPr>
        <b/>
        <vertAlign val="subscript"/>
        <sz val="10"/>
        <color theme="1"/>
        <rFont val="Calibri"/>
        <family val="2"/>
        <scheme val="minor"/>
      </rPr>
      <t>p,y</t>
    </r>
  </si>
  <si>
    <r>
      <t>P</t>
    </r>
    <r>
      <rPr>
        <b/>
        <vertAlign val="subscript"/>
        <sz val="10"/>
        <color theme="1"/>
        <rFont val="Calibri"/>
        <family val="2"/>
      </rPr>
      <t>y</t>
    </r>
  </si>
  <si>
    <r>
      <t>U</t>
    </r>
    <r>
      <rPr>
        <b/>
        <vertAlign val="subscript"/>
        <sz val="10"/>
        <color theme="1"/>
        <rFont val="Calibri"/>
        <family val="2"/>
      </rPr>
      <t>P,y</t>
    </r>
  </si>
  <si>
    <r>
      <t>DF</t>
    </r>
    <r>
      <rPr>
        <b/>
        <vertAlign val="subscript"/>
        <sz val="10"/>
        <color theme="1"/>
        <rFont val="Calibri"/>
        <family val="2"/>
      </rPr>
      <t>b,Stove,y</t>
    </r>
  </si>
  <si>
    <t>Reference number of the specific-case VPA included in the PoA as of the end of this monitoring period</t>
  </si>
  <si>
    <r>
      <t>SD</t>
    </r>
    <r>
      <rPr>
        <b/>
        <vertAlign val="superscript"/>
        <sz val="10"/>
        <color theme="1"/>
        <rFont val="Arial"/>
        <family val="2"/>
      </rPr>
      <t>2</t>
    </r>
  </si>
  <si>
    <r>
      <t>V</t>
    </r>
    <r>
      <rPr>
        <b/>
        <vertAlign val="sub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= (SD/p)</t>
    </r>
    <r>
      <rPr>
        <b/>
        <vertAlign val="superscript"/>
        <sz val="10"/>
        <color theme="1"/>
        <rFont val="Arial"/>
        <family val="2"/>
      </rPr>
      <t>2</t>
    </r>
  </si>
  <si>
    <r>
      <t>B</t>
    </r>
    <r>
      <rPr>
        <vertAlign val="subscript"/>
        <sz val="12"/>
        <color theme="1"/>
        <rFont val="Calibri (Body)"/>
      </rPr>
      <t>b,y</t>
    </r>
  </si>
  <si>
    <r>
      <t>η</t>
    </r>
    <r>
      <rPr>
        <vertAlign val="subscript"/>
        <sz val="12"/>
        <color theme="1"/>
        <rFont val="Calibri (Body)"/>
      </rPr>
      <t>b</t>
    </r>
  </si>
  <si>
    <r>
      <t>DF</t>
    </r>
    <r>
      <rPr>
        <vertAlign val="subscript"/>
        <sz val="12"/>
        <color theme="1"/>
        <rFont val="Calibri (Body)"/>
      </rPr>
      <t>η</t>
    </r>
  </si>
  <si>
    <r>
      <t>f</t>
    </r>
    <r>
      <rPr>
        <vertAlign val="subscript"/>
        <sz val="12"/>
        <color theme="1"/>
        <rFont val="Calibri (Body)"/>
      </rPr>
      <t>NRB,b,y</t>
    </r>
  </si>
  <si>
    <r>
      <t>EF</t>
    </r>
    <r>
      <rPr>
        <vertAlign val="subscript"/>
        <sz val="12"/>
        <color theme="1"/>
        <rFont val="Calibri (Body)"/>
      </rPr>
      <t>b,fuel,CO2</t>
    </r>
  </si>
  <si>
    <r>
      <t>tCO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 (Body)"/>
      </rPr>
      <t>e/ton of wood</t>
    </r>
  </si>
  <si>
    <r>
      <t>EF</t>
    </r>
    <r>
      <rPr>
        <vertAlign val="subscript"/>
        <sz val="12"/>
        <color theme="1"/>
        <rFont val="Calibri (Body)"/>
      </rPr>
      <t xml:space="preserve">b,fuel,non_CO2  </t>
    </r>
  </si>
  <si>
    <r>
      <t>η</t>
    </r>
    <r>
      <rPr>
        <vertAlign val="subscript"/>
        <sz val="12"/>
        <color theme="1"/>
        <rFont val="Calibri (Body)"/>
      </rPr>
      <t xml:space="preserve">p </t>
    </r>
  </si>
  <si>
    <t>PoA Title</t>
  </si>
  <si>
    <t>Host Country</t>
  </si>
  <si>
    <t>Bangladesh</t>
  </si>
  <si>
    <t>The PoA involves distribution of biomass based improved cookstoves (“ICS”) to households / SMEs in Bangladesh</t>
  </si>
  <si>
    <t>Meth (code / name / version / date of approval)</t>
  </si>
  <si>
    <t>Version of the workbook</t>
  </si>
  <si>
    <t>Sign off date</t>
  </si>
  <si>
    <t>For queries on Calculator, contact the following:</t>
  </si>
  <si>
    <t>Name (First/Middle/Last)</t>
  </si>
  <si>
    <t>Rohit Lohia</t>
  </si>
  <si>
    <t>Organization</t>
  </si>
  <si>
    <t xml:space="preserve">email: </t>
  </si>
  <si>
    <t>rohit.lohia@climate-secure.com</t>
  </si>
  <si>
    <t>GHG Emission Reduction through use of Bondhu Chula (Improved Cook Stoves) in Bangladesh</t>
  </si>
  <si>
    <t>GS 3112</t>
  </si>
  <si>
    <t>PoA ID</t>
  </si>
  <si>
    <t>VPAs covered in this Monitoring Period</t>
  </si>
  <si>
    <t>The Gold Standard Simplified Methodology for Efficient Cookstoves, Version 1.0, dated February 2013</t>
  </si>
  <si>
    <t># of stoves</t>
  </si>
  <si>
    <t>ERs</t>
  </si>
  <si>
    <t>Dates of each monitoring session</t>
  </si>
  <si>
    <t>MS#</t>
  </si>
  <si>
    <t>Start date</t>
  </si>
  <si>
    <t>End date</t>
  </si>
  <si>
    <t>1.1.Date of Survey</t>
  </si>
  <si>
    <t>1.2.Name of Surveyor / Agency</t>
  </si>
  <si>
    <t>1.3.Name of User / Respondent</t>
  </si>
  <si>
    <t>1.4.Gender of User / Respondent</t>
  </si>
  <si>
    <t>1.5.Address of the User / Respondent</t>
  </si>
  <si>
    <t>1.6.Contact Details of User / Respondent (phone number)</t>
  </si>
  <si>
    <t>1.7.Number of members in the household</t>
  </si>
  <si>
    <t>1.8.Is Bondhu Chulha present in the household?</t>
  </si>
  <si>
    <t>1.9.Record the Bondhu Chulha Serial number</t>
  </si>
  <si>
    <t>Age category</t>
  </si>
  <si>
    <t>1.10.Date of installation of Bondhu Chulha</t>
  </si>
  <si>
    <t>1.11.Do you use Bondhu Chulha for cooking?</t>
  </si>
  <si>
    <t>1.12.If yes, how many times do you use the Bondhu Chula?</t>
  </si>
  <si>
    <t>1.13.Is the stove in good condition?</t>
  </si>
  <si>
    <t>1.14.Is any Traditional Chulha present along with Bondhu Chulha?</t>
  </si>
  <si>
    <t>1.15. If Yes, do you use the Traditional  Chulha for cooking?</t>
  </si>
  <si>
    <t>1.16.If yes, how many times do you use the Traditional Stove?</t>
  </si>
  <si>
    <t>2.1. Does Bondhu Chulha uses less fuel compared to traditional stove?</t>
  </si>
  <si>
    <t>2.2. Is there less smoke/PM in your kitchen when cooking with Bondhu Chula?</t>
  </si>
  <si>
    <t>2.3. Is there less soot on the utensils when you cook with Bondhu Chula?</t>
  </si>
  <si>
    <t>2.4. Does Bondhu Chulha takes less time to cook compared to traditional stove?</t>
  </si>
  <si>
    <t>2.5. If you collected fuel, has fuel collection time reduced since using Bondhu Chula?</t>
  </si>
  <si>
    <t>2.6. If you purchase fuel, has fuel expenditure reduced since using Bondhu Chula?</t>
  </si>
  <si>
    <t>3.1. Are you happy with the performance of Bondhu Chula</t>
  </si>
  <si>
    <t>3.2. Any other comment / Feedback on Bondhu Chula design / usability / after sales service / warranty</t>
  </si>
  <si>
    <t>childrens</t>
  </si>
  <si>
    <t>Weekly Meals</t>
  </si>
  <si>
    <t>Monthly Meals</t>
  </si>
  <si>
    <t>Male</t>
  </si>
  <si>
    <t>Female</t>
  </si>
  <si>
    <t>ARSHADUR RAHMAN</t>
  </si>
  <si>
    <t xml:space="preserve">Md. Ahsan Habib </t>
  </si>
  <si>
    <t>MD. RAYHAN ALI BISWAS</t>
  </si>
  <si>
    <t>Md. Ahsan Kabir</t>
  </si>
  <si>
    <t>MD. Atikur Rahman</t>
  </si>
  <si>
    <t>NAHAR BEGUM</t>
  </si>
  <si>
    <t>G.M. Hadiuzzaman</t>
  </si>
  <si>
    <t>Md. Monirul Islam</t>
  </si>
  <si>
    <t>MD. MEHEDI HASAN</t>
  </si>
  <si>
    <t>Nripen Mondal</t>
  </si>
  <si>
    <t>Md. Badol Howlader</t>
  </si>
  <si>
    <t>Sajeda Begum</t>
  </si>
  <si>
    <t>MD. MOSTAKIM SAGAR</t>
  </si>
  <si>
    <t>MST. SHAHIDA BAGUM</t>
  </si>
  <si>
    <t>EMRAN HOSSAIN</t>
  </si>
  <si>
    <t>MD. ARSHAD KAMAL</t>
  </si>
  <si>
    <t>MD. SHAHIDUL SHEIKH</t>
  </si>
  <si>
    <t xml:space="preserve">Md. Tarikuzzaman </t>
  </si>
  <si>
    <t>Md. Jahidul Islam</t>
  </si>
  <si>
    <t>MD. MUSHARROF HOSEN</t>
  </si>
  <si>
    <t>Md. Shahaduth Hossain</t>
  </si>
  <si>
    <t>Md.Nazmul Huda</t>
  </si>
  <si>
    <t>SAIFUL ISLAM</t>
  </si>
  <si>
    <t>MD, FARUQ HOSSEN</t>
  </si>
  <si>
    <t>Monash Kumar Bahadur</t>
  </si>
  <si>
    <t>SUFIA</t>
  </si>
  <si>
    <t>SCHOOL ER PASE , DORIMITHAPUR</t>
  </si>
  <si>
    <t>PROKASH ROY</t>
  </si>
  <si>
    <t>5-6 years</t>
  </si>
  <si>
    <t>Md. Forhad Shaik</t>
  </si>
  <si>
    <t>Md. Bacchu Mondol</t>
  </si>
  <si>
    <t>MD. JAMAL HOSSAIN</t>
  </si>
  <si>
    <t>Md. Zamil Hossain</t>
  </si>
  <si>
    <t>Biswajit Adhikari</t>
  </si>
  <si>
    <t>Md.Monirul Islam</t>
  </si>
  <si>
    <t>SWADESH MOJUMDER</t>
  </si>
  <si>
    <t>Sumi Akter</t>
  </si>
  <si>
    <t>Sabina Yesmin</t>
  </si>
  <si>
    <t>Md. Wahid</t>
  </si>
  <si>
    <t>Arif</t>
  </si>
  <si>
    <t>RENUARA BEGUM</t>
  </si>
  <si>
    <t>MODDHOPARA , GOYABARIA</t>
  </si>
  <si>
    <t>SAS-KUS-MIR-SAD-D-805</t>
  </si>
  <si>
    <t>MD.HARUN AHMAD</t>
  </si>
  <si>
    <t>MST.SABINA</t>
  </si>
  <si>
    <t>PABNAPARA SONAPURL</t>
  </si>
  <si>
    <t>PIA-NAT-BAG-DOY-D-481</t>
  </si>
  <si>
    <t>6-7 years</t>
  </si>
  <si>
    <t>Md. Helal Uddin Molla</t>
  </si>
  <si>
    <t>Krisno Rani Shaha</t>
  </si>
  <si>
    <t>THANA SIDE , JAGONNATHKATHI</t>
  </si>
  <si>
    <t>SOL-PIR-NES-W07-D-37</t>
  </si>
  <si>
    <t>Rabeya Khatun</t>
  </si>
  <si>
    <t>MODHOPARA JADOPPUR</t>
  </si>
  <si>
    <t>ABC-NRL-KAL-PUR-D-516</t>
  </si>
  <si>
    <t>ALINOGOR-UP , KHASA</t>
  </si>
  <si>
    <t>SIS-SYL(E)-BEA-ALI-D-142</t>
  </si>
  <si>
    <t>MD. SHADAK ALI</t>
  </si>
  <si>
    <t>GOUSSOGRAM , CHULLIPARA</t>
  </si>
  <si>
    <t>ZOK-RAN-PIG-KAI-D-163</t>
  </si>
  <si>
    <t>BAURPARA , MOSHIMNAGAR</t>
  </si>
  <si>
    <t>TPS1-JES-MON-MOS-D-196</t>
  </si>
  <si>
    <t>FATHIMA AKTER</t>
  </si>
  <si>
    <t>MADDHA BAZAR , JANATAR BAZAR</t>
  </si>
  <si>
    <t>MS1-HAB-NAB-GAZ-D-34</t>
  </si>
  <si>
    <t>Shopna Rani</t>
  </si>
  <si>
    <t>Shahapara Manikchok</t>
  </si>
  <si>
    <t>STR-BOG-BOG-W-19-D-35</t>
  </si>
  <si>
    <t>Arshad Ali</t>
  </si>
  <si>
    <t>UTTOR PARA MOSJIDER PASE , NAJIR GHER</t>
  </si>
  <si>
    <t>SS2-SAT-DEB-PAR-D-1701</t>
  </si>
  <si>
    <t>DAMPURA , DAMPURA</t>
  </si>
  <si>
    <t>PAR-NAO-NIA-RAS-D-63</t>
  </si>
  <si>
    <t>SATANI SADAKPUR. SATANI SADAKPUR.</t>
  </si>
  <si>
    <t>JIM-GAI-SAD-SHA-D-1061</t>
  </si>
  <si>
    <t>BAZAR , JOLATUL</t>
  </si>
  <si>
    <t>ALS1-JOY-JOY-PUR-D-32</t>
  </si>
  <si>
    <t>NAZMA BEGUM</t>
  </si>
  <si>
    <t>SHEIKH PARA , KONDROPPUR</t>
  </si>
  <si>
    <t>SS4-JES-MON-VOJ-D-702</t>
  </si>
  <si>
    <t>Kohinur</t>
  </si>
  <si>
    <t>FILTI , FILTI</t>
  </si>
  <si>
    <t>NAZ1-CNG-SAD-W09-D-49</t>
  </si>
  <si>
    <t>Modhopara , Attaky</t>
  </si>
  <si>
    <t>RUP-KHU-RUP-TSB-D-409</t>
  </si>
  <si>
    <t>Rabeya Begum</t>
  </si>
  <si>
    <t>Loskor Bari Bonni</t>
  </si>
  <si>
    <t>FAT-BAG-RAM-GOU-D-171</t>
  </si>
  <si>
    <t>MODDO NOLEA NOLEA</t>
  </si>
  <si>
    <t>MBD-KUR-VUG-VUG-D-22</t>
  </si>
  <si>
    <t>MAHADI</t>
  </si>
  <si>
    <t>UTTORPARA , FARIDPUR</t>
  </si>
  <si>
    <t>BBC-CHU-ALO-BEL-D-15</t>
  </si>
  <si>
    <t>AREFA BEGUM</t>
  </si>
  <si>
    <t>KAHARIYAGHONA , 6 NO:WARD</t>
  </si>
  <si>
    <t>SOJ-COX-CHO-W06-D-890</t>
  </si>
  <si>
    <t>RUBI AKTER</t>
  </si>
  <si>
    <t>HIMCHORI PARA HIMCHORI PARA</t>
  </si>
  <si>
    <t>AMI-COX-SAD-JHI-D-668</t>
  </si>
  <si>
    <t>PURBO PARA , SIDDERSORE ROAD</t>
  </si>
  <si>
    <t>BAB-BRA-SAR-PUK-D-189</t>
  </si>
  <si>
    <t>MD.MOMINUR ISLAM</t>
  </si>
  <si>
    <t>ZOHORUL HAQUE</t>
  </si>
  <si>
    <t>UTTAR PARA URISOR</t>
  </si>
  <si>
    <t>KS-COM(N)-MUR-PAH-D-247</t>
  </si>
  <si>
    <t>MST. KAZOLI BEGUM</t>
  </si>
  <si>
    <t>RM ACADEMY ROAD RADANAGER</t>
  </si>
  <si>
    <t>ISA-PAB-SAD-W11-D-93</t>
  </si>
  <si>
    <t>KAJOLY</t>
  </si>
  <si>
    <t>DABRA JINESSARRI , MORICHA</t>
  </si>
  <si>
    <t>ANA-DIN-BRG-MOR-D-1892</t>
  </si>
  <si>
    <t>SAGOR</t>
  </si>
  <si>
    <t>MILPARA , SUBIDPUR</t>
  </si>
  <si>
    <t>SCC-MEH-MEH-KUT-8</t>
  </si>
  <si>
    <t>Fatema Khatun</t>
  </si>
  <si>
    <t>UTTAR PARA , BURICHONG</t>
  </si>
  <si>
    <t>SAS-COM(N)-BUR-BUR-D-376</t>
  </si>
  <si>
    <t>Lalita Bala</t>
  </si>
  <si>
    <t>Dokkin Para Saracarani</t>
  </si>
  <si>
    <t>SHO-BAG-CHI-CHI-D-680</t>
  </si>
  <si>
    <t>GUSSOGRAM , VELU,RAMJIBON (GOR)</t>
  </si>
  <si>
    <t>ARS-RAN-SAD-SAP-D-138</t>
  </si>
  <si>
    <t>MRS. MORIUM BEGUM</t>
  </si>
  <si>
    <t>Pochimpara , Bagerchar</t>
  </si>
  <si>
    <t>JOK-JAM-ISL-CHP-D-500</t>
  </si>
  <si>
    <t>MST.ROMELA KHATUN</t>
  </si>
  <si>
    <t>LOTIF DR MORE DOGASI POSSIMPARA</t>
  </si>
  <si>
    <t>SAA-PAB-ATG-DEB-D-303</t>
  </si>
  <si>
    <t>MASURA BEGUM</t>
  </si>
  <si>
    <t>ULABARI , ULABARI</t>
  </si>
  <si>
    <t>HAM-NAT-ATR-AHS-D-72</t>
  </si>
  <si>
    <t>MST. RESHMA AKTAR</t>
  </si>
  <si>
    <t>OBDA , KALOSADHO</t>
  </si>
  <si>
    <t>SAB-PAB-FAR-W05-D-168</t>
  </si>
  <si>
    <t>Hosnera Begume</t>
  </si>
  <si>
    <t>SAPRA MOSJID , BOTIA</t>
  </si>
  <si>
    <t>MME-DHK-DOH-DOH-D-40</t>
  </si>
  <si>
    <t>Rina</t>
  </si>
  <si>
    <t>RS3-NRL-LOH-NOA-D-3329</t>
  </si>
  <si>
    <t>MST. MABIA KHATUN</t>
  </si>
  <si>
    <t>LAYBERIBAZAR KOLAR AROT , ATUA</t>
  </si>
  <si>
    <t>SAA-PAB-SAD-W13-D-353</t>
  </si>
  <si>
    <t>SAIKH PARA , NOROHOR KATI</t>
  </si>
  <si>
    <t>AS2-SAT-KAL-MOU-D-487</t>
  </si>
  <si>
    <t>Mazada Begum</t>
  </si>
  <si>
    <t>NORTHPARA NIYAMOTPUR</t>
  </si>
  <si>
    <t>SIM-TAN(N)-DHO-W03-D-364</t>
  </si>
  <si>
    <t>Abdul Mannan</t>
  </si>
  <si>
    <t>Moddho para , Utraon</t>
  </si>
  <si>
    <t>RAS-COM-MUD-PAH-D-160</t>
  </si>
  <si>
    <t>MST. SABINA YESMIN</t>
  </si>
  <si>
    <t>SCHOOL PARA , ATGHORIYA</t>
  </si>
  <si>
    <t>RIP-PAB-ATG-W02-D-339</t>
  </si>
  <si>
    <t>RAFIKUL</t>
  </si>
  <si>
    <t>DULAL PLAZA , SHOKHIPUR</t>
  </si>
  <si>
    <t>MIM-TAN(N)-SHO-W09-102</t>
  </si>
  <si>
    <t>TATIPUKUR , HELKUNDA</t>
  </si>
  <si>
    <t>NIM-JOY-JOY-PUR-D-305</t>
  </si>
  <si>
    <t>MST. FORIDA BEGUM</t>
  </si>
  <si>
    <t>VUIROMPARA , GOJOMOTIKUNDA</t>
  </si>
  <si>
    <t>SAA-PAB-PAB-MAL-D-411</t>
  </si>
  <si>
    <t>MD. AL-MAMUN</t>
  </si>
  <si>
    <t>MST. MUNNI BAGUM</t>
  </si>
  <si>
    <t>2NO WORD , TORMUGURIA</t>
  </si>
  <si>
    <t>RS-MAD-MAD-W02-D-205</t>
  </si>
  <si>
    <t>UTTOR PARA BOROICHARA</t>
  </si>
  <si>
    <t>RS2-MAG-SRE-DAR-D-431</t>
  </si>
  <si>
    <t>Md. Emran Hossen</t>
  </si>
  <si>
    <t>Maya Rani</t>
  </si>
  <si>
    <t>SINDURPUR , SATBARIA</t>
  </si>
  <si>
    <t>FAR1-PAB-SUJ-SAT-D-43</t>
  </si>
  <si>
    <t>COLLEGE PARA , DASER</t>
  </si>
  <si>
    <t>SHU-MAD-KAL-DAS-D-234</t>
  </si>
  <si>
    <t>NAZIRA KHATUN</t>
  </si>
  <si>
    <t>MOROL PARA , KUSHU DANGA</t>
  </si>
  <si>
    <t>DAR-JES-JHI-BAK-D-127</t>
  </si>
  <si>
    <t>Purbopara Putikhali</t>
  </si>
  <si>
    <t>NAB-BAG-MOR-PUT-D-1324</t>
  </si>
  <si>
    <t>LUCKYB DAY</t>
  </si>
  <si>
    <t>MOLLIK PARA , BODIR DOKAN</t>
  </si>
  <si>
    <t>MAL-CTG(S)-SAT-DHA-D-450</t>
  </si>
  <si>
    <t>SHUKJAN</t>
  </si>
  <si>
    <t>MODHOPARA ALAIL</t>
  </si>
  <si>
    <t>AS1-RJB-RJB-PAC-D-100</t>
  </si>
  <si>
    <t>NASRIN</t>
  </si>
  <si>
    <t>Latonia , Latonia</t>
  </si>
  <si>
    <t>TAS-MYM(N)-PUR-PUR-D-352</t>
  </si>
  <si>
    <t>MOJIBUR KAJI</t>
  </si>
  <si>
    <t>HORIHOR PUR , HORIHOR PUR</t>
  </si>
  <si>
    <t>MSK-DIN-BRM-KAT-D-203</t>
  </si>
  <si>
    <t>Helal Mollah</t>
  </si>
  <si>
    <t>Nasrin Begum</t>
  </si>
  <si>
    <t>BONMAIL BONMAIL</t>
  </si>
  <si>
    <t>HAE-BSL-NAL-KUS-D-21</t>
  </si>
  <si>
    <t>MST. SHEFALI KHATUN</t>
  </si>
  <si>
    <t>MODHU PARA , DAMRA</t>
  </si>
  <si>
    <t>LIM-PAB-FAR-FAR-D-349</t>
  </si>
  <si>
    <t>AFSARUL</t>
  </si>
  <si>
    <t>KAZZIPARA , BOROPUPAI</t>
  </si>
  <si>
    <t>RAS-RAN-GAN-W05-D-207</t>
  </si>
  <si>
    <t>NATUN RASTER MATA SARAFVATA</t>
  </si>
  <si>
    <t>JIH-RNG-RAN-SAR-D-199</t>
  </si>
  <si>
    <t>DHULAURI DHULAURI</t>
  </si>
  <si>
    <t>GRA-CNG-GAM-RAH-D-305</t>
  </si>
  <si>
    <t>E31 , LEDA REFUGEE CAMP TAKNAF</t>
  </si>
  <si>
    <t>MS-COX-TEK-NHA-D-514</t>
  </si>
  <si>
    <t>Char Sriula Char</t>
  </si>
  <si>
    <t>MH-SAT-ASS-SRE-D-579</t>
  </si>
  <si>
    <t>CHINO COR</t>
  </si>
  <si>
    <t>JALE PARA, OLD KALURGHAT , 5 NO WORD</t>
  </si>
  <si>
    <t>LOK-CTG(N)-CHA-W05-D-294</t>
  </si>
  <si>
    <t>NEAR MOYNAKUTI BAZAR , MOYNAKUTI</t>
  </si>
  <si>
    <t>PMB-RAN-SAD-W07-D-1651</t>
  </si>
  <si>
    <t>WARD-NO-2 , BOISHAKHI PARA</t>
  </si>
  <si>
    <t>DIP-SHA-NAR-W02-D-270</t>
  </si>
  <si>
    <t>VALAIN VALIN</t>
  </si>
  <si>
    <t>HEL-NAO-MAN-BHA-D-99</t>
  </si>
  <si>
    <t>Hosneara Begom</t>
  </si>
  <si>
    <t>VELAYA, , KAHAROL</t>
  </si>
  <si>
    <t>MLS-THA-HOR-VAT-D-512</t>
  </si>
  <si>
    <t>BAJE VOMRA , VOMRA</t>
  </si>
  <si>
    <t>BS1-SAT-SAT-VOM-D-648</t>
  </si>
  <si>
    <t>Noor Bokt Mia</t>
  </si>
  <si>
    <t>Sobmeher</t>
  </si>
  <si>
    <t>GOBEN DOPUR MADDAM PARA , GOBEN DOPUR MADDAM PARA</t>
  </si>
  <si>
    <t>HRD-NSG-RAY-PAL-D-5</t>
  </si>
  <si>
    <t>RIKTA</t>
  </si>
  <si>
    <t>vil: Suliz Bazar Alipur</t>
  </si>
  <si>
    <t>MHT-PAT-DAS-ALI-D-37</t>
  </si>
  <si>
    <t>Mst. Aysha Khatun</t>
  </si>
  <si>
    <t>MIDIL PALSHA , PALSHA</t>
  </si>
  <si>
    <t>RIZ-BOG-BOG-W14-D-316</t>
  </si>
  <si>
    <t>MALER BARI , KARBONDO</t>
  </si>
  <si>
    <t>LS1-CHA-MOT(S)-DAU-D-188</t>
  </si>
  <si>
    <t>MD. SHOHAN</t>
  </si>
  <si>
    <t>BOLAKA SCHOOL PARA , KHANDABARI</t>
  </si>
  <si>
    <t>MAR-KUS-KUM-SHE-D-458</t>
  </si>
  <si>
    <t>Jahanur Morol</t>
  </si>
  <si>
    <t>Morol para Sahapur</t>
  </si>
  <si>
    <t>HAS-KHU-DUM-ROG-D-143</t>
  </si>
  <si>
    <t>Anna Begum</t>
  </si>
  <si>
    <t>UTTOR PARA FEDI</t>
  </si>
  <si>
    <t>RS3-NRL-LOH-NOA-D-3229</t>
  </si>
  <si>
    <t>ROGUNAT PUR , KAJIRHAT</t>
  </si>
  <si>
    <t>MMS-SAT-KOL-HEL-D-128</t>
  </si>
  <si>
    <t>DOKHINPARA , SATPAR</t>
  </si>
  <si>
    <t>ANS-GOP-GOP-SAT-D-30</t>
  </si>
  <si>
    <t>LAILI</t>
  </si>
  <si>
    <t>SOT PARA , SOT PARA</t>
  </si>
  <si>
    <t>SHA2-NAO-DHA-ALM-D-171</t>
  </si>
  <si>
    <t>MST. LOVELY AKTER</t>
  </si>
  <si>
    <t>BAIRATIA PARA , BAIRATIA</t>
  </si>
  <si>
    <t>SHU-KIS(N)-KAR-JAF-D-178</t>
  </si>
  <si>
    <t>PURBOPARA , BAHARATOLA</t>
  </si>
  <si>
    <t>SAD1-BAG-MOR-W04-D-111</t>
  </si>
  <si>
    <t>MRS. ALEHA</t>
  </si>
  <si>
    <t>DALIM BADIA , DALIM BADIA</t>
  </si>
  <si>
    <t>HAF-CNG-SAD-W01-D-494</t>
  </si>
  <si>
    <t>DITTER BARI , ANGRA PRA</t>
  </si>
  <si>
    <t>RS-LAK-RAM-W09-D-960</t>
  </si>
  <si>
    <t>BAZARER PASE , BOHERA</t>
  </si>
  <si>
    <t>AS1-SAT-DEB-KUL-D-93</t>
  </si>
  <si>
    <t>SHREE KOL , SHREE KOL</t>
  </si>
  <si>
    <t>BIL-COX-RAM-FAT-D-049</t>
  </si>
  <si>
    <t>Konika Haldar</t>
  </si>
  <si>
    <t>Tala Chor , Tala</t>
  </si>
  <si>
    <t>BR-SAT-TAL-TAL-D-1171</t>
  </si>
  <si>
    <t>BOTTALE BAZER , BOTTALE</t>
  </si>
  <si>
    <t>CHO-COX-MOE-KUT-D-0580</t>
  </si>
  <si>
    <t>NUR ISLAMER BARI VAIR KHALI</t>
  </si>
  <si>
    <t>SUB-CTG-SIT-BAR-D-178</t>
  </si>
  <si>
    <t>MRS-JALEKHA BEGUM</t>
  </si>
  <si>
    <t>Uttorpara Digrirchar</t>
  </si>
  <si>
    <t>VAI3-JAM-DEW-PAR-D-014</t>
  </si>
  <si>
    <t>Rasel Mia</t>
  </si>
  <si>
    <t>MODHO PARA KHUKNI</t>
  </si>
  <si>
    <t>POR-SIR-SHA-KHU-D-30</t>
  </si>
  <si>
    <t>Khohinor Begum</t>
  </si>
  <si>
    <t>POCHIM PARA , JAGERMOHOL</t>
  </si>
  <si>
    <t>BAS-KHU-KOY-AMA-D-41</t>
  </si>
  <si>
    <t>DARGAPARA , DARGAPARA</t>
  </si>
  <si>
    <t>HAF-CNG-SAD-W01-D-403</t>
  </si>
  <si>
    <t>Rashida Begum</t>
  </si>
  <si>
    <t>BAKA GAZIPARA , ARAJEVOBANEPUR</t>
  </si>
  <si>
    <t>FAT-KHU-PAI-RAR-D-65</t>
  </si>
  <si>
    <t>MSt. Jomiron BiBi</t>
  </si>
  <si>
    <t>PANAY MOR , JAMGRAM</t>
  </si>
  <si>
    <t>FAR-BOG-KHA-JAM-D-294</t>
  </si>
  <si>
    <t>Kolpona Begum</t>
  </si>
  <si>
    <t>Purbo Para Poranpur</t>
  </si>
  <si>
    <t>RAJ-BAG-CHI-KOL-D-408</t>
  </si>
  <si>
    <t>G.M.HADIUZZAMAN</t>
  </si>
  <si>
    <t>MODHO PARA SUHATA</t>
  </si>
  <si>
    <t>JKT-BRA-BRA-RAM-D-244</t>
  </si>
  <si>
    <t>DOKKHIN SONAKHULI , JHUNAGASH CHAPANI</t>
  </si>
  <si>
    <t>SAP-NIL-DIM-JHU-D-701</t>
  </si>
  <si>
    <t>PASCHIM MAIJPARA , PASCHIM MAIJPARA</t>
  </si>
  <si>
    <t>BHE-COX-CHO-DUL-D-751</t>
  </si>
  <si>
    <t>Ambia</t>
  </si>
  <si>
    <t>CHARMAN , RAJAPUR BAZAR</t>
  </si>
  <si>
    <t>AJI-BAG-SAR-DHA-D-416</t>
  </si>
  <si>
    <t>Most. Selina</t>
  </si>
  <si>
    <t>NYEN KANDE , NYEN KANDE</t>
  </si>
  <si>
    <t>AZI-MYM(N)-DHU-GOA-D-42</t>
  </si>
  <si>
    <t>N. GHANOSHEM , N. GHANOSHEM</t>
  </si>
  <si>
    <t>MOU-LAL-KAL-TUS-D-280</t>
  </si>
  <si>
    <t>Saddam Hosen</t>
  </si>
  <si>
    <t>Gazi Para , Chachai</t>
  </si>
  <si>
    <t>MH-SAT-KAL-BIS-D-541</t>
  </si>
  <si>
    <t>BODEOL</t>
  </si>
  <si>
    <t>MANPUR , MANPUR</t>
  </si>
  <si>
    <t>NUR-NAO-DHA-JAH-D-135</t>
  </si>
  <si>
    <t>RASHAD AHMED</t>
  </si>
  <si>
    <t>MUNSHI BARI RAZAPURA</t>
  </si>
  <si>
    <t>MDS-CHA-HAZ-EHA-D-339</t>
  </si>
  <si>
    <t>Md.Shahadat Hoss.</t>
  </si>
  <si>
    <t>PURBO PATUARY PARA DOAL MEMBER AR BARI POSSIM DOKKIN PASE JOGODBER</t>
  </si>
  <si>
    <t>RPA-LAL-SAD-RAJ-D-178</t>
  </si>
  <si>
    <t>Md. Emran Hossan</t>
  </si>
  <si>
    <t>SARDARPARA VOROTPUR</t>
  </si>
  <si>
    <t>SKS-JES-MON-KHA-D-504</t>
  </si>
  <si>
    <t>KALI CHARY , BETBUNIA</t>
  </si>
  <si>
    <t>GRA-RNG-KAW-BAT-D-90</t>
  </si>
  <si>
    <t>PROMILA RANI</t>
  </si>
  <si>
    <t>GUSSO GRIM , BIL SHIKARI</t>
  </si>
  <si>
    <t>JES-NAO-MOA-HAT-D-232</t>
  </si>
  <si>
    <t>MOST. ABEDA BEGUM</t>
  </si>
  <si>
    <t>MARMA , MULIK PUR ROOD</t>
  </si>
  <si>
    <t>ERA-NAO-SAD-BAL-D-781</t>
  </si>
  <si>
    <t>DOLLOVER PARA RASIDER GONA</t>
  </si>
  <si>
    <t>SAI-COX-CHO-HAR-D-834</t>
  </si>
  <si>
    <t>Apurba</t>
  </si>
  <si>
    <t>MODDHO PARA , BOUKONTHOPUR</t>
  </si>
  <si>
    <t>RS3-NRL-LOH-NOA-D-3336</t>
  </si>
  <si>
    <t>MRS. TANIA BEGUM</t>
  </si>
  <si>
    <t>SORNOGOF , CHORPALOG</t>
  </si>
  <si>
    <t>NAS-SHA-SAD-W04-D-60</t>
  </si>
  <si>
    <t>SABINA BEGUM</t>
  </si>
  <si>
    <t>KAYET PARA , BISNUPUR</t>
  </si>
  <si>
    <t>PS-MAG-MAG-SAT-D-666</t>
  </si>
  <si>
    <t>Makshuda Begum</t>
  </si>
  <si>
    <t>24 NO W Mhmadpur Boteagata</t>
  </si>
  <si>
    <t>RAS-KHU-SAD-W29-D-191</t>
  </si>
  <si>
    <t>Mowsumi Begum</t>
  </si>
  <si>
    <t>MOLLIK PARA , SOLDUBI</t>
  </si>
  <si>
    <t>IBR-FAR-SAD-KRI-D-1712</t>
  </si>
  <si>
    <t>MD.MOSTAKIM SAGAR</t>
  </si>
  <si>
    <t>SOVAL BRUA</t>
  </si>
  <si>
    <t>BRUA PARA BIRBILA</t>
  </si>
  <si>
    <t>JAB1-CTG(S)-LOH-CAR-D-45</t>
  </si>
  <si>
    <t>Bangdor Rastar Pase , Budhata</t>
  </si>
  <si>
    <t>SB-SAT-ASS-BUD-D-502</t>
  </si>
  <si>
    <t>SADDAM HOSSAIN</t>
  </si>
  <si>
    <t>HANGAMI , HANGAMI</t>
  </si>
  <si>
    <t>RAJ-CNG-SHI-MON-D-294</t>
  </si>
  <si>
    <t>RAHELA BEGUM</t>
  </si>
  <si>
    <t>Goal Para , Kamarer Chor</t>
  </si>
  <si>
    <t>LAL-SHE-SHE-KAM-D-43</t>
  </si>
  <si>
    <t>Moriom Begum</t>
  </si>
  <si>
    <t>PURBO PARA , DEBHATA</t>
  </si>
  <si>
    <t>SS1-SAT-DEB-DEB-D-398</t>
  </si>
  <si>
    <t>MIS. MANU BEGUM</t>
  </si>
  <si>
    <t>MUNNNA PARA , MUNNNA PARA</t>
  </si>
  <si>
    <t>RAS-PAN-BOD-MAY-D-270</t>
  </si>
  <si>
    <t>GIRLS SCHOOL SONGLOGNA , DIMLA</t>
  </si>
  <si>
    <t>SAM-NIL-DIM-DIM-D-540</t>
  </si>
  <si>
    <t>HASINA</t>
  </si>
  <si>
    <t>LINE PARA , KORCHADANGA</t>
  </si>
  <si>
    <t>EPA-CHU-JIB-AND-D-880</t>
  </si>
  <si>
    <t>Anjoli Rani</t>
  </si>
  <si>
    <t>SAHA PARA MOHESSORDI</t>
  </si>
  <si>
    <t>LIA-FAR-BHA-HAM-D-24</t>
  </si>
  <si>
    <t>Supria Mondol</t>
  </si>
  <si>
    <t>Pochim Para , Sreedhor Pur</t>
  </si>
  <si>
    <t>SB-SAT-ASS-DAR-D-617</t>
  </si>
  <si>
    <t>PIARA BIBI</t>
  </si>
  <si>
    <t>MS3-HAB-BAN-PUB-D-109</t>
  </si>
  <si>
    <t>KADO KHOLA KADOKHULA</t>
  </si>
  <si>
    <t>SUV-BAN-BAN-SUA-D-60</t>
  </si>
  <si>
    <t>GOHATA , ALLARDARGA</t>
  </si>
  <si>
    <t>DUS-KUS-DAU-HOG-D-180</t>
  </si>
  <si>
    <t>RAZZAK MIA</t>
  </si>
  <si>
    <t>NARAONPUR , NARAONPUR</t>
  </si>
  <si>
    <t>THS-GAI-SAD-W03-D-456</t>
  </si>
  <si>
    <t>LALMOHON PARA LALMOHON PARA</t>
  </si>
  <si>
    <t>PAP-PAN-DEB-SUN-D-415</t>
  </si>
  <si>
    <t>w-8 Sota Bigha</t>
  </si>
  <si>
    <t>MPE-PAT-SAD-CHO-D-1153</t>
  </si>
  <si>
    <t>Popi Beom</t>
  </si>
  <si>
    <t>Uttor Para Fedhi</t>
  </si>
  <si>
    <t>NS-NRL-NRL-CHA-D-666</t>
  </si>
  <si>
    <t>DEBIGONJ , DEBIGONJ</t>
  </si>
  <si>
    <t>NET-PAN-DEB-DEB-D-1150</t>
  </si>
  <si>
    <t>BOROIGRAM , BOROIGRAM</t>
  </si>
  <si>
    <t>KAD-KUR-RAJ-CHI-D-18</t>
  </si>
  <si>
    <t>Semul</t>
  </si>
  <si>
    <t>Alir clab , Sonadanga</t>
  </si>
  <si>
    <t>ABR-KHU-SAD-W18-D-1266</t>
  </si>
  <si>
    <t>Delara Begum</t>
  </si>
  <si>
    <t>CHYDORI PARA , SONAPUR</t>
  </si>
  <si>
    <t>MIM-CNG-SHI-DAI-D-406</t>
  </si>
  <si>
    <t>Maloncha , Hotat Para</t>
  </si>
  <si>
    <t>MUR-JOY-PAN-W-04-D-17</t>
  </si>
  <si>
    <t>Nishi Begum</t>
  </si>
  <si>
    <t>SOYTANTOLA , GOFUR MATBAR DANGI</t>
  </si>
  <si>
    <t>IBR-FAR-SAD-BHA-D-1833</t>
  </si>
  <si>
    <t>PURBA VUMIR KHIL , PURBA SORAF VATA</t>
  </si>
  <si>
    <t>JIH-RNG-RAN-SHA-D-236</t>
  </si>
  <si>
    <t>MOLLA BARY , VASANTOR</t>
  </si>
  <si>
    <t>ES-CHA-MAT(N)-FAR-D-70</t>
  </si>
  <si>
    <t>Doli</t>
  </si>
  <si>
    <t>UTTORPARA HARIYA</t>
  </si>
  <si>
    <t>SS4-JES-JHI-GOD-D-435</t>
  </si>
  <si>
    <t>SADEKA BEGUM</t>
  </si>
  <si>
    <t>UTTAR MATIA , MAKRAMPUR</t>
  </si>
  <si>
    <t>RS2-HAB-BAN-MAR-D-84</t>
  </si>
  <si>
    <t>Masuda Begum</t>
  </si>
  <si>
    <t>Uttorpara , Tabra</t>
  </si>
  <si>
    <t>RS1-NRL-NRL-AUR-D-1597</t>
  </si>
  <si>
    <t>ENDORA</t>
  </si>
  <si>
    <t>RANI DR, BARI , EYAKUBPUR</t>
  </si>
  <si>
    <t>IS1-FEN-DAG-YAK-D-84</t>
  </si>
  <si>
    <t>DOKHIN PARA , MOHONPUR</t>
  </si>
  <si>
    <t>PB-COM(N)-DAU-BAT-D-434</t>
  </si>
  <si>
    <t>MORSIDA</t>
  </si>
  <si>
    <t>MOKTAR PARA , MOKTAR PARA</t>
  </si>
  <si>
    <t>SHS-MYM(N)-DUR-W05-D-326</t>
  </si>
  <si>
    <t>KONIKA</t>
  </si>
  <si>
    <t>UASITE PUR , MUKUNDOPUR</t>
  </si>
  <si>
    <t>VAI-DIN-KAH-MUK-D-561</t>
  </si>
  <si>
    <t>Sarosoti Rani</t>
  </si>
  <si>
    <t>Shyamnagar , Shyamnagar</t>
  </si>
  <si>
    <t>LS-SAT-DEB-KUL-D-208</t>
  </si>
  <si>
    <t>BOKS ALLI BEPARI BARI , MANDARI</t>
  </si>
  <si>
    <t>MS5-LAK-SAD-MAN-D-40</t>
  </si>
  <si>
    <t>Rupali Begum</t>
  </si>
  <si>
    <t>UTTOR PARA , SOSTITOLA</t>
  </si>
  <si>
    <t>SAM-JES-JES-W06-D-247</t>
  </si>
  <si>
    <t>SARDER PARA , DOHAKULA</t>
  </si>
  <si>
    <t>MOS-SAT-SAT-BRO-D-129</t>
  </si>
  <si>
    <t>JANNATUL FERDUS</t>
  </si>
  <si>
    <t>MAICH PARA , MODDOM MAICH PARA</t>
  </si>
  <si>
    <t>NUR-COX-SAD-IDG-D-173</t>
  </si>
  <si>
    <t>Most. Kamrun Nahar</t>
  </si>
  <si>
    <t>Emaitpur , Kakoli roae</t>
  </si>
  <si>
    <t>MOS-MYM-PHU-POY-D-02</t>
  </si>
  <si>
    <t>MOLLIK PARA , NARANPUR</t>
  </si>
  <si>
    <t>MA1-SAT-TAL-ISL-D-839</t>
  </si>
  <si>
    <t>GARNURPUR , GARNURPUR</t>
  </si>
  <si>
    <t>AKS1-DIN-SAD-SUN-D-748</t>
  </si>
  <si>
    <t>MD. APON</t>
  </si>
  <si>
    <t>BHAD BAZAR , UTTOR MIRPUR</t>
  </si>
  <si>
    <t>LIT-KUS-KUM-CHP-D-202</t>
  </si>
  <si>
    <t>MRS. ABEDA BEGUM</t>
  </si>
  <si>
    <t>DOSANIPARA , SAPDHIR CHAR</t>
  </si>
  <si>
    <t>JOK-JAM-ISL-CHP-D-800</t>
  </si>
  <si>
    <t>GORI PUR , GORI PUR</t>
  </si>
  <si>
    <t>SEJ-CNG-GOD-PAK-D-174</t>
  </si>
  <si>
    <t>Katalbari , Katalbari</t>
  </si>
  <si>
    <t>MEM-JOY-AKL-SON-D-29</t>
  </si>
  <si>
    <t>UTTORPARA , MATHBARI</t>
  </si>
  <si>
    <t>RS1-NRL-LOH-NAL-D-1696</t>
  </si>
  <si>
    <t>RAZIA</t>
  </si>
  <si>
    <t>BENAMLA , BENAMLA</t>
  </si>
  <si>
    <t>GRA1-JOY-JOY-MOH-D-71</t>
  </si>
  <si>
    <t>Dipa Odikary</t>
  </si>
  <si>
    <t>PURBOPARA , MIRJAPUR</t>
  </si>
  <si>
    <t>TS5-NRL-NRL-BIS-D-103</t>
  </si>
  <si>
    <t>SONARAKHIL , SONARAKHIL</t>
  </si>
  <si>
    <t>JAH-CTG(S)-BAS-CHA-D-139</t>
  </si>
  <si>
    <t>KONDOKER BARI , POSSIM MODNA</t>
  </si>
  <si>
    <t>FS-CHA-CHA-CHA-D-87</t>
  </si>
  <si>
    <t>THATHARI PARA DOKKHIN KHALISHA</t>
  </si>
  <si>
    <t>DAS-NIL-DIM-KHL-D-87</t>
  </si>
  <si>
    <t>Nilufa</t>
  </si>
  <si>
    <t>KARIKOR BARI , OSMANGONG</t>
  </si>
  <si>
    <t>HAS1-BHO-CHA-ABU-D-120</t>
  </si>
  <si>
    <t>MRS. MINA BEGUM</t>
  </si>
  <si>
    <t>Pochimpara , Ponchupir</t>
  </si>
  <si>
    <t>MAS-JAM-SAR-MOH-D-96</t>
  </si>
  <si>
    <t>BAZAR PARA MUNAKOSHA</t>
  </si>
  <si>
    <t>HS-CHU-ALO-KAL-D-400</t>
  </si>
  <si>
    <t>MOSQUE , KOLLDEAR</t>
  </si>
  <si>
    <t>NBS-KUS-BHE-MOR-D-64</t>
  </si>
  <si>
    <t>SAHIN ALOM</t>
  </si>
  <si>
    <t>NIJ PARA , CHAPANI</t>
  </si>
  <si>
    <t>SAP-NIL-DIM-JHU-D-624</t>
  </si>
  <si>
    <t>Schooler Pisone , Borni</t>
  </si>
  <si>
    <t>FAT-BAG-RAM-GOU-D-218</t>
  </si>
  <si>
    <t>SARDERPARA SHAMNAGOR</t>
  </si>
  <si>
    <t>LS-SAT-DEB-KUL-D-185</t>
  </si>
  <si>
    <t>Forida</t>
  </si>
  <si>
    <t>Board Office Bazar North Said , Union.Muradia</t>
  </si>
  <si>
    <t>MMS-PAT-DUM-SRI-D-11</t>
  </si>
  <si>
    <t>MONDOLPARA , SHANKORPUR</t>
  </si>
  <si>
    <t>YUS-RAN-BAD-W09-D-29</t>
  </si>
  <si>
    <t>MOMENA BEGUM</t>
  </si>
  <si>
    <t>PASCHIM BINAMARA , 7 NO:WARD</t>
  </si>
  <si>
    <t>SOJ-COX-CHO-W07-D-971</t>
  </si>
  <si>
    <t>PURBOPARA ESORDI</t>
  </si>
  <si>
    <t>SUS-KUS-KHO-JAN-D-901</t>
  </si>
  <si>
    <t>YASMIN AKTER</t>
  </si>
  <si>
    <t>SRARKUL 8 NO:WARD</t>
  </si>
  <si>
    <t>MNE-COX-CHO-FAS-D-418</t>
  </si>
  <si>
    <t>Purbo Para , Boikari</t>
  </si>
  <si>
    <t>MMS-SAT-SAT-BOI-D-144</t>
  </si>
  <si>
    <t>PURBO PARA GAHITHGAT</t>
  </si>
  <si>
    <t>AS-JES-BAG-BON-D-2004</t>
  </si>
  <si>
    <t>SURJO BEGUM</t>
  </si>
  <si>
    <t>Dhokhinpara , Hajrabari</t>
  </si>
  <si>
    <t>ARE-JAM-MEL-GUP-D-074</t>
  </si>
  <si>
    <t>MAIN ROAD SAID , DUMKI</t>
  </si>
  <si>
    <t>MMS-PAT-DUM-SRI-D-53</t>
  </si>
  <si>
    <t>MOST. MONOWER BEGUM</t>
  </si>
  <si>
    <t>BOKTARPUR , BOKTARPUR</t>
  </si>
  <si>
    <t>FORS-NAO-SAD-BAK-D-395</t>
  </si>
  <si>
    <t>Ruksana</t>
  </si>
  <si>
    <t>AMRATOLA , SONAILTOLA</t>
  </si>
  <si>
    <t>SHA-BAG-MON-SHO-D-825</t>
  </si>
  <si>
    <t>AJIAR RAHAMAN</t>
  </si>
  <si>
    <t>GUSCHO GRAM , SALHATI</t>
  </si>
  <si>
    <t>SAM-NIL-DIM-DIM-D-503</t>
  </si>
  <si>
    <t>MRS. LAKI BEGUM</t>
  </si>
  <si>
    <t>Purbopara , Megarbari</t>
  </si>
  <si>
    <t>RAS-JAM-MEL-DUR-D-607</t>
  </si>
  <si>
    <t>PURBO PARA , BAISDHAR</t>
  </si>
  <si>
    <t>RIS-NET-NET-LAX-D-184</t>
  </si>
  <si>
    <t>Uttor Para Uttor Digong</t>
  </si>
  <si>
    <t>JS-SAT-KOL-HEL-D-451</t>
  </si>
  <si>
    <t>Achila Khatun</t>
  </si>
  <si>
    <t>Majh Para , Sokhipur</t>
  </si>
  <si>
    <t>SAH-SAT-DEB-SOK-D-9</t>
  </si>
  <si>
    <t>Porchim Para , Chapri</t>
  </si>
  <si>
    <t>NAB-BAG-MOR-PUT-D-1144</t>
  </si>
  <si>
    <t>Momtaj Begum</t>
  </si>
  <si>
    <t>POSCHIM KHAR GHONA POSCHIM KHAR GHONA</t>
  </si>
  <si>
    <t>AMI-COX-SAD-ISL-D-552</t>
  </si>
  <si>
    <t>Parboti</t>
  </si>
  <si>
    <t>Moddhopara , Monokhali</t>
  </si>
  <si>
    <t>RS3-NRL-LOH-NAL-D-2490</t>
  </si>
  <si>
    <t>MONDIR AR PASHA KALI BARI</t>
  </si>
  <si>
    <t>AKS1-KUS-KHO-W04-D-771</t>
  </si>
  <si>
    <t>SORDAR PARA CHAKRAM PUR</t>
  </si>
  <si>
    <t>ERA-NAO-SAD-BAL-D-798</t>
  </si>
  <si>
    <t>RANU BAGUM</t>
  </si>
  <si>
    <t>SHIBPUR SHIBPUR</t>
  </si>
  <si>
    <t>HDO-COM(S)-COM(S)-BAR-D-56</t>
  </si>
  <si>
    <t>AMIRUL HUQUE</t>
  </si>
  <si>
    <t>PURBO PARA , ESAPUR</t>
  </si>
  <si>
    <t>SHS-COM(S)-LAK-GOB-D-135</t>
  </si>
  <si>
    <t>MATIN MASTERER BARI , GANGAPUR</t>
  </si>
  <si>
    <t>MAS-LAK-SAD-HAM-D-1119</t>
  </si>
  <si>
    <t>ASRAFUL</t>
  </si>
  <si>
    <t>ESTPARA , ARAPPUR</t>
  </si>
  <si>
    <t>ASA-JHE-JHE-W09-D-148</t>
  </si>
  <si>
    <t>MD. KHADEMUL ISLAM</t>
  </si>
  <si>
    <t>Dhokhinpara , Baki</t>
  </si>
  <si>
    <t>SOS1-JAM-MEL-CHB-D-314</t>
  </si>
  <si>
    <t>MD. FAREQ KHANN</t>
  </si>
  <si>
    <t>TARTA PARA , TARTA PARA</t>
  </si>
  <si>
    <t>ANS1-JAM-MAD-BAL-D-1082</t>
  </si>
  <si>
    <t>MD.MOHSIN MIA</t>
  </si>
  <si>
    <t>RAJ KUMARI GOYALA</t>
  </si>
  <si>
    <t>ASGORABAD TEA GARDEN ASGORABAD TEA GARDEN</t>
  </si>
  <si>
    <t>AGBS-MOU-KUL-KAR-D-4</t>
  </si>
  <si>
    <t>KAZI PARA , NAGOR</t>
  </si>
  <si>
    <t>MAS2-JES-JHI-BAK-D-18</t>
  </si>
  <si>
    <t>SCHOOLPARA RAITA</t>
  </si>
  <si>
    <t>SMK-KUS-BHE-BAH-D-187</t>
  </si>
  <si>
    <t>MAJH PARA , KOMOR PUR</t>
  </si>
  <si>
    <t>JAS-SAT-DEB-PAR-D-1607</t>
  </si>
  <si>
    <t>Madhopara Judhara</t>
  </si>
  <si>
    <t>AME-BAG-MOR-MOR-D-141</t>
  </si>
  <si>
    <t>Monitoring Session #1</t>
  </si>
  <si>
    <t>Monitoring Session #2</t>
  </si>
  <si>
    <t>MS1</t>
  </si>
  <si>
    <t>Monitoring Session 2 (MS2)</t>
  </si>
  <si>
    <t>Monitoring Frequency</t>
  </si>
  <si>
    <t>Annual</t>
  </si>
  <si>
    <t>VPA</t>
  </si>
  <si>
    <r>
      <t>Emission Reductions tCO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e</t>
    </r>
  </si>
  <si>
    <t>Number of Stoves</t>
  </si>
  <si>
    <t>Specific-case VPA reference number</t>
  </si>
  <si>
    <t>GHG emission reductions or net GHG removals by sinks</t>
  </si>
  <si>
    <r>
      <t>(tCO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e) achieved in the monitoring period</t>
    </r>
  </si>
  <si>
    <t>Up to 31/12/2012</t>
  </si>
  <si>
    <t>From 01/01/2013</t>
  </si>
  <si>
    <t>Total amount</t>
  </si>
  <si>
    <t xml:space="preserve">Actual values achieved by the specific-case VPA(s) during this monitoring period  </t>
  </si>
  <si>
    <t xml:space="preserve">tCO2e </t>
  </si>
  <si>
    <t>ex ante ERs as per Section A.4.4 of the registered VPA-DD</t>
  </si>
  <si>
    <t>Ex Ante estimates for the current monitoring period</t>
  </si>
  <si>
    <t>Ex Post monitoring surveys</t>
  </si>
  <si>
    <t>Source of data</t>
  </si>
  <si>
    <t>Number</t>
  </si>
  <si>
    <t>Relevant SDG Indicator/Safeguarding Principle</t>
  </si>
  <si>
    <t>12.2.2 Domestic material consumption, domestic material consumption per capita and domestic material consumption per GDP</t>
  </si>
  <si>
    <t>Fuel Conusmption Values
(tonnes/HH/year)</t>
  </si>
  <si>
    <t>HR records/ Sales marketing record</t>
  </si>
  <si>
    <t>Quantitative Employment and income generation</t>
  </si>
  <si>
    <t>QE IG</t>
  </si>
  <si>
    <t>Data / Parameter</t>
  </si>
  <si>
    <t>8.5.1 Average hourly earnings of female and male employees, by occupation, age and persons with disabilities</t>
  </si>
  <si>
    <t>Access to affordable and clean energy (% of  operating ICS)</t>
  </si>
  <si>
    <t>ACS</t>
  </si>
  <si>
    <t>7.1.2 Proportion of population with primary reliance on clean fuels and technology</t>
  </si>
  <si>
    <r>
      <t>Net Benefit HHT</t>
    </r>
    <r>
      <rPr>
        <vertAlign val="subscript"/>
        <sz val="10"/>
        <color theme="1"/>
        <rFont val="Calibri"/>
        <family val="2"/>
        <scheme val="minor"/>
      </rPr>
      <t xml:space="preserve"> MS2</t>
    </r>
  </si>
  <si>
    <r>
      <t>HHT</t>
    </r>
    <r>
      <rPr>
        <vertAlign val="subscript"/>
        <sz val="10"/>
        <color theme="1"/>
        <rFont val="Calibri"/>
        <family val="2"/>
        <scheme val="minor"/>
      </rPr>
      <t xml:space="preserve"> MS2 - Project</t>
    </r>
  </si>
  <si>
    <r>
      <t>HHT</t>
    </r>
    <r>
      <rPr>
        <vertAlign val="subscript"/>
        <sz val="10"/>
        <color theme="1"/>
        <rFont val="Calibri"/>
        <family val="2"/>
        <scheme val="minor"/>
      </rPr>
      <t xml:space="preserve"> MS2 - Baseline</t>
    </r>
  </si>
  <si>
    <t>% users reporting time saving due to reduced fuel collection/ cooking time</t>
  </si>
  <si>
    <t>HHT</t>
  </si>
  <si>
    <t>5.4.1 Proportion of time spend on unpaid domestic and care work, by sex, age and location</t>
  </si>
  <si>
    <r>
      <t>Net Benefit SPM</t>
    </r>
    <r>
      <rPr>
        <vertAlign val="subscript"/>
        <sz val="10"/>
        <color theme="1"/>
        <rFont val="Calibri"/>
        <family val="2"/>
        <scheme val="minor"/>
      </rPr>
      <t>HH, MS2</t>
    </r>
  </si>
  <si>
    <r>
      <t>SPM</t>
    </r>
    <r>
      <rPr>
        <vertAlign val="subscript"/>
        <sz val="10"/>
        <color theme="1"/>
        <rFont val="Calibri"/>
        <family val="2"/>
        <scheme val="minor"/>
      </rPr>
      <t>HH, MS2 - Project</t>
    </r>
  </si>
  <si>
    <r>
      <t>SPM</t>
    </r>
    <r>
      <rPr>
        <vertAlign val="subscript"/>
        <sz val="10"/>
        <color theme="1"/>
        <rFont val="Calibri"/>
        <family val="2"/>
        <scheme val="minor"/>
      </rPr>
      <t>HH, MS2 - Baseline</t>
    </r>
  </si>
  <si>
    <t>% users reporting reduction in smoke/ PM emissions while cooking on Improved cookstove</t>
  </si>
  <si>
    <r>
      <t>SPM</t>
    </r>
    <r>
      <rPr>
        <vertAlign val="subscript"/>
        <sz val="10"/>
        <color theme="1"/>
        <rFont val="Calibri"/>
        <family val="2"/>
        <scheme val="minor"/>
      </rPr>
      <t>HH</t>
    </r>
  </si>
  <si>
    <t>3.9.1 Mortality rate attributed to household and ambient air pollution</t>
  </si>
  <si>
    <r>
      <t>Net Benefit HHS</t>
    </r>
    <r>
      <rPr>
        <vertAlign val="subscript"/>
        <sz val="10"/>
        <color theme="1"/>
        <rFont val="Calibri"/>
        <family val="2"/>
        <scheme val="minor"/>
      </rPr>
      <t>MS2</t>
    </r>
  </si>
  <si>
    <r>
      <t>HHS</t>
    </r>
    <r>
      <rPr>
        <vertAlign val="subscript"/>
        <sz val="10"/>
        <color theme="1"/>
        <rFont val="Calibri"/>
        <family val="2"/>
        <scheme val="minor"/>
      </rPr>
      <t>Project MS2</t>
    </r>
  </si>
  <si>
    <r>
      <t>HHS</t>
    </r>
    <r>
      <rPr>
        <vertAlign val="subscript"/>
        <sz val="10"/>
        <color theme="1"/>
        <rFont val="Calibri"/>
        <family val="2"/>
        <scheme val="minor"/>
      </rPr>
      <t>Baseline MS2</t>
    </r>
  </si>
  <si>
    <t>% users reporting money saving due to reduced fuel consumption</t>
  </si>
  <si>
    <t xml:space="preserve"> %</t>
  </si>
  <si>
    <t>HHS</t>
  </si>
  <si>
    <t>1.4.1 Proportion of population living in households with access to basic services</t>
  </si>
  <si>
    <t>ICS Sales Record</t>
  </si>
  <si>
    <t>Access to basic services (Number of ICS distributed)</t>
  </si>
  <si>
    <t>BSA</t>
  </si>
  <si>
    <r>
      <t>BSA</t>
    </r>
    <r>
      <rPr>
        <vertAlign val="subscript"/>
        <sz val="10"/>
        <color theme="1"/>
        <rFont val="Calibri"/>
        <family val="2"/>
        <scheme val="minor"/>
      </rPr>
      <t>MS1-Baseline</t>
    </r>
  </si>
  <si>
    <r>
      <t>BSA</t>
    </r>
    <r>
      <rPr>
        <vertAlign val="subscript"/>
        <sz val="10"/>
        <color theme="1"/>
        <rFont val="Calibri"/>
        <family val="2"/>
        <scheme val="minor"/>
      </rPr>
      <t>MS2-Baseline</t>
    </r>
  </si>
  <si>
    <r>
      <t>BSA</t>
    </r>
    <r>
      <rPr>
        <vertAlign val="subscript"/>
        <sz val="10"/>
        <color theme="1"/>
        <rFont val="Calibri"/>
        <family val="2"/>
        <scheme val="minor"/>
      </rPr>
      <t>MS1-Project</t>
    </r>
  </si>
  <si>
    <r>
      <t>BSA</t>
    </r>
    <r>
      <rPr>
        <vertAlign val="subscript"/>
        <sz val="10"/>
        <color theme="1"/>
        <rFont val="Calibri"/>
        <family val="2"/>
        <scheme val="minor"/>
      </rPr>
      <t>MS2-Project</t>
    </r>
  </si>
  <si>
    <r>
      <t>Net Benefit BSA</t>
    </r>
    <r>
      <rPr>
        <vertAlign val="subscript"/>
        <sz val="10"/>
        <color theme="1"/>
        <rFont val="Calibri"/>
        <family val="2"/>
        <scheme val="minor"/>
      </rPr>
      <t>MS1</t>
    </r>
  </si>
  <si>
    <r>
      <t>Net Benefit BSA</t>
    </r>
    <r>
      <rPr>
        <vertAlign val="subscript"/>
        <sz val="10"/>
        <color theme="1"/>
        <rFont val="Calibri"/>
        <family val="2"/>
        <scheme val="minor"/>
      </rPr>
      <t>MS2</t>
    </r>
  </si>
  <si>
    <r>
      <t>SPM</t>
    </r>
    <r>
      <rPr>
        <vertAlign val="subscript"/>
        <sz val="10"/>
        <color theme="1"/>
        <rFont val="Calibri"/>
        <family val="2"/>
        <scheme val="minor"/>
      </rPr>
      <t>HH, MS1 - Baseline</t>
    </r>
  </si>
  <si>
    <r>
      <t>SPM</t>
    </r>
    <r>
      <rPr>
        <vertAlign val="subscript"/>
        <sz val="10"/>
        <color theme="1"/>
        <rFont val="Calibri"/>
        <family val="2"/>
        <scheme val="minor"/>
      </rPr>
      <t>HH, MS1 - Project</t>
    </r>
  </si>
  <si>
    <r>
      <t>Net Benefit SPM</t>
    </r>
    <r>
      <rPr>
        <vertAlign val="subscript"/>
        <sz val="10"/>
        <color theme="1"/>
        <rFont val="Calibri"/>
        <family val="2"/>
        <scheme val="minor"/>
      </rPr>
      <t>HH, MS1</t>
    </r>
  </si>
  <si>
    <r>
      <t>HHT</t>
    </r>
    <r>
      <rPr>
        <vertAlign val="subscript"/>
        <sz val="10"/>
        <color theme="1"/>
        <rFont val="Calibri"/>
        <family val="2"/>
        <scheme val="minor"/>
      </rPr>
      <t xml:space="preserve"> MS1 - Baseline</t>
    </r>
  </si>
  <si>
    <r>
      <t>HHT</t>
    </r>
    <r>
      <rPr>
        <vertAlign val="subscript"/>
        <sz val="10"/>
        <color theme="1"/>
        <rFont val="Calibri"/>
        <family val="2"/>
        <scheme val="minor"/>
      </rPr>
      <t xml:space="preserve"> MS1 - Project</t>
    </r>
  </si>
  <si>
    <r>
      <t>Net Benefit HHT</t>
    </r>
    <r>
      <rPr>
        <vertAlign val="subscript"/>
        <sz val="10"/>
        <color theme="1"/>
        <rFont val="Calibri"/>
        <family val="2"/>
        <scheme val="minor"/>
      </rPr>
      <t xml:space="preserve"> MS1</t>
    </r>
  </si>
  <si>
    <r>
      <t xml:space="preserve">ACS </t>
    </r>
    <r>
      <rPr>
        <vertAlign val="subscript"/>
        <sz val="10"/>
        <color theme="1"/>
        <rFont val="Calibri"/>
        <family val="2"/>
        <scheme val="minor"/>
      </rPr>
      <t>(MS 1) - Baseline</t>
    </r>
  </si>
  <si>
    <r>
      <t xml:space="preserve">ACS </t>
    </r>
    <r>
      <rPr>
        <vertAlign val="subscript"/>
        <sz val="10"/>
        <color theme="1"/>
        <rFont val="Calibri"/>
        <family val="2"/>
        <scheme val="minor"/>
      </rPr>
      <t>(MS 2) - Baseline</t>
    </r>
  </si>
  <si>
    <r>
      <t xml:space="preserve">ACS </t>
    </r>
    <r>
      <rPr>
        <vertAlign val="subscript"/>
        <sz val="10"/>
        <color theme="1"/>
        <rFont val="Calibri"/>
        <family val="2"/>
        <scheme val="minor"/>
      </rPr>
      <t>(MS 1) - Project</t>
    </r>
  </si>
  <si>
    <r>
      <t xml:space="preserve">ACS </t>
    </r>
    <r>
      <rPr>
        <vertAlign val="subscript"/>
        <sz val="10"/>
        <color theme="1"/>
        <rFont val="Calibri"/>
        <family val="2"/>
        <scheme val="minor"/>
      </rPr>
      <t>(MS 2) - Project</t>
    </r>
  </si>
  <si>
    <r>
      <t xml:space="preserve">Net Benefit ACS </t>
    </r>
    <r>
      <rPr>
        <vertAlign val="subscript"/>
        <sz val="10"/>
        <color theme="1"/>
        <rFont val="Calibri"/>
        <family val="2"/>
        <scheme val="minor"/>
      </rPr>
      <t>(MS 1)</t>
    </r>
  </si>
  <si>
    <r>
      <t xml:space="preserve">Net Benefit ACS </t>
    </r>
    <r>
      <rPr>
        <vertAlign val="subscript"/>
        <sz val="10"/>
        <color theme="1"/>
        <rFont val="Calibri"/>
        <family val="2"/>
        <scheme val="minor"/>
      </rPr>
      <t>(MS 2)</t>
    </r>
  </si>
  <si>
    <r>
      <t>FC</t>
    </r>
    <r>
      <rPr>
        <vertAlign val="subscript"/>
        <sz val="10"/>
        <color theme="1"/>
        <rFont val="Calibri (Body)"/>
      </rPr>
      <t xml:space="preserve"> - Baseline</t>
    </r>
  </si>
  <si>
    <r>
      <t xml:space="preserve">Net Benefit </t>
    </r>
    <r>
      <rPr>
        <vertAlign val="subscript"/>
        <sz val="10"/>
        <color theme="1"/>
        <rFont val="Calibri (Body)"/>
      </rPr>
      <t>SDG12 , MS2</t>
    </r>
  </si>
  <si>
    <r>
      <t xml:space="preserve">Net Benefit </t>
    </r>
    <r>
      <rPr>
        <vertAlign val="subscript"/>
        <sz val="10"/>
        <color theme="1"/>
        <rFont val="Calibri (Body)"/>
      </rPr>
      <t>SDG12 , MS1</t>
    </r>
  </si>
  <si>
    <r>
      <t>HHS</t>
    </r>
    <r>
      <rPr>
        <vertAlign val="subscript"/>
        <sz val="10"/>
        <color theme="1"/>
        <rFont val="Calibri"/>
        <family val="2"/>
        <scheme val="minor"/>
      </rPr>
      <t>Baseline MS1</t>
    </r>
  </si>
  <si>
    <r>
      <t>HHS</t>
    </r>
    <r>
      <rPr>
        <vertAlign val="subscript"/>
        <sz val="10"/>
        <color theme="1"/>
        <rFont val="Calibri"/>
        <family val="2"/>
        <scheme val="minor"/>
      </rPr>
      <t>Project MS1</t>
    </r>
  </si>
  <si>
    <r>
      <t>Net Benefit HHS</t>
    </r>
    <r>
      <rPr>
        <vertAlign val="subscript"/>
        <sz val="10"/>
        <color theme="1"/>
        <rFont val="Calibri"/>
        <family val="2"/>
        <scheme val="minor"/>
      </rPr>
      <t>MS1</t>
    </r>
  </si>
  <si>
    <t xml:space="preserve">Average fuel consumption per HH in Project </t>
  </si>
  <si>
    <t>children</t>
  </si>
  <si>
    <t>SREE MOTI SHUKHI RANI</t>
  </si>
  <si>
    <t>MD.FARDOUS HASAN</t>
  </si>
  <si>
    <t>AYESA BEGUM</t>
  </si>
  <si>
    <t>SHAKHAYAT HOSSEN</t>
  </si>
  <si>
    <t>MAJEDA</t>
  </si>
  <si>
    <t>MST. ASHMA BAGUM</t>
  </si>
  <si>
    <t>Md.Abdul  Khalek</t>
  </si>
  <si>
    <t>MD.ASHA</t>
  </si>
  <si>
    <t>MOSTAFIJAR RAHMAN</t>
  </si>
  <si>
    <t>NAHIN</t>
  </si>
  <si>
    <t>SREE MOHENDRO CHONDRO BORMON</t>
  </si>
  <si>
    <t>Md.Murad  Akondo</t>
  </si>
  <si>
    <t>MD. ISMAIL</t>
  </si>
  <si>
    <t>Sharifa</t>
  </si>
  <si>
    <t>MD.TORIFUL ISLAM</t>
  </si>
  <si>
    <t>TOSLIM UDDIN</t>
  </si>
  <si>
    <t>MURAD VILA</t>
  </si>
  <si>
    <t>MD SELIM</t>
  </si>
  <si>
    <t>Ronjeta Karmokar</t>
  </si>
  <si>
    <t>SHIMUL</t>
  </si>
  <si>
    <t>ROHIMA KHATUN</t>
  </si>
  <si>
    <t>MD.TUFA UDDIN</t>
  </si>
  <si>
    <t>MRS ANOWARA</t>
  </si>
  <si>
    <t>Haider Loskar</t>
  </si>
  <si>
    <t>PROVATI SARKER</t>
  </si>
  <si>
    <t>NUR JAHAN</t>
  </si>
  <si>
    <t>Feroja</t>
  </si>
  <si>
    <t>SREE VUTNAT</t>
  </si>
  <si>
    <t>MOS.NURJAHAN</t>
  </si>
  <si>
    <t>Shanur</t>
  </si>
  <si>
    <t>SEFALI BEGUM</t>
  </si>
  <si>
    <t>MST.TAHINUR BEGUM</t>
  </si>
  <si>
    <t>ABUL KHAYER</t>
  </si>
  <si>
    <t>MD.MAMUN</t>
  </si>
  <si>
    <t>SUPRIA MOLLIK</t>
  </si>
  <si>
    <t>VANU BIBI</t>
  </si>
  <si>
    <t>Rahana Begum</t>
  </si>
  <si>
    <t>KARTIK MONDOL</t>
  </si>
  <si>
    <t>BODIUZZAMAN</t>
  </si>
  <si>
    <t>Rajaul</t>
  </si>
  <si>
    <t>NOREN</t>
  </si>
  <si>
    <t>MST.SAMPPA KHATUN</t>
  </si>
  <si>
    <t>MD.ANOWARUL</t>
  </si>
  <si>
    <t>RIAJUL ISLAM</t>
  </si>
  <si>
    <t>MD.SHAHOALOM</t>
  </si>
  <si>
    <t>NISHIKANTO BISWAS</t>
  </si>
  <si>
    <t>MOST: RAHIMA BEGUM</t>
  </si>
  <si>
    <t>PARUL BEGUM</t>
  </si>
  <si>
    <t>KAZI HAIDAR</t>
  </si>
  <si>
    <t>ROKEA</t>
  </si>
  <si>
    <t>EATY</t>
  </si>
  <si>
    <t>MD ANAM CHW.</t>
  </si>
  <si>
    <t>JASMIN BEGUM</t>
  </si>
  <si>
    <t>Saiful Sarder</t>
  </si>
  <si>
    <t>SULTAN MIA</t>
  </si>
  <si>
    <t>Selina Bagum</t>
  </si>
  <si>
    <t>DIPALI</t>
  </si>
  <si>
    <t>BEUTY</t>
  </si>
  <si>
    <t>AB. RAHMAN</t>
  </si>
  <si>
    <t>Jahanara</t>
  </si>
  <si>
    <r>
      <t>FC</t>
    </r>
    <r>
      <rPr>
        <vertAlign val="subscript"/>
        <sz val="10"/>
        <color theme="1"/>
        <rFont val="Calibri (Body)"/>
      </rPr>
      <t>Project, MS1</t>
    </r>
  </si>
  <si>
    <r>
      <t>FC</t>
    </r>
    <r>
      <rPr>
        <vertAlign val="subscript"/>
        <sz val="10"/>
        <color theme="1"/>
        <rFont val="Calibri (Body)"/>
      </rPr>
      <t>Project, MS2</t>
    </r>
    <r>
      <rPr>
        <sz val="11"/>
        <color theme="1"/>
        <rFont val="Calibri"/>
        <family val="2"/>
        <scheme val="minor"/>
      </rPr>
      <t/>
    </r>
  </si>
  <si>
    <t>Md.Kutub uddin</t>
  </si>
  <si>
    <t>Md. Arshadur Rahman</t>
  </si>
  <si>
    <t>TAHERA</t>
  </si>
  <si>
    <r>
      <t>QE IG</t>
    </r>
    <r>
      <rPr>
        <vertAlign val="subscript"/>
        <sz val="10"/>
        <color theme="1"/>
        <rFont val="Calibri (Body)"/>
      </rPr>
      <t xml:space="preserve"> Baseline</t>
    </r>
    <r>
      <rPr>
        <sz val="10"/>
        <color theme="1"/>
        <rFont val="Calibri"/>
        <family val="2"/>
        <scheme val="minor"/>
      </rPr>
      <t xml:space="preserve">, </t>
    </r>
    <r>
      <rPr>
        <vertAlign val="subscript"/>
        <sz val="10"/>
        <color theme="1"/>
        <rFont val="Calibri"/>
        <family val="2"/>
        <scheme val="minor"/>
      </rPr>
      <t>MS1</t>
    </r>
  </si>
  <si>
    <r>
      <t>QE IG</t>
    </r>
    <r>
      <rPr>
        <vertAlign val="subscript"/>
        <sz val="10"/>
        <color theme="1"/>
        <rFont val="Calibri (Body)"/>
      </rPr>
      <t xml:space="preserve"> Baseline</t>
    </r>
    <r>
      <rPr>
        <sz val="10"/>
        <color theme="1"/>
        <rFont val="Calibri"/>
        <family val="2"/>
        <scheme val="minor"/>
      </rPr>
      <t xml:space="preserve">, </t>
    </r>
    <r>
      <rPr>
        <vertAlign val="subscript"/>
        <sz val="10"/>
        <color theme="1"/>
        <rFont val="Calibri"/>
        <family val="2"/>
        <scheme val="minor"/>
      </rPr>
      <t>MS2</t>
    </r>
  </si>
  <si>
    <r>
      <t>QE IG</t>
    </r>
    <r>
      <rPr>
        <vertAlign val="subscript"/>
        <sz val="10"/>
        <color theme="1"/>
        <rFont val="Calibri (Body)"/>
      </rPr>
      <t xml:space="preserve"> Project, MS1</t>
    </r>
  </si>
  <si>
    <r>
      <t>QE IG</t>
    </r>
    <r>
      <rPr>
        <vertAlign val="subscript"/>
        <sz val="10"/>
        <color theme="1"/>
        <rFont val="Calibri (Body)"/>
      </rPr>
      <t xml:space="preserve"> Project, MS2</t>
    </r>
  </si>
  <si>
    <r>
      <t xml:space="preserve">Net Benefit </t>
    </r>
    <r>
      <rPr>
        <vertAlign val="subscript"/>
        <sz val="10"/>
        <color theme="1"/>
        <rFont val="Calibri"/>
        <family val="2"/>
        <scheme val="minor"/>
      </rPr>
      <t>QE IG, MS1</t>
    </r>
  </si>
  <si>
    <r>
      <t xml:space="preserve">Net Benefit </t>
    </r>
    <r>
      <rPr>
        <vertAlign val="subscript"/>
        <sz val="10"/>
        <color theme="1"/>
        <rFont val="Calibri"/>
        <family val="2"/>
        <scheme val="minor"/>
      </rPr>
      <t>QE IG, MS2</t>
    </r>
  </si>
  <si>
    <t>7-8 years</t>
  </si>
  <si>
    <t>1.15. If yes, do you use the Traditional  Chulha for cooking?</t>
  </si>
  <si>
    <t>Roudra Barua</t>
  </si>
  <si>
    <t>Smrity Barua</t>
  </si>
  <si>
    <t>Noyonpur, Khagrachori</t>
  </si>
  <si>
    <t>ALA-FEN-KHA-W04-D-121</t>
  </si>
  <si>
    <t xml:space="preserve">Md. Mehedi Hasan </t>
  </si>
  <si>
    <t>Uthrail Sadar, Mahantpara, Dinajpur</t>
  </si>
  <si>
    <t>GOS-DIN-SAD-UTR-D-419</t>
  </si>
  <si>
    <t>Md. Hafiz</t>
  </si>
  <si>
    <t>Debnagar, Debnagor, tetulia, Panchagarh</t>
  </si>
  <si>
    <t>STA-PAN-TET-BHA-D-158</t>
  </si>
  <si>
    <t>Sanjit Kumar Shil</t>
  </si>
  <si>
    <t>Hareg Sikder</t>
  </si>
  <si>
    <t>Sikder bari,Barnimoddan,Muladi,Barishal</t>
  </si>
  <si>
    <t>TAS-BSL-MUL-CHK-D-65</t>
  </si>
  <si>
    <t xml:space="preserve">Mst. Jesmin Akter </t>
  </si>
  <si>
    <t>Sakhatiya, Kahalu Bazar, Kahalor, Bogra</t>
  </si>
  <si>
    <t>MI-BOG-KHA-W2-D-621</t>
  </si>
  <si>
    <t xml:space="preserve">Mst. Rasheda </t>
  </si>
  <si>
    <t>Eaidoho Sadar, Bogura</t>
  </si>
  <si>
    <t>RAH-BOG-BOG-W20-D-117</t>
  </si>
  <si>
    <t xml:space="preserve">G.M. Hadiuzzaman </t>
  </si>
  <si>
    <t xml:space="preserve">Md. Jillur Rahaman </t>
  </si>
  <si>
    <t>Budol, Barahati Sadar, Brahmanbaria</t>
  </si>
  <si>
    <t>ALE-BRA-BRA-BUL-D-52</t>
  </si>
  <si>
    <t>Md. Faijuddin</t>
  </si>
  <si>
    <t>Godaun Para, Nachol, Chapainawabganj</t>
  </si>
  <si>
    <t>SHE-CNG-NAC-W01-D-95</t>
  </si>
  <si>
    <t>Md. Anser Ali</t>
  </si>
  <si>
    <t>Mollapara, Rayerchar, Jamalpur</t>
  </si>
  <si>
    <t>SST-JAM-JAM-LOK-D-092</t>
  </si>
  <si>
    <t>Md. Aftarul</t>
  </si>
  <si>
    <t>Gamostapur,Gamostapur,Chapainawabganj</t>
  </si>
  <si>
    <t>2BO-CNG-GAM-CHO-D-90</t>
  </si>
  <si>
    <t xml:space="preserve">Maleka Begum (Mother) </t>
  </si>
  <si>
    <t>Hazi ganj, Komlabari, Aditmari, Lalmonirhat</t>
  </si>
  <si>
    <t>ALO-LAL-ADI-KOM-D-428</t>
  </si>
  <si>
    <t>Md. Montu Mia</t>
  </si>
  <si>
    <t>Mst. Kakli Begum</t>
  </si>
  <si>
    <t>Miar bazar, Durgapur, gaibandha</t>
  </si>
  <si>
    <t>BAS-GAI-SAD-KOP-D-79</t>
  </si>
  <si>
    <t>Md. Harun Ahmad</t>
  </si>
  <si>
    <t>Mst. Daijy</t>
  </si>
  <si>
    <t>Majpara, Boddonatpur,Lalpur,Natore</t>
  </si>
  <si>
    <t>SHU-NAT-LAL-W08-D-135</t>
  </si>
  <si>
    <t>Md. Mozaharul islam</t>
  </si>
  <si>
    <t>Moklesur</t>
  </si>
  <si>
    <t>Maydan Dighi, Maydan Dighi, boda, panchagarh</t>
  </si>
  <si>
    <t>RAS-PAN-BOD-MAY-D-141</t>
  </si>
  <si>
    <t>Josna</t>
  </si>
  <si>
    <t>Kamatpara, Sadar, Panchagarh</t>
  </si>
  <si>
    <t>DUS-PAN-SAD-WO2-D-1821</t>
  </si>
  <si>
    <t>Md. Jubaed Hossain</t>
  </si>
  <si>
    <t>Kuakata, Kalapara,Patuakhali</t>
  </si>
  <si>
    <t>RAB-PAT-KAL-LAL-D-158</t>
  </si>
  <si>
    <t>Sohidminar rode, taunhoal, sadar, barguna</t>
  </si>
  <si>
    <t>NAS-BAR-SAD-GOU-D-327</t>
  </si>
  <si>
    <t>Moriom Begum  (Sister)</t>
  </si>
  <si>
    <t>Sorkarbari, Lalpur, Titas. Comilla (N)</t>
  </si>
  <si>
    <t>MOS-COM(N)-TIT-MOJ-D-577</t>
  </si>
  <si>
    <t>Noor Bakt Mia</t>
  </si>
  <si>
    <t>Md.Dulal Mia</t>
  </si>
  <si>
    <t>Bagabersarfulia,Sarfulia,Raypur,Narsingdi</t>
  </si>
  <si>
    <t>ETS-NSG-RAY-MOR-D-05</t>
  </si>
  <si>
    <t>Md. Juherul Islam</t>
  </si>
  <si>
    <t>Banderkura, Uttarpara, Kaligonj, Lalmonirhat</t>
  </si>
  <si>
    <t>ALO-LAL-KAL-CHA-D-430</t>
  </si>
  <si>
    <t>Md. Atikur Rahman</t>
  </si>
  <si>
    <t>Dabygong Bazar, Akcha, Thakurgaon</t>
  </si>
  <si>
    <t>NA2-THA-SAD-AKC-D-97</t>
  </si>
  <si>
    <t>Md. Saiful Islam</t>
  </si>
  <si>
    <t>Dr. Jashim Uddin Mridha</t>
  </si>
  <si>
    <t>Sitka bazar said, sitka, bauphal, patuakhali</t>
  </si>
  <si>
    <t>CHU-PAT-BAU-KAS-D-61</t>
  </si>
  <si>
    <t>Suresh Chandra Sinha</t>
  </si>
  <si>
    <t>Nurul Amin</t>
  </si>
  <si>
    <t>Ratnopur, Paschimpara, Modon, Netrokona</t>
  </si>
  <si>
    <t>BOS1-NET-MAD-CHA-D-376</t>
  </si>
  <si>
    <t>Sahanaj Khatun</t>
  </si>
  <si>
    <t>Shekpara, Shekpara, Gomostapur, Chapainawabganj</t>
  </si>
  <si>
    <t>ETY-CNG-GAM-ALI-D-221</t>
  </si>
  <si>
    <t>Md. Shafiqul Islam</t>
  </si>
  <si>
    <t>Mst. Anuara</t>
  </si>
  <si>
    <t xml:space="preserve"> Female </t>
  </si>
  <si>
    <t>Beside Dulti Bazar, Bedondia, Ishwardi, Pabna</t>
  </si>
  <si>
    <t>INT-PAB-ISH-MUL-D-265</t>
  </si>
  <si>
    <t xml:space="preserve">Aminul Islam </t>
  </si>
  <si>
    <t xml:space="preserve">Kalto Sing (Wife) </t>
  </si>
  <si>
    <t>Rampur T.E, Mandir line, Sattapor, Bahubol, Hobiganj</t>
  </si>
  <si>
    <t>SS4-HAB-BAH-SAT-D-41</t>
  </si>
  <si>
    <t>Mst. Khadija begum</t>
  </si>
  <si>
    <t>Mothurapara,Sariakandi,bogura</t>
  </si>
  <si>
    <t>MOT-BOG-SAR-COR-D-04</t>
  </si>
  <si>
    <t>Md. Julkar Nayem</t>
  </si>
  <si>
    <t>Sondha Das</t>
  </si>
  <si>
    <t>Beside of Police Fari, Binodpur, Rajbari</t>
  </si>
  <si>
    <t>KKS-RJB-RJB-W03-D-3</t>
  </si>
  <si>
    <t>Md. Moktarul Haque</t>
  </si>
  <si>
    <t>Md. Dulal Mia</t>
  </si>
  <si>
    <t>Koyarpar, Chitolmari, Kurigram</t>
  </si>
  <si>
    <t>ARH-KUR-CHI-RAM-D-176</t>
  </si>
  <si>
    <t>Ruma Begom</t>
  </si>
  <si>
    <t xml:space="preserve">Uttar Danggy, Thakurga Sadar </t>
  </si>
  <si>
    <t>RIE-THA-SAD-SUK-D-926</t>
  </si>
  <si>
    <t>Md. Abdur Rahim</t>
  </si>
  <si>
    <t>Md. Soriful</t>
  </si>
  <si>
    <t>Horipur, Mohonpur, Rajshahi</t>
  </si>
  <si>
    <t>AKS-RAJ-MOH-MAU-D-128</t>
  </si>
  <si>
    <t>DUS-PAN-SAD-WO3-D-1843</t>
  </si>
  <si>
    <t>Md. Imran Khan</t>
  </si>
  <si>
    <t>Prima govt. school said, Shantoshdi, dumki, patuakhali</t>
  </si>
  <si>
    <t>MST-PAT-DUM-SRI-D-04</t>
  </si>
  <si>
    <t>Zahangir Alom</t>
  </si>
  <si>
    <t>Aditmari, Uttarpara, Lalmonirhat</t>
  </si>
  <si>
    <t>PUS-LAL-ADI-VAD-D-595</t>
  </si>
  <si>
    <t>Md. Nazmul Huda</t>
  </si>
  <si>
    <t>Shohiba</t>
  </si>
  <si>
    <t>Sanora, Aladipur, Parbotipur, Dinajpur</t>
  </si>
  <si>
    <t>SSA-DIN-PAR-W03-D-242</t>
  </si>
  <si>
    <t>Hazi Md. Moslem Gazi</t>
  </si>
  <si>
    <t>Madonpura, Kanokdiabreeze, modonpura, bauphal, patuakhali</t>
  </si>
  <si>
    <t>REP-PAT-BAU-KON-D-16</t>
  </si>
  <si>
    <t>Md. Mister</t>
  </si>
  <si>
    <t>Guzimari,Guzimari,Islampur,Jamalpur</t>
  </si>
  <si>
    <t>NAS-JAM-ISL-CHU-D-280</t>
  </si>
  <si>
    <t>Lotifun</t>
  </si>
  <si>
    <t>Sareyela Mekher Para,porsha,Nauga</t>
  </si>
  <si>
    <t>ASA-NOA-PRO-MUR-D-515</t>
  </si>
  <si>
    <t xml:space="preserve">Somvunath Kor </t>
  </si>
  <si>
    <t>Md. Sumon</t>
  </si>
  <si>
    <t>Haspatalar Samna, Sosigonj, Tazumuddin, Bhola</t>
  </si>
  <si>
    <t>RAS1-BHO-TAZ-CHP-D-485</t>
  </si>
  <si>
    <t>MD. Abdus Sabur</t>
  </si>
  <si>
    <t>Rahena</t>
  </si>
  <si>
    <t>Lal School para ,Chandakana,Domer Nilfamari</t>
  </si>
  <si>
    <t>MAA-NIL-DOM-VOG-D-35</t>
  </si>
  <si>
    <t xml:space="preserve">Mst. Lipi Aktar </t>
  </si>
  <si>
    <t>ATI-BOG-SHI-SOY-D-266</t>
  </si>
  <si>
    <t>Aktarul Islam</t>
  </si>
  <si>
    <t>Naondighi, Gucchogram, Belowa, Ghoraghat, Dinajpur</t>
  </si>
  <si>
    <t>BBS-DIN-GHO-PAL-D-843</t>
  </si>
  <si>
    <t>Runa</t>
  </si>
  <si>
    <t>Koligram, Koligram, Singra, natore</t>
  </si>
  <si>
    <t>PKSS-NAT-SIN-HAT-D-98</t>
  </si>
  <si>
    <t>Halima Begom</t>
  </si>
  <si>
    <t>MOS2-COM(N)-DAD-BET-D-637</t>
  </si>
  <si>
    <t>Md. Kamrul Hossain</t>
  </si>
  <si>
    <t>Md. Jobair</t>
  </si>
  <si>
    <t>Kumbarpara, Dowlatpur, Fotikchori, Chattogram</t>
  </si>
  <si>
    <t>RAF-CTG(N)-FAT-DAU-D-429</t>
  </si>
  <si>
    <t>Pandaram, Feni</t>
  </si>
  <si>
    <t>NES-FEN-MAN-MAN-D-37</t>
  </si>
  <si>
    <t>Md. Faruq Hossen</t>
  </si>
  <si>
    <t>Sima</t>
  </si>
  <si>
    <t>Nachna, WestPara, Jhenaidah</t>
  </si>
  <si>
    <t>ASA-JHE-JHE-KAL-D-132</t>
  </si>
  <si>
    <t>Mojahidul Islam</t>
  </si>
  <si>
    <t>Shah Alom Master Bari, Kalichar, Laxsmipur</t>
  </si>
  <si>
    <t>MCS-LAK-SAD-BHA-D-016</t>
  </si>
  <si>
    <t>Somor Chandra das (Brother)</t>
  </si>
  <si>
    <t>AUS-COM(N)-DAU-JEN-D-158</t>
  </si>
  <si>
    <t>Ferdousi Begum (sister)</t>
  </si>
  <si>
    <t>SS1-COM(N)-HOM-GAG-D-28</t>
  </si>
  <si>
    <t>Kh. Musfiqur Rahman</t>
  </si>
  <si>
    <t>Amjad</t>
  </si>
  <si>
    <t>Nakla,Bazardi, nakla, Sherpur</t>
  </si>
  <si>
    <t>RIA-SHE-NAK-TAL-D-622</t>
  </si>
  <si>
    <t>Md.Taijuddin Sheikh</t>
  </si>
  <si>
    <t>Taniea</t>
  </si>
  <si>
    <t>Maddho para,Khontakata,Sarankhola,bagerhat</t>
  </si>
  <si>
    <t>SHA-BAG-SAR-RAY-D-280</t>
  </si>
  <si>
    <t>Taher Uddin</t>
  </si>
  <si>
    <t>Rajbari,Rajbari,Raypur,Narsingdi</t>
  </si>
  <si>
    <t>TAS-NSG-RAY-MOR-D-60</t>
  </si>
  <si>
    <t>Saleha</t>
  </si>
  <si>
    <t>Paikanpara, Harivasa, sadar, panchagor</t>
  </si>
  <si>
    <t>MAN-PAN-SAD-HAR-D-07</t>
  </si>
  <si>
    <t>Md. Jahidul islam</t>
  </si>
  <si>
    <t>Murshida</t>
  </si>
  <si>
    <t>Shenerchor,Mymensingh sadar, Mymensingh</t>
  </si>
  <si>
    <t>SUS-MYM-MYM-AST-D-3</t>
  </si>
  <si>
    <t>Jesmin Begum</t>
  </si>
  <si>
    <t>Purbo para,Putikhali,Morolgonj,Bagerhat</t>
  </si>
  <si>
    <t>NAB-BAG-MOR-PUT-D-1424</t>
  </si>
  <si>
    <t>Deluara Begom</t>
  </si>
  <si>
    <t>Dakkin Para, Rampur, Sarisabari, Jamalpur</t>
  </si>
  <si>
    <t>MAE-JAM-SAR-PIN-D-165</t>
  </si>
  <si>
    <t>Abul Kalam</t>
  </si>
  <si>
    <t>Nigar Sultana</t>
  </si>
  <si>
    <t>Uttorpara, Aziznagor, Chokaria, Cox' Bazar</t>
  </si>
  <si>
    <t>SAI-COX-CHO-HAR-D-954</t>
  </si>
  <si>
    <t>Md.Osman Goni</t>
  </si>
  <si>
    <t>Mst. Rojina Khatun</t>
  </si>
  <si>
    <t>Vill:Bogura, Modhopara, Un:Bhasgram,Narail sadar,Narail</t>
  </si>
  <si>
    <t>MLS-NRL-NRL-KOL-D-667</t>
  </si>
  <si>
    <t>Sotto Paikora, Sotto Paikora,Mohongonj,Netrokona</t>
  </si>
  <si>
    <t>ABS-NET-MOH-BOR-D-261</t>
  </si>
  <si>
    <t>Rahala</t>
  </si>
  <si>
    <t>Baham, Baham,mohongonj,netrokona</t>
  </si>
  <si>
    <t>ABS-NET-MOH-BOR-D-239</t>
  </si>
  <si>
    <t>Khaleda</t>
  </si>
  <si>
    <t>Bagra,Sreenagar,Munshigonj</t>
  </si>
  <si>
    <t>HAE-MUN-SRE-BAG-D-272</t>
  </si>
  <si>
    <t>AB. Kuddus Mondol</t>
  </si>
  <si>
    <t>Gul Factory para,Maguradangi,Pangsha,Rajbare</t>
  </si>
  <si>
    <t>TS-RJB-PAN-WO3-D-29</t>
  </si>
  <si>
    <t>Gourango Sorkar</t>
  </si>
  <si>
    <t>Mst. Selina Begum</t>
  </si>
  <si>
    <t>Tarofdarpara, Monohorpur, Monirampur, Jessore</t>
  </si>
  <si>
    <t>RS5-JES-MON-MON-D-42</t>
  </si>
  <si>
    <t>Mst. Tohomina</t>
  </si>
  <si>
    <t>Mohendopur,mandol para, khoksha, kushtia</t>
  </si>
  <si>
    <t>SUS-KUS-KHO-JOG-D-1239</t>
  </si>
  <si>
    <t>Mst. Rahima Khatun</t>
  </si>
  <si>
    <t>Vill:Noragati, modhopara, Un:joynor,Kalia,Narail</t>
  </si>
  <si>
    <t>SS1-NRL-KAL-JOY-D-08</t>
  </si>
  <si>
    <t>Poli Das</t>
  </si>
  <si>
    <t>Das para, Joynagar, kaliganj,Satkhira</t>
  </si>
  <si>
    <t>TES-SAT-KOL-JOY-D-286</t>
  </si>
  <si>
    <t>Md. Helal Uddin Mollah</t>
  </si>
  <si>
    <t>Morjina Begum</t>
  </si>
  <si>
    <t>22 Roshi, Dai barir mor, Sadarpur,Faridpur</t>
  </si>
  <si>
    <t>JAN-FAR-SAD-SAD-D-02</t>
  </si>
  <si>
    <t>Lila Sorkar</t>
  </si>
  <si>
    <t>Poschim para, Bisnupur, Kaliganj, Satkhira</t>
  </si>
  <si>
    <t>MH-SAT-KAL-BIS-D-1150</t>
  </si>
  <si>
    <t>Md. Arob Billah</t>
  </si>
  <si>
    <t>Tania Khatun</t>
  </si>
  <si>
    <t>Baganpara, Dhankhola, Gangni, Meherpur</t>
  </si>
  <si>
    <t>SAS-MEH-GAN-DAH-D-18</t>
  </si>
  <si>
    <t>Salema Akter</t>
  </si>
  <si>
    <t>Uttar damora, Asma, barhatta,Netrokona</t>
  </si>
  <si>
    <t>VVE-NET-BAR-ASM-D-394</t>
  </si>
  <si>
    <t>Shova Rani Dash</t>
  </si>
  <si>
    <t>Vill:Rohimpur, Guchogram, Up:Paikgacha,khulna</t>
  </si>
  <si>
    <t>BS1-KHU-PAI-HOR-D-761</t>
  </si>
  <si>
    <t>Raj Kumar</t>
  </si>
  <si>
    <t>Moharajpurer Neer, Sekpara, Chapainawabganj</t>
  </si>
  <si>
    <t>MA3-CNG-SAD-MOH-D-73</t>
  </si>
  <si>
    <t>Feroja Khatun</t>
  </si>
  <si>
    <t>TS-SAT-KOL-JUG-D-179</t>
  </si>
  <si>
    <t>Amol Biswas</t>
  </si>
  <si>
    <t>Napti Para,Sonatola,Kaliganj,Satkhira</t>
  </si>
  <si>
    <t>RS3-SAT-KAL-DOK-D-1538</t>
  </si>
  <si>
    <t>Najma Khatun</t>
  </si>
  <si>
    <t>Dakomara,Durgapur,Mymensingh</t>
  </si>
  <si>
    <t>SHU-MYM(N)-DUR-W08-D-200</t>
  </si>
  <si>
    <t>Md. Abdus Salam</t>
  </si>
  <si>
    <t>Mst. Momena begum</t>
  </si>
  <si>
    <t>Near paotana bazar, tajtaluk, Pigacha, Rangpur</t>
  </si>
  <si>
    <t>ALS-RAN-PIG-CHH-D-260</t>
  </si>
  <si>
    <t>Kobir Shake</t>
  </si>
  <si>
    <t>Moddhopara,Boro nababpur,Rampal,Bagerhat</t>
  </si>
  <si>
    <t>BISM-BAG-RAM-UJA-D-22</t>
  </si>
  <si>
    <t>Shanta</t>
  </si>
  <si>
    <t>Bazar utttor pase,kagir hat,kaliganj,satkhira</t>
  </si>
  <si>
    <t>JS-SAT-KOL-HEL-D-547</t>
  </si>
  <si>
    <t>Ayesha Khatun</t>
  </si>
  <si>
    <t>Nakugau, Charali Guchugram, Nalitabari,sherpur</t>
  </si>
  <si>
    <t>SBS-SHE-NAL-RAM-D-107</t>
  </si>
  <si>
    <t>Nachima Begum</t>
  </si>
  <si>
    <t>Morol para,Mohendi,Tala,Satkhira</t>
  </si>
  <si>
    <t>BR-SAT-TAL-KHN-D-1501</t>
  </si>
  <si>
    <t>Humayun Kobir</t>
  </si>
  <si>
    <t>Loduya, Moddfhopara, nangalkot,Cumilla</t>
  </si>
  <si>
    <t>BS-COM(S)-NAN-ADD-D-13</t>
  </si>
  <si>
    <t>Abu Taher</t>
  </si>
  <si>
    <t>Kheya Ghater Dokhine, Noapara, Assasuni, Satkhira</t>
  </si>
  <si>
    <t>SB-SAT-ASS-BUD-D-697</t>
  </si>
  <si>
    <t>Abdus sobhan</t>
  </si>
  <si>
    <t>Dorpara, Saduakanda, Barhatta,Natrokona</t>
  </si>
  <si>
    <t>DIS-NET-BAR-BAU-D-550</t>
  </si>
  <si>
    <t>Sukjan</t>
  </si>
  <si>
    <t>Mollapra,Vagbaho,Tala,Satkhira</t>
  </si>
  <si>
    <t>KS2-SAT-TAL-KUM-D-331</t>
  </si>
  <si>
    <t>Sankar Golder</t>
  </si>
  <si>
    <t>Gita Rani</t>
  </si>
  <si>
    <t>Rishi Para, Torgaon, kapasia, Gazipur</t>
  </si>
  <si>
    <t>MAE1-GAZ-KAP-TOR-D-161</t>
  </si>
  <si>
    <t>JOS-PAT-GAL-RAT-D-87</t>
  </si>
  <si>
    <t>Al-Mamun</t>
  </si>
  <si>
    <t>Kathaltola,Kathaltola,Satkhira</t>
  </si>
  <si>
    <t>AS1-SAT-SAT-BOL-D-27</t>
  </si>
  <si>
    <t>Mst. Rekha begum</t>
  </si>
  <si>
    <t>New engineer para, rangpur</t>
  </si>
  <si>
    <t>OVS-RAN-SAD-W21-D-300</t>
  </si>
  <si>
    <t>Hasina Begum</t>
  </si>
  <si>
    <t>Shibanondopur ,Mor,Mohespur,Jhenaidah</t>
  </si>
  <si>
    <t>HHS-JHE-MAH-NAT-D-1072</t>
  </si>
  <si>
    <t>Beauti Rani Das</t>
  </si>
  <si>
    <t>Khalapara,Dasbari,Chandpur,Hazigonj</t>
  </si>
  <si>
    <t>KHS-CHA-HAZ-BDR-D-109</t>
  </si>
  <si>
    <t>Bijoy Sorkar</t>
  </si>
  <si>
    <t>Schooler Pase,Rahimpur,Kaliganj,Satkhira</t>
  </si>
  <si>
    <t>RS3-SAT-KAL-KUS-D-1635</t>
  </si>
  <si>
    <t>Moyna Begum</t>
  </si>
  <si>
    <t>Officer pase,Gucho Giram,Assasunil,Satkhira</t>
  </si>
  <si>
    <t>SS1-SAT-ASS-ASS-D-970</t>
  </si>
  <si>
    <t>Md. Helal uddin Mollah</t>
  </si>
  <si>
    <t>Sheli Akter</t>
  </si>
  <si>
    <t>Mokrompotti, Moddo para, Bhanga,Faridpur</t>
  </si>
  <si>
    <t>PRI-FAR-BHA-GHA-D-07</t>
  </si>
  <si>
    <t>Majer para,Aruadi,Chitalmari,Bagerhat</t>
  </si>
  <si>
    <t>APO-BAG-CHI-BRO-D-541</t>
  </si>
  <si>
    <t>Hafizul Sana</t>
  </si>
  <si>
    <t>Porimol dr er Barir Pase,Gobindopur,Kaliganj,Satkhira</t>
  </si>
  <si>
    <t>ZOS-SAT-KAL-KUS-D-87</t>
  </si>
  <si>
    <t>Homaun Kobir</t>
  </si>
  <si>
    <t>Nawla,Halim Pulisher bari,kachua,chandpur</t>
  </si>
  <si>
    <t>KS-CHA-KAC-UTG-D-002</t>
  </si>
  <si>
    <t>Madim Nanamia Para, Bangla Bazar, Cox' Bazar</t>
  </si>
  <si>
    <t>BHA1-COX-SAD-JHI-D-112</t>
  </si>
  <si>
    <t>Mostakim Sagar</t>
  </si>
  <si>
    <t>Asaduzzaman</t>
  </si>
  <si>
    <t>Sader Barobari, Poraton BOC, Lohagora, Chattaogram</t>
  </si>
  <si>
    <t>ALA2-CTG(S)-LOH-AMI-D-121</t>
  </si>
  <si>
    <t xml:space="preserve">S.M. Abul Hasan Al Masud </t>
  </si>
  <si>
    <t>Rotna Begum</t>
  </si>
  <si>
    <t>Choy anny togba, Bapari bari, Noakhali,Chatkhil</t>
  </si>
  <si>
    <t>MHT-NOA-CHT-W7-D-361</t>
  </si>
  <si>
    <t xml:space="preserve">Nazrul Islam </t>
  </si>
  <si>
    <t>Azmol Huq Member Bari, Rahmotpur, Swandip, Chattogram</t>
  </si>
  <si>
    <t>MOH-CTG(N)-SWA-RAH-D-07</t>
  </si>
  <si>
    <t>Rajanagor, Near vober school, Sirajdikhan,Munshiganj</t>
  </si>
  <si>
    <t>ZIK-MUN-SIR-RAJ-D-12</t>
  </si>
  <si>
    <t>Salaha Begom</t>
  </si>
  <si>
    <t>MS1-CHA-KAC-KAR-D-359</t>
  </si>
  <si>
    <t>Md. Shagor Mondol</t>
  </si>
  <si>
    <t>MS4-MAG-SHA-SAT-D-488</t>
  </si>
  <si>
    <t>Javad</t>
  </si>
  <si>
    <t>Dr. Mohinuddinbari, horispur, swandip, Chattagram (N)</t>
  </si>
  <si>
    <t>SHA-CTG(N)-SWA-BAU-D-29</t>
  </si>
  <si>
    <t>Md. Mehedi Munshi</t>
  </si>
  <si>
    <t>Panjupara, kalapara,patuakhali</t>
  </si>
  <si>
    <t>RAB-PAT-KAL-LAL-D-218</t>
  </si>
  <si>
    <t>Rina Chowdhury</t>
  </si>
  <si>
    <t>Modhomita, Rangamati</t>
  </si>
  <si>
    <t>NEW-RNG-RNG-W08-D-375</t>
  </si>
  <si>
    <t>Khorshida</t>
  </si>
  <si>
    <t>Moduyer dail, Moheskhali, Cox's Bazar</t>
  </si>
  <si>
    <t>CHO-COX-MOE-BAR-D-0601</t>
  </si>
  <si>
    <t>Sabina</t>
  </si>
  <si>
    <t>Fakiraghona, Bara, Moheskhali, Cox's Bazar</t>
  </si>
  <si>
    <t>SHO1-COX-MOE-SAD-D-88</t>
  </si>
  <si>
    <t>Nazrul Karikor</t>
  </si>
  <si>
    <t>Khal Dhar,Nobin Nagor,Kaliganj,Satkhira</t>
  </si>
  <si>
    <t>MH-SAT-KAL-CHA-D-1171</t>
  </si>
  <si>
    <t>Asma Begum</t>
  </si>
  <si>
    <t>TS-CHA-CHA-MAI-D-210</t>
  </si>
  <si>
    <t>Polas Shaha</t>
  </si>
  <si>
    <t>Bondor ,Bagat,Modhukhali,Faridpur</t>
  </si>
  <si>
    <t>NUS-FAR-MAD-MAD-D-71</t>
  </si>
  <si>
    <t>Rima Begum</t>
  </si>
  <si>
    <t>Dameleya, Tolna, Dumuria, Khulna</t>
  </si>
  <si>
    <t>DAS-KHU-DUM-DHA-D-29</t>
  </si>
  <si>
    <t>Chandona Ghorami</t>
  </si>
  <si>
    <t>Uttorpara,W-5,Hurka,Rampal,Bagerhat</t>
  </si>
  <si>
    <t>DHR-BAG-RAM-HUR-D-2</t>
  </si>
  <si>
    <t>Mithu Ray</t>
  </si>
  <si>
    <t>Katmari WD-3 Hurka,Mongla,Bagerhat</t>
  </si>
  <si>
    <t>ASF-BAG-MON-BUR-D-321</t>
  </si>
  <si>
    <t xml:space="preserve">MD. Samsuzzaman </t>
  </si>
  <si>
    <t>Md.Shafriqul Islam</t>
  </si>
  <si>
    <t>School er pochim pase ,Belgoria,puthia,rajshahi</t>
  </si>
  <si>
    <t>SAW-RAJ-PUT-BEL-D-134</t>
  </si>
  <si>
    <t>Mst.Mishorika</t>
  </si>
  <si>
    <t>vill:Eshangati, Purbopara, Un:Kashipur,Lohagara,Narail</t>
  </si>
  <si>
    <t>RS-NRL-LOH-KAS-D-90</t>
  </si>
  <si>
    <t>Antor Biswas</t>
  </si>
  <si>
    <t>Kushkhali risi para, shalikha, magura</t>
  </si>
  <si>
    <t>AS-MAG-SHA-SAT-D-2268</t>
  </si>
  <si>
    <t>Krishna Biswas</t>
  </si>
  <si>
    <t>Uttor para,Sokhipur,Debhata,Satkhira</t>
  </si>
  <si>
    <t>AS1-SAT-DEB-SOK-D-131</t>
  </si>
  <si>
    <t>Resma Begum</t>
  </si>
  <si>
    <t>Kodam Tolaget Magura,Tala,Satkhira</t>
  </si>
  <si>
    <t>BR-SAT-TAL-MAG-D-1022</t>
  </si>
  <si>
    <t>Komola Begom</t>
  </si>
  <si>
    <t>JOK-JAM-ISL-CHP-D-779</t>
  </si>
  <si>
    <t>Lokkhi Rani Das</t>
  </si>
  <si>
    <t>Risipara, Bahadurpur, Jessore</t>
  </si>
  <si>
    <t>AZS-JES-JES-NOA-D-468</t>
  </si>
  <si>
    <t>Rohan Khan</t>
  </si>
  <si>
    <t>Vill:Sukto,Purbo para, Un:Babrahasla,Kalia,Narail</t>
  </si>
  <si>
    <t>MAS-NRL-KAL-BAB-D-343</t>
  </si>
  <si>
    <t>Mst. Bilkis Begum</t>
  </si>
  <si>
    <t>Vill:Paikmari, Moddhopara, Un:chondiborpur,Narail</t>
  </si>
  <si>
    <t>RS1-NRL-NRL-CHA-D-2034</t>
  </si>
  <si>
    <t>Sonda das</t>
  </si>
  <si>
    <t>Vill:Jokhar Char, Uttorpara, Un:salamabad,Kalia,Narail</t>
  </si>
  <si>
    <t>DBC-NRL-KAL-SAL-D-37</t>
  </si>
  <si>
    <t>Mahabur Morol</t>
  </si>
  <si>
    <t>Morolpara,Dokkhin Nalta,Tala,Satkhira</t>
  </si>
  <si>
    <t>BR-SAT-TAL-KHN-D-1008</t>
  </si>
  <si>
    <t>Rezaul</t>
  </si>
  <si>
    <t>Horipur, Bagmara, Rajshahi</t>
  </si>
  <si>
    <t>RON-RAJ-BGM-GOB-D-1866</t>
  </si>
  <si>
    <t>Sree Gopal</t>
  </si>
  <si>
    <t>Sakura, Godagari, Chapai Nababgonj</t>
  </si>
  <si>
    <t>SOZ-CNG-GOD-GOG-D-91</t>
  </si>
  <si>
    <t>Provati Sorkar</t>
  </si>
  <si>
    <t>Mission para, Nilkonthopur,Kaliganj, Satkhira</t>
  </si>
  <si>
    <t>TES-SAT-KOL-JOY-D-231</t>
  </si>
  <si>
    <t>Shahanara Begum</t>
  </si>
  <si>
    <t>Vill:Bagdanga, Srifaltala, Un:Vadrobila,Narail</t>
  </si>
  <si>
    <t>MLS-NRL-NRL-KOL-D-950</t>
  </si>
  <si>
    <t>MD. Rayhan Ali Biswas</t>
  </si>
  <si>
    <t>Md.Sofiqul</t>
  </si>
  <si>
    <t>Sareyela,Vellarpar,nouga,Porsha</t>
  </si>
  <si>
    <t>ASA-NOA-PRO-MUR-D-487</t>
  </si>
  <si>
    <t xml:space="preserve">Roksana </t>
  </si>
  <si>
    <t xml:space="preserve">Raikali, Purbo kodala, Rangamati </t>
  </si>
  <si>
    <t>SOK-RNG-RAN-CND-D-252</t>
  </si>
  <si>
    <t>Fahima Begum</t>
  </si>
  <si>
    <t>W-04, Kacharipara ,Dewangonj,Jamalpur</t>
  </si>
  <si>
    <t>NAS-JAM-DEW-CHU-D-286</t>
  </si>
  <si>
    <t>Shima Kundo</t>
  </si>
  <si>
    <t>Kalinagar, North para, Boailmari,Faridpur</t>
  </si>
  <si>
    <t>MAY.1-FAR-BOL-RUP-D-496</t>
  </si>
  <si>
    <t>Mst. Kohinur Begum</t>
  </si>
  <si>
    <t>Velu, Ramjibon, Gussogram, Sadar, Rangpur</t>
  </si>
  <si>
    <t>ARS-RAN-SAD-SAP-D-157</t>
  </si>
  <si>
    <t>Guccogram, Dhalikandi Sadar, Munshigonj</t>
  </si>
  <si>
    <t>SS-MUN-MUS-MOL-D-326</t>
  </si>
  <si>
    <t>Abul Kalam Azad</t>
  </si>
  <si>
    <t xml:space="preserve">Nisha kor </t>
  </si>
  <si>
    <t>Vill:Vimshi,up:Bhunabir,Sreemangol</t>
  </si>
  <si>
    <t>MBE-MOU-SRI-BHU-D-205</t>
  </si>
  <si>
    <t>Shopna Rani Sarkar</t>
  </si>
  <si>
    <t>Word No-7, Pourasova, Harinakundo, jhenaidah</t>
  </si>
  <si>
    <t>KAJ-JHE-HAR-W07-D-199</t>
  </si>
  <si>
    <t>Aroti Sarkar</t>
  </si>
  <si>
    <t>Langura,Kalnakanda,Netrokona</t>
  </si>
  <si>
    <t>SOS1-NET-KAL-LAN-D-64</t>
  </si>
  <si>
    <t>Champa Rani</t>
  </si>
  <si>
    <t>Vill: Sarulia, Uttorpara,  Un:Kashipur,Lohagara,Narail</t>
  </si>
  <si>
    <t>RS-NRL-LOH-KAS-D-133</t>
  </si>
  <si>
    <t>Shanti Robi Das</t>
  </si>
  <si>
    <t>Puraton Matikhola, Matikhola, Jamalpur</t>
  </si>
  <si>
    <t>MAS-JAM-JAM-ROS-D-746</t>
  </si>
  <si>
    <t xml:space="preserve">Fahima Akter </t>
  </si>
  <si>
    <t>Korani para,Chapra,sadar,Nilfamari</t>
  </si>
  <si>
    <t>ROM-NIL-SAD-CHA-D-3680</t>
  </si>
  <si>
    <t>Kamrunnahar</t>
  </si>
  <si>
    <t>Parangonj, Mymensingh</t>
  </si>
  <si>
    <t>NIS-MYM-MYM-POR-D-06</t>
  </si>
  <si>
    <t>Billal Hossin</t>
  </si>
  <si>
    <t>Alampur, Uttarpara, Cumilla</t>
  </si>
  <si>
    <t>BKG-COM-COM(S)-CHO-D-05</t>
  </si>
  <si>
    <t>Tareq</t>
  </si>
  <si>
    <t>Sarkisnojoy, Sonagazi, Feni</t>
  </si>
  <si>
    <t>AS-FEN-SON-AMI-D-02</t>
  </si>
  <si>
    <t>Md.Osman goni</t>
  </si>
  <si>
    <t>Mrs. sufiya Begam</t>
  </si>
  <si>
    <t>Mongolpur, Moddhopara, kotcol, Lohagara, narail</t>
  </si>
  <si>
    <t>MS4-NRL-LOH-KOT-D-51</t>
  </si>
  <si>
    <t xml:space="preserve">Masum Mia </t>
  </si>
  <si>
    <t>MRE-BRA-BAN-TZK-D-139</t>
  </si>
  <si>
    <t>Jorna Rani Mitra</t>
  </si>
  <si>
    <t>Mithapur,Hatpara, Noldi,Lohagara,Narail</t>
  </si>
  <si>
    <t>RS3-NRL-LOH-NAL-D-2453</t>
  </si>
  <si>
    <t>Azmira Begum</t>
  </si>
  <si>
    <t>Gazi Para, Eniyetpur, Tala, Satkhira</t>
  </si>
  <si>
    <t>JS1-SAT-TAL-KHK-D-22</t>
  </si>
  <si>
    <t>Md. Shohidullha</t>
  </si>
  <si>
    <t>Poshimpara, Boksigonj, Jamalpur</t>
  </si>
  <si>
    <t>NUR-JAM-BOX-BOX-D-45</t>
  </si>
  <si>
    <t>Md. Rabbi</t>
  </si>
  <si>
    <t>Poddarpara, Moujajalla, Islampur, Jamalpur</t>
  </si>
  <si>
    <t>SUS-JAM-ISL-PAT-D-725</t>
  </si>
  <si>
    <t>Md. Humaon</t>
  </si>
  <si>
    <t>Akondopara, Chikajani, Dewangonj, Jamalpur</t>
  </si>
  <si>
    <t>FOR-JAM-DEW-CHU-D-057</t>
  </si>
  <si>
    <t xml:space="preserve">Rohima Begum </t>
  </si>
  <si>
    <t>Uttor Para,Sibpur,Chitolmari,Bagerhat</t>
  </si>
  <si>
    <t>APO-BAG-CHI-BRO-D-587</t>
  </si>
  <si>
    <t>Ruma</t>
  </si>
  <si>
    <t>Panur, Mohongonj, Netrokona</t>
  </si>
  <si>
    <t>ABS-NET-MOH-BIR-D-394</t>
  </si>
  <si>
    <t>Samoli Rani Hira</t>
  </si>
  <si>
    <t>Dokkik,Corlitama,Chitalmari,Bagerhat</t>
  </si>
  <si>
    <t>APO-BAG-CHI-BRO-D-694</t>
  </si>
  <si>
    <t>Md. Forid Fokir</t>
  </si>
  <si>
    <t>Islampur, hanail, Joypurhat</t>
  </si>
  <si>
    <t>MOT1-JOY-JOY-BOM-D-238</t>
  </si>
  <si>
    <t>SHREE HARAN</t>
  </si>
  <si>
    <t>JUS-NAO-MAN-NUR-D-539</t>
  </si>
  <si>
    <t>SHAHID</t>
  </si>
  <si>
    <t>RS-COX-CHO-KHU-D-069</t>
  </si>
  <si>
    <t>MD ABDUL KURDUS MOLLA</t>
  </si>
  <si>
    <t>GSS-KHU-SAD-W31-D-322</t>
  </si>
  <si>
    <t>EKRAMUL</t>
  </si>
  <si>
    <t>JAS-SAT-SAT-W06-D-1614</t>
  </si>
  <si>
    <t>MD.ABUL KALAM</t>
  </si>
  <si>
    <t>SAS-KUS-MIR-MAL-D-858</t>
  </si>
  <si>
    <t>BILLAL</t>
  </si>
  <si>
    <t>RAS-FAR-FAR-ALI-D-945</t>
  </si>
  <si>
    <t>MIRJAN</t>
  </si>
  <si>
    <t>PS-SYL(E)-ZOK-BIR-D-380</t>
  </si>
  <si>
    <t>MD. WAZED ALI</t>
  </si>
  <si>
    <t>MAS1-RAJ-PUT-BAN-D-16</t>
  </si>
  <si>
    <t>HIMAET BISWAS</t>
  </si>
  <si>
    <t>BR-KHU-PAI-KOP-D-1671</t>
  </si>
  <si>
    <t>SHAHIN RAZA</t>
  </si>
  <si>
    <t>SS2-SAT-SAT-KUS-D-1660</t>
  </si>
  <si>
    <t>SARWAR ALAM</t>
  </si>
  <si>
    <t>ALL-CTG(S)-SAT-KAN-D-64</t>
  </si>
  <si>
    <t>MD NOVI</t>
  </si>
  <si>
    <t>MAH-COX-SAD-JHI-D-168</t>
  </si>
  <si>
    <t>RAYJON SHEAK</t>
  </si>
  <si>
    <t>ARO-KHU-TAR-BAR-D-265</t>
  </si>
  <si>
    <t>NASIR HOULADER</t>
  </si>
  <si>
    <t>HIM-BAG-FAK-FAK-368</t>
  </si>
  <si>
    <t>SHIMU</t>
  </si>
  <si>
    <t>SHA-BAG-MON-SHO-D-964</t>
  </si>
  <si>
    <t>MOST. JOMILA</t>
  </si>
  <si>
    <t>ASA-NAO-POR-MUR-D-551</t>
  </si>
  <si>
    <t>IANUS</t>
  </si>
  <si>
    <t>JOS-NAO-MAN-BAR-D-33</t>
  </si>
  <si>
    <t>MD. IDRIS</t>
  </si>
  <si>
    <t>DES-CTG-SIT-SAL-D-167</t>
  </si>
  <si>
    <t>Sonjit bala</t>
  </si>
  <si>
    <t>Uttor Para, Corlitama</t>
  </si>
  <si>
    <t>APO-BAG-CHI-BRO-D-779</t>
  </si>
  <si>
    <t>BEAUTY AKTER</t>
  </si>
  <si>
    <t>MS3-HAB-BAN-PUB-D-142</t>
  </si>
  <si>
    <t>SAHABANU</t>
  </si>
  <si>
    <t>SIY-CTG(N)-SWA-MUS-D-348</t>
  </si>
  <si>
    <t>RITA KHATUN</t>
  </si>
  <si>
    <t>RT-MEH-GAN-TET-D-71</t>
  </si>
  <si>
    <t>ALI AKBOR</t>
  </si>
  <si>
    <t>SUS-KUS-KHO-JOY-D-765</t>
  </si>
  <si>
    <t>MD.MOQSHAD</t>
  </si>
  <si>
    <t>SUS-KUS-KHO-KHO-D-1079</t>
  </si>
  <si>
    <t>KANIJ FATEMA</t>
  </si>
  <si>
    <t>RMS-LAK-SAD-CHR-D-1079</t>
  </si>
  <si>
    <t>MD.ALLAUDDIN</t>
  </si>
  <si>
    <t>ASS-RAJ-BGM-BAS-D-359</t>
  </si>
  <si>
    <t>MD.OYAHED</t>
  </si>
  <si>
    <t>RON-RAJ-BGM-MAR-D-120</t>
  </si>
  <si>
    <t>MD MAHBUBUR RAHMAN MILON</t>
  </si>
  <si>
    <t>RAS1-CTG-SIT-KUM-D-77</t>
  </si>
  <si>
    <t>SHAMIMA AKTER</t>
  </si>
  <si>
    <t>OMA-COX-SAD-BHA-D-0082</t>
  </si>
  <si>
    <t>GOLAP</t>
  </si>
  <si>
    <t>NAS-BRA-NAS-BKT-D-107</t>
  </si>
  <si>
    <t>MD. SAGOR GAZI</t>
  </si>
  <si>
    <t>SSS-GAZ-KKR-MOU-D-140</t>
  </si>
  <si>
    <t>MD.AB.MANNAN</t>
  </si>
  <si>
    <t>VII-DIN-BRG-SUJ-D-577</t>
  </si>
  <si>
    <t>Piqu</t>
  </si>
  <si>
    <t>Dry Office, Hadipur</t>
  </si>
  <si>
    <t>JAS-SAT-DEB-NOA-D-1334</t>
  </si>
  <si>
    <t>SARMIN KHAN</t>
  </si>
  <si>
    <t>KOL-NAO-SAD-DUB-D-49</t>
  </si>
  <si>
    <t>SOHEL SORDAR</t>
  </si>
  <si>
    <t>SS3-JES-KES-MON-D-339</t>
  </si>
  <si>
    <t>AMIR ALI</t>
  </si>
  <si>
    <t>MRS-SUN-SAT-AFZ-D-314</t>
  </si>
  <si>
    <t>MAHIN UDDIIN</t>
  </si>
  <si>
    <t>SAJ-NOA-SAD-EWA-D-72</t>
  </si>
  <si>
    <t>MD. JANMAL</t>
  </si>
  <si>
    <t>KS3-LAK-RGT-CHA-D-1019</t>
  </si>
  <si>
    <t>Hafijur</t>
  </si>
  <si>
    <t>Kuromkali, Chorbanuari</t>
  </si>
  <si>
    <t>KHA-BAG-CHI-CHO-D-566</t>
  </si>
  <si>
    <t>Al- Amin</t>
  </si>
  <si>
    <t>Majher Para, Komor Pur</t>
  </si>
  <si>
    <t>JAS-SAT-DEB-PAR-D-1392</t>
  </si>
  <si>
    <t>Sukit Goldar</t>
  </si>
  <si>
    <t>SUR1-KHU-BAT-GAN-D-135</t>
  </si>
  <si>
    <t>MINA AKTAR</t>
  </si>
  <si>
    <t>KHA-NOA-SEN-KAB-D-196</t>
  </si>
  <si>
    <t>DULAL ALI</t>
  </si>
  <si>
    <t>RON-RAJ-BGM-GOB-D-1626</t>
  </si>
  <si>
    <t>Asika Bairagi</t>
  </si>
  <si>
    <t>Naskhali, Alaipur</t>
  </si>
  <si>
    <t>THA-BAG-FAK-BAH-D-299</t>
  </si>
  <si>
    <t>Extent of baseline</t>
  </si>
  <si>
    <t>Date of expiry</t>
  </si>
  <si>
    <t>Goutom Mondob</t>
  </si>
  <si>
    <t>Donish Pal</t>
  </si>
  <si>
    <t xml:space="preserve">Nasima Habib </t>
  </si>
  <si>
    <t>Momala Begum</t>
  </si>
  <si>
    <t>Rahana Aktar</t>
  </si>
  <si>
    <t>Dofader para,Bamon Ali ,kaliganj,Satkhira</t>
  </si>
  <si>
    <t>Samples covered during monitoring</t>
  </si>
  <si>
    <t xml:space="preserve">Efficiency of project cookstove (fraction) determined at the start of the project activity. </t>
  </si>
  <si>
    <t>Monitoring Session 1 
(MS1)</t>
  </si>
  <si>
    <t>Faruk Bapery</t>
  </si>
  <si>
    <t>Md Wahid</t>
  </si>
  <si>
    <t>AMINUL ISLAM</t>
  </si>
  <si>
    <t>Md Helal Uddin Mollah</t>
  </si>
  <si>
    <t>Md Farhad Shaik</t>
  </si>
  <si>
    <t>Md.Rayhan Ali Biswas</t>
  </si>
  <si>
    <t>Jakson Chaodhury</t>
  </si>
  <si>
    <t>Anuj Kumar Majumdar</t>
  </si>
  <si>
    <t>MD.SAMSUZZAMAN</t>
  </si>
  <si>
    <t>KAMAL HOSEN</t>
  </si>
  <si>
    <t>Mustakim Sagor</t>
  </si>
  <si>
    <t>Gourango Sarkar</t>
  </si>
  <si>
    <t>Arshad Kamal</t>
  </si>
  <si>
    <t>GM Hadiuzzaman</t>
  </si>
  <si>
    <t>MD MEHEDI HASAN</t>
  </si>
  <si>
    <t>S.M Abul Hasan Al Masud</t>
  </si>
  <si>
    <t>Md Arobillah</t>
  </si>
  <si>
    <t>Md Ahsan Kabir</t>
  </si>
  <si>
    <t>Schoolpara, Gobindopara</t>
  </si>
  <si>
    <t>Mathpara, Radhanogor</t>
  </si>
  <si>
    <t>Shakher Maholla, Baniachong</t>
  </si>
  <si>
    <t>East Para, Benodpur</t>
  </si>
  <si>
    <t>Kuthibari Nearmember House, Komlapur</t>
  </si>
  <si>
    <t>Sarder Para, Bakal</t>
  </si>
  <si>
    <t>Biswas Para, Nasirpur</t>
  </si>
  <si>
    <t>Bilutrail, Varso</t>
  </si>
  <si>
    <t>26/1 Bahadurabad Lane, Mara Khal Par</t>
  </si>
  <si>
    <t>Gat Para, Khurula</t>
  </si>
  <si>
    <t>Usman Gonir Bari, Tulatoli</t>
  </si>
  <si>
    <t>Khulur Para, Noya Para</t>
  </si>
  <si>
    <t>Gangpara, Sagnudoha</t>
  </si>
  <si>
    <t>Uttor Dalur Per, Dalur Per</t>
  </si>
  <si>
    <t>Sardarpara, Ramkrisnopur</t>
  </si>
  <si>
    <t>Kadni Para, Khasnaogaon</t>
  </si>
  <si>
    <t>Lamar Para, Dolir Chora</t>
  </si>
  <si>
    <t>Purbo Para, Balakot</t>
  </si>
  <si>
    <t>Hadirgobari, Rahmotpur</t>
  </si>
  <si>
    <t>Mathpara, Khoksa</t>
  </si>
  <si>
    <t>Sayedpur, Sujalpur</t>
  </si>
  <si>
    <t>Morog Bapari Bari, Pachim Caiastanagor</t>
  </si>
  <si>
    <t>Kotta Pukur, Katkoil</t>
  </si>
  <si>
    <t>Taknikal Collage, Mulgor</t>
  </si>
  <si>
    <t>Ekhri, Barasat</t>
  </si>
  <si>
    <t>Gorgori/Sikdarbari, Passim Kancana</t>
  </si>
  <si>
    <t>Khuta Khali, Purbo Para</t>
  </si>
  <si>
    <t>Moktob Mor, Kuskhali</t>
  </si>
  <si>
    <t>Pochim Para, Amratola</t>
  </si>
  <si>
    <t>Jotbazar More, Nurullabad</t>
  </si>
  <si>
    <t>Moddhopara, Koromdi</t>
  </si>
  <si>
    <t>Santipur, Nokhopara</t>
  </si>
  <si>
    <t>Libarde Faktoree, Cundura Pollibudet</t>
  </si>
  <si>
    <t>Court Para, Kumira</t>
  </si>
  <si>
    <t>Monu Miya Amin Bari, Char Ruhita</t>
  </si>
  <si>
    <t>Hatem Bari, Char Sita</t>
  </si>
  <si>
    <t>Dokkhinpara, Gopalpur</t>
  </si>
  <si>
    <t>Zoynal Abadin Bari, Char Woria</t>
  </si>
  <si>
    <t>Dokkin Para, Fultola</t>
  </si>
  <si>
    <t>(tonnes/HH/year)</t>
  </si>
  <si>
    <t xml:space="preserve">Bisnorampur, Passem para, Bancarampur, Brahmanbaria </t>
  </si>
  <si>
    <t>Purbo kalcho, Dorgha bari, Kadum,Chandpur</t>
  </si>
  <si>
    <t>Hamankurdi (N) Sadar, Chandpur</t>
  </si>
  <si>
    <t>Kabasati School ar pase, Shalikha, Magura</t>
  </si>
  <si>
    <t>Chairman Bari,sorifpur,Homna,Comillah(N)</t>
  </si>
  <si>
    <t>Adorsho Gram, Jogonnatpur, Shibgonj, Bogora</t>
  </si>
  <si>
    <t xml:space="preserve">Md. Shariar Ahmmed </t>
  </si>
  <si>
    <t>Bagen Bari, Ulania, Galachipa, patuakhali</t>
  </si>
  <si>
    <t>Daspara,Jinglatoli,Daudkandi,Comillah(N)</t>
  </si>
  <si>
    <t>Dosanipara, Kamarerchar, Islampur, Jamalpur</t>
  </si>
  <si>
    <t>Stidiampase, kayerpara, sadar, panchagarh</t>
  </si>
  <si>
    <t>Tinpara, bapare, Daudkandi, Comillah (N)</t>
  </si>
  <si>
    <t>After Sales Service</t>
  </si>
  <si>
    <t>Good Cooking</t>
  </si>
  <si>
    <t>After Sales Service/Warranty</t>
  </si>
  <si>
    <t>Good After Sales Service</t>
  </si>
  <si>
    <t>Age at MS#2 Start Date</t>
  </si>
  <si>
    <t>Age at MS#2 End Date</t>
  </si>
  <si>
    <t>Age at MS#1 Start Date</t>
  </si>
  <si>
    <t>VPA 01-02, 04-36</t>
  </si>
  <si>
    <t>Symbol</t>
  </si>
  <si>
    <t>Value (AR4)</t>
  </si>
  <si>
    <t>Value (AR5)</t>
  </si>
  <si>
    <t>Net calorific value of the fuel type that is substituted or reduced</t>
  </si>
  <si>
    <t>TJ/tonnes</t>
  </si>
  <si>
    <t>2006 IPCC Guidelines for National Greenhouse Gas Inventories, Chapter 1: Introduction, Table 1.2 - Default net calorific values for solid biofuels</t>
  </si>
  <si>
    <t>Methane global warming potential</t>
  </si>
  <si>
    <t>Nitrous oxide global warming potential</t>
  </si>
  <si>
    <t>IPCC Default non-CO2 (CH4) Emission factor of the fuel type  that is substituted or reduced</t>
  </si>
  <si>
    <t xml:space="preserve">EFb,i,nonCO2  </t>
  </si>
  <si>
    <t xml:space="preserve">2006 IPCC Guidelines for National Greenhouse Gas Inventories, Chapter 2: Stationary Combustion, Table 2.9 - RESIDENTIAL SOURCE EMISSION FACTORS - Refer Biomass </t>
  </si>
  <si>
    <t>IPCC Default non-CO2 (N2O) Emission factor of the fuel type  that is substituted or reduced</t>
  </si>
  <si>
    <t>CO2 emission factor of firewood that is substituted or reduced.</t>
  </si>
  <si>
    <t>Non CO2 emission factor of firewood that is substituted or reduced (IPCC AR4)</t>
  </si>
  <si>
    <t>Non CO2 emission factor of firewood that is substituted or reduced (IPCC AR5)</t>
  </si>
  <si>
    <t>IPCC Assessment Report 4</t>
  </si>
  <si>
    <t>IPCC Assessment Report 5</t>
  </si>
  <si>
    <t>ER (MS1)</t>
  </si>
  <si>
    <t>Age at MS#1 End Date</t>
  </si>
  <si>
    <t>-</t>
  </si>
  <si>
    <t xml:space="preserve">Fraction of biomass, used in year y for baseline scenario, which can be established as  non-renewable. </t>
  </si>
  <si>
    <t>Discount factor to account for efficiency loss of project cookstove per year of operation (Fraction)</t>
  </si>
  <si>
    <t xml:space="preserve">Efficiency of the baseline cookstove being replaced (fraction). </t>
  </si>
  <si>
    <r>
      <t>NCV</t>
    </r>
    <r>
      <rPr>
        <vertAlign val="subscript"/>
        <sz val="12"/>
        <rFont val="Calibri"/>
        <family val="2"/>
        <scheme val="minor"/>
      </rPr>
      <t>b,i</t>
    </r>
  </si>
  <si>
    <r>
      <t>CH</t>
    </r>
    <r>
      <rPr>
        <vertAlign val="subscript"/>
        <sz val="12"/>
        <rFont val="Calibri"/>
        <family val="2"/>
        <scheme val="minor"/>
      </rPr>
      <t>4</t>
    </r>
    <r>
      <rPr>
        <sz val="12"/>
        <rFont val="Calibri"/>
        <family val="2"/>
        <scheme val="minor"/>
      </rPr>
      <t xml:space="preserve"> GWP</t>
    </r>
  </si>
  <si>
    <r>
      <t>CO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eq</t>
    </r>
  </si>
  <si>
    <r>
      <t>N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 GWP</t>
    </r>
  </si>
  <si>
    <r>
      <t>tCO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/TJ</t>
    </r>
  </si>
  <si>
    <t xml:space="preserve">Calculated </t>
  </si>
  <si>
    <t>IPCC Fourth Assessment Report: Climate Change 2007:  Working Group I: The Physical Science Basis, Table 2.14
AR5 Synthesis Report - Climate Change 2014, Topic 3: Future Pathways for Adaptation, Mitigation and Sustainable Development, Box 3.2, Table1</t>
  </si>
  <si>
    <t xml:space="preserve">Age Category </t>
  </si>
  <si>
    <t xml:space="preserve">Stove Year </t>
  </si>
  <si>
    <t xml:space="preserve">ERs </t>
  </si>
  <si>
    <t>Stove Year 
Under AR4</t>
  </si>
  <si>
    <t>ERs
Under AR4</t>
  </si>
  <si>
    <t>Stove Year 
Under AR5</t>
  </si>
  <si>
    <t>ERs
Under AR5</t>
  </si>
  <si>
    <t>IPCC AR4 Cut-Off Date</t>
  </si>
  <si>
    <t>Monitoring Session #1 (MS1)</t>
  </si>
  <si>
    <t>Monitoring Session #2 (MS2)</t>
  </si>
  <si>
    <t>Non CO2 emission factor Calculation</t>
  </si>
  <si>
    <t>IPCC AR4</t>
  </si>
  <si>
    <t>IPCC AR5</t>
  </si>
  <si>
    <t>Number of ICS Installed</t>
  </si>
  <si>
    <t>Age Caregory</t>
  </si>
  <si>
    <r>
      <t>EF</t>
    </r>
    <r>
      <rPr>
        <b/>
        <i/>
        <vertAlign val="subscript"/>
        <sz val="14"/>
        <rFont val="Calibri"/>
        <family val="2"/>
        <scheme val="minor"/>
      </rPr>
      <t>b,i,nonCO2</t>
    </r>
    <r>
      <rPr>
        <b/>
        <i/>
        <sz val="14"/>
        <rFont val="Calibri"/>
        <family val="2"/>
        <scheme val="minor"/>
      </rPr>
      <t xml:space="preserve"> </t>
    </r>
  </si>
  <si>
    <r>
      <t>non-CO</t>
    </r>
    <r>
      <rPr>
        <b/>
        <i/>
        <vertAlign val="subscript"/>
        <sz val="14"/>
        <rFont val="Calibri"/>
        <family val="2"/>
        <scheme val="minor"/>
      </rPr>
      <t>2</t>
    </r>
    <r>
      <rPr>
        <b/>
        <i/>
        <sz val="14"/>
        <rFont val="Calibri"/>
        <family val="2"/>
        <scheme val="minor"/>
      </rPr>
      <t xml:space="preserve"> emission factor of the fuel type  that is substituted or reduced</t>
    </r>
  </si>
  <si>
    <r>
      <t>tCO</t>
    </r>
    <r>
      <rPr>
        <b/>
        <i/>
        <vertAlign val="subscript"/>
        <sz val="14"/>
        <rFont val="Calibri"/>
        <family val="2"/>
        <scheme val="minor"/>
      </rPr>
      <t>2</t>
    </r>
    <r>
      <rPr>
        <b/>
        <i/>
        <sz val="14"/>
        <rFont val="Calibri"/>
        <family val="2"/>
        <scheme val="minor"/>
      </rPr>
      <t>/t</t>
    </r>
    <r>
      <rPr>
        <b/>
        <i/>
        <vertAlign val="subscript"/>
        <sz val="14"/>
        <rFont val="Calibri"/>
        <family val="2"/>
        <scheme val="minor"/>
      </rPr>
      <t>fuel</t>
    </r>
  </si>
  <si>
    <r>
      <t>SPM</t>
    </r>
    <r>
      <rPr>
        <b/>
        <vertAlign val="subscript"/>
        <sz val="10"/>
        <color theme="1"/>
        <rFont val="Calibri"/>
        <family val="2"/>
        <scheme val="minor"/>
      </rPr>
      <t>HH,Project</t>
    </r>
  </si>
  <si>
    <r>
      <t>ACS</t>
    </r>
    <r>
      <rPr>
        <b/>
        <vertAlign val="subscript"/>
        <sz val="10"/>
        <color theme="1"/>
        <rFont val="Calibri"/>
        <family val="2"/>
        <scheme val="minor"/>
      </rPr>
      <t>Project</t>
    </r>
  </si>
  <si>
    <r>
      <t>HHS</t>
    </r>
    <r>
      <rPr>
        <b/>
        <vertAlign val="subscript"/>
        <sz val="10"/>
        <color theme="1"/>
        <rFont val="Calibri"/>
        <family val="2"/>
        <scheme val="minor"/>
      </rPr>
      <t>Project</t>
    </r>
  </si>
  <si>
    <r>
      <t>HHT</t>
    </r>
    <r>
      <rPr>
        <b/>
        <vertAlign val="subscript"/>
        <sz val="10"/>
        <color theme="1"/>
        <rFont val="Calibri"/>
        <family val="2"/>
        <scheme val="minor"/>
      </rPr>
      <t>Project</t>
    </r>
  </si>
  <si>
    <t>IPCC AR5 Start Date</t>
  </si>
  <si>
    <t>Value (as per meth v 1.0)</t>
  </si>
  <si>
    <t>Climate Secure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</si>
</sst>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[$-409]d\-mmm\-yyyy;@"/>
    <numFmt numFmtId="167" formatCode="[$-409]d\-mmm\-yy;@"/>
    <numFmt numFmtId="168" formatCode="d\-mmm\-yy;@"/>
    <numFmt numFmtId="169" formatCode="0.000"/>
    <numFmt numFmtId="170" formatCode="0.0000"/>
    <numFmt numFmtId="171" formatCode="0.0"/>
    <numFmt numFmtId="172" formatCode="_ * #,##0_ ;_ * \-#,##0_ ;_ * &quot;-&quot;??_ ;_ @_ "/>
  </numFmts>
  <fonts count="7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vertAlign val="subscript"/>
      <sz val="10"/>
      <color theme="1"/>
      <name val="Calibri"/>
      <family val="2"/>
      <scheme val="minor"/>
    </font>
    <font>
      <b/>
      <sz val="10"/>
      <color theme="1"/>
      <name val="Calibri (Body)"/>
    </font>
    <font>
      <vertAlign val="subscript"/>
      <sz val="10"/>
      <color theme="1"/>
      <name val="Calibri"/>
      <family val="2"/>
    </font>
    <font>
      <b/>
      <vertAlign val="subscript"/>
      <sz val="10"/>
      <color theme="1"/>
      <name val="Calibri"/>
      <family val="2"/>
    </font>
    <font>
      <b/>
      <sz val="10"/>
      <color theme="1"/>
      <name val="Calibri"/>
      <family val="2"/>
    </font>
    <font>
      <b/>
      <vertAlign val="superscript"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1"/>
      <color theme="1"/>
      <name val="Calibri (Body)"/>
    </font>
    <font>
      <sz val="12"/>
      <color theme="1"/>
      <name val="Calibri (Body)"/>
    </font>
    <font>
      <vertAlign val="subscript"/>
      <sz val="12"/>
      <color theme="1"/>
      <name val="Calibri (Body)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vertAlign val="subscript"/>
      <sz val="10"/>
      <color theme="1"/>
      <name val="Calibri"/>
      <family val="2"/>
      <scheme val="minor"/>
    </font>
    <font>
      <vertAlign val="subscript"/>
      <sz val="10"/>
      <color theme="1"/>
      <name val="Calibri (Body)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4D4D4C"/>
      <name val="Verdana"/>
      <family val="2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 (Body)"/>
    </font>
    <font>
      <b/>
      <sz val="10"/>
      <color rgb="FF7030A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vertAlign val="subscript"/>
      <sz val="14"/>
      <name val="Calibri"/>
      <family val="2"/>
      <scheme val="minor"/>
    </font>
    <font>
      <b/>
      <i/>
      <sz val="14"/>
      <color theme="1"/>
      <name val="Calibri (Body)"/>
    </font>
    <font>
      <b/>
      <i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theme="9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7">
    <xf numFmtId="0" fontId="0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19" fillId="0" borderId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2" borderId="7" applyNumberFormat="0" applyAlignment="0" applyProtection="0"/>
    <xf numFmtId="0" fontId="20" fillId="3" borderId="9" applyNumberFormat="0" applyFont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48" fillId="0" borderId="0" applyNumberFormat="0" applyFill="0" applyBorder="0" applyAlignment="0" applyProtection="0"/>
    <xf numFmtId="0" fontId="12" fillId="0" borderId="0"/>
    <xf numFmtId="0" fontId="1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6" fillId="0" borderId="0"/>
    <xf numFmtId="9" fontId="11" fillId="0" borderId="0" applyFont="0" applyFill="0" applyBorder="0" applyAlignment="0" applyProtection="0"/>
    <xf numFmtId="0" fontId="54" fillId="0" borderId="0"/>
    <xf numFmtId="0" fontId="10" fillId="0" borderId="0"/>
    <xf numFmtId="9" fontId="10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" fillId="0" borderId="0"/>
    <xf numFmtId="0" fontId="5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3" fillId="0" borderId="0" applyFont="0" applyFill="0" applyBorder="0" applyAlignment="0" applyProtection="0"/>
  </cellStyleXfs>
  <cellXfs count="466">
    <xf numFmtId="0" fontId="0" fillId="0" borderId="0" xfId="0"/>
    <xf numFmtId="0" fontId="21" fillId="0" borderId="0" xfId="0" applyFont="1" applyAlignment="1">
      <alignment horizontal="center"/>
    </xf>
    <xf numFmtId="167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0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0" fontId="18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1" fontId="21" fillId="0" borderId="1" xfId="1" applyNumberFormat="1" applyFont="1" applyBorder="1" applyAlignment="1">
      <alignment horizontal="center" vertical="center" wrapText="1"/>
    </xf>
    <xf numFmtId="169" fontId="21" fillId="0" borderId="1" xfId="1" applyNumberFormat="1" applyFont="1" applyBorder="1" applyAlignment="1">
      <alignment horizontal="center" vertical="center" wrapText="1"/>
    </xf>
    <xf numFmtId="0" fontId="13" fillId="0" borderId="0" xfId="77"/>
    <xf numFmtId="0" fontId="32" fillId="7" borderId="18" xfId="0" applyFont="1" applyFill="1" applyBorder="1" applyAlignment="1">
      <alignment horizontal="center" vertical="center" wrapText="1"/>
    </xf>
    <xf numFmtId="0" fontId="32" fillId="7" borderId="21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5" fillId="0" borderId="10" xfId="1" applyFont="1" applyBorder="1" applyAlignment="1">
      <alignment horizontal="left" vertical="center" wrapText="1"/>
    </xf>
    <xf numFmtId="167" fontId="17" fillId="0" borderId="11" xfId="1" applyNumberFormat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35" fillId="0" borderId="13" xfId="1" applyFont="1" applyBorder="1" applyAlignment="1">
      <alignment horizontal="left" vertical="center" wrapText="1"/>
    </xf>
    <xf numFmtId="9" fontId="49" fillId="0" borderId="1" xfId="0" applyNumberFormat="1" applyFont="1" applyBorder="1" applyAlignment="1">
      <alignment horizontal="center" vertical="center" wrapText="1"/>
    </xf>
    <xf numFmtId="9" fontId="49" fillId="0" borderId="11" xfId="0" applyNumberFormat="1" applyFont="1" applyBorder="1" applyAlignment="1">
      <alignment horizontal="center" vertical="center" wrapText="1"/>
    </xf>
    <xf numFmtId="9" fontId="49" fillId="0" borderId="5" xfId="0" applyNumberFormat="1" applyFont="1" applyBorder="1" applyAlignment="1">
      <alignment horizontal="center" vertical="center" wrapText="1"/>
    </xf>
    <xf numFmtId="9" fontId="49" fillId="0" borderId="33" xfId="0" applyNumberFormat="1" applyFont="1" applyBorder="1" applyAlignment="1">
      <alignment horizontal="center" vertical="center" wrapText="1"/>
    </xf>
    <xf numFmtId="2" fontId="49" fillId="0" borderId="3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9" fontId="12" fillId="0" borderId="1" xfId="7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16" fillId="0" borderId="0" xfId="80" applyFont="1" applyAlignment="1">
      <alignment horizontal="center" vertical="center"/>
    </xf>
    <xf numFmtId="0" fontId="16" fillId="0" borderId="0" xfId="80" applyFont="1" applyAlignment="1">
      <alignment vertical="center" wrapText="1"/>
    </xf>
    <xf numFmtId="0" fontId="16" fillId="0" borderId="0" xfId="80" applyFont="1" applyAlignment="1">
      <alignment vertical="center"/>
    </xf>
    <xf numFmtId="0" fontId="11" fillId="0" borderId="0" xfId="80"/>
    <xf numFmtId="0" fontId="16" fillId="0" borderId="1" xfId="80" applyFont="1" applyBorder="1" applyAlignment="1">
      <alignment horizontal="center" vertical="center"/>
    </xf>
    <xf numFmtId="1" fontId="16" fillId="0" borderId="1" xfId="80" applyNumberFormat="1" applyFont="1" applyBorder="1" applyAlignment="1">
      <alignment horizontal="center" vertical="center" wrapText="1"/>
    </xf>
    <xf numFmtId="0" fontId="50" fillId="10" borderId="1" xfId="80" applyFont="1" applyFill="1" applyBorder="1" applyAlignment="1">
      <alignment horizontal="center" vertical="top" wrapText="1"/>
    </xf>
    <xf numFmtId="1" fontId="50" fillId="10" borderId="1" xfId="80" applyNumberFormat="1" applyFont="1" applyFill="1" applyBorder="1" applyAlignment="1">
      <alignment horizontal="center" vertical="center" wrapText="1"/>
    </xf>
    <xf numFmtId="0" fontId="50" fillId="7" borderId="1" xfId="80" applyFont="1" applyFill="1" applyBorder="1" applyAlignment="1">
      <alignment horizontal="center" vertical="center" wrapText="1"/>
    </xf>
    <xf numFmtId="0" fontId="16" fillId="0" borderId="1" xfId="80" applyFont="1" applyBorder="1" applyAlignment="1">
      <alignment horizontal="center" vertical="center" wrapText="1"/>
    </xf>
    <xf numFmtId="0" fontId="50" fillId="0" borderId="0" xfId="80" applyFont="1" applyAlignment="1">
      <alignment horizontal="center" vertical="center" wrapText="1"/>
    </xf>
    <xf numFmtId="1" fontId="50" fillId="0" borderId="0" xfId="80" applyNumberFormat="1" applyFont="1" applyAlignment="1">
      <alignment horizontal="center" vertical="center" wrapText="1"/>
    </xf>
    <xf numFmtId="0" fontId="50" fillId="7" borderId="1" xfId="80" applyFont="1" applyFill="1" applyBorder="1" applyAlignment="1">
      <alignment horizontal="center" wrapText="1"/>
    </xf>
    <xf numFmtId="0" fontId="21" fillId="0" borderId="0" xfId="80" applyFont="1" applyAlignment="1">
      <alignment vertical="center"/>
    </xf>
    <xf numFmtId="1" fontId="50" fillId="0" borderId="1" xfId="80" applyNumberFormat="1" applyFont="1" applyBorder="1" applyAlignment="1">
      <alignment horizontal="center" wrapText="1"/>
    </xf>
    <xf numFmtId="0" fontId="21" fillId="0" borderId="0" xfId="80" applyFont="1" applyAlignment="1">
      <alignment horizontal="center" vertical="center"/>
    </xf>
    <xf numFmtId="0" fontId="11" fillId="0" borderId="0" xfId="80" applyAlignment="1">
      <alignment horizontal="center"/>
    </xf>
    <xf numFmtId="0" fontId="50" fillId="7" borderId="1" xfId="80" applyFont="1" applyFill="1" applyBorder="1" applyAlignment="1">
      <alignment horizontal="center" vertical="center"/>
    </xf>
    <xf numFmtId="0" fontId="53" fillId="7" borderId="1" xfId="80" applyFont="1" applyFill="1" applyBorder="1" applyAlignment="1">
      <alignment horizontal="center" vertical="center"/>
    </xf>
    <xf numFmtId="0" fontId="53" fillId="7" borderId="1" xfId="80" applyFont="1" applyFill="1" applyBorder="1" applyAlignment="1">
      <alignment horizontal="center" vertical="center" wrapText="1"/>
    </xf>
    <xf numFmtId="0" fontId="10" fillId="0" borderId="0" xfId="84" applyFont="1"/>
    <xf numFmtId="0" fontId="10" fillId="0" borderId="0" xfId="85"/>
    <xf numFmtId="170" fontId="21" fillId="11" borderId="1" xfId="84" applyNumberFormat="1" applyFont="1" applyFill="1" applyBorder="1" applyAlignment="1">
      <alignment horizontal="right" vertical="center" wrapText="1"/>
    </xf>
    <xf numFmtId="0" fontId="21" fillId="11" borderId="1" xfId="84" applyFont="1" applyFill="1" applyBorder="1" applyAlignment="1">
      <alignment horizontal="justify" vertical="center" wrapText="1"/>
    </xf>
    <xf numFmtId="0" fontId="21" fillId="11" borderId="1" xfId="84" applyFont="1" applyFill="1" applyBorder="1" applyAlignment="1">
      <alignment horizontal="right" vertical="center" wrapText="1"/>
    </xf>
    <xf numFmtId="0" fontId="21" fillId="0" borderId="1" xfId="84" applyFont="1" applyBorder="1" applyAlignment="1">
      <alignment horizontal="right" vertical="center" wrapText="1"/>
    </xf>
    <xf numFmtId="0" fontId="21" fillId="0" borderId="1" xfId="84" applyFont="1" applyBorder="1" applyAlignment="1">
      <alignment horizontal="justify" vertical="center" wrapText="1"/>
    </xf>
    <xf numFmtId="0" fontId="21" fillId="0" borderId="2" xfId="84" applyFont="1" applyBorder="1" applyAlignment="1">
      <alignment horizontal="justify" vertical="center" wrapText="1"/>
    </xf>
    <xf numFmtId="0" fontId="32" fillId="10" borderId="4" xfId="84" applyFont="1" applyFill="1" applyBorder="1" applyAlignment="1">
      <alignment horizontal="justify" vertical="center" wrapText="1"/>
    </xf>
    <xf numFmtId="0" fontId="32" fillId="10" borderId="1" xfId="84" applyFont="1" applyFill="1" applyBorder="1" applyAlignment="1">
      <alignment horizontal="justify" vertical="center" wrapText="1"/>
    </xf>
    <xf numFmtId="0" fontId="32" fillId="0" borderId="2" xfId="84" applyFont="1" applyBorder="1" applyAlignment="1">
      <alignment horizontal="justify" vertical="center" wrapText="1"/>
    </xf>
    <xf numFmtId="10" fontId="21" fillId="11" borderId="1" xfId="84" applyNumberFormat="1" applyFont="1" applyFill="1" applyBorder="1" applyAlignment="1">
      <alignment horizontal="right" vertical="center" wrapText="1"/>
    </xf>
    <xf numFmtId="10" fontId="21" fillId="0" borderId="1" xfId="87" applyNumberFormat="1" applyFont="1" applyBorder="1" applyAlignment="1">
      <alignment horizontal="right" vertical="center" wrapText="1"/>
    </xf>
    <xf numFmtId="0" fontId="32" fillId="0" borderId="1" xfId="84" applyFont="1" applyBorder="1" applyAlignment="1">
      <alignment horizontal="justify" vertical="center" wrapText="1"/>
    </xf>
    <xf numFmtId="0" fontId="21" fillId="11" borderId="34" xfId="84" applyFont="1" applyFill="1" applyBorder="1" applyAlignment="1">
      <alignment horizontal="justify" vertical="center" wrapText="1"/>
    </xf>
    <xf numFmtId="1" fontId="57" fillId="11" borderId="1" xfId="84" applyNumberFormat="1" applyFont="1" applyFill="1" applyBorder="1" applyAlignment="1">
      <alignment horizontal="right" vertical="center" wrapText="1"/>
    </xf>
    <xf numFmtId="0" fontId="21" fillId="0" borderId="1" xfId="84" applyFont="1" applyBorder="1" applyAlignment="1">
      <alignment horizontal="right"/>
    </xf>
    <xf numFmtId="172" fontId="21" fillId="0" borderId="0" xfId="88" applyNumberFormat="1" applyFont="1" applyBorder="1" applyAlignment="1">
      <alignment horizontal="right" vertical="center" wrapText="1"/>
    </xf>
    <xf numFmtId="0" fontId="21" fillId="0" borderId="0" xfId="84" applyFont="1" applyAlignment="1">
      <alignment horizontal="justify" vertical="center" wrapText="1"/>
    </xf>
    <xf numFmtId="172" fontId="21" fillId="0" borderId="1" xfId="88" applyNumberFormat="1" applyFont="1" applyBorder="1" applyAlignment="1">
      <alignment horizontal="right" vertical="center" wrapText="1"/>
    </xf>
    <xf numFmtId="170" fontId="21" fillId="11" borderId="4" xfId="86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67" fontId="3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5" fontId="12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168" fontId="30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0" fontId="30" fillId="0" borderId="1" xfId="35" applyFont="1" applyBorder="1" applyAlignment="1">
      <alignment horizontal="center" vertical="center"/>
    </xf>
    <xf numFmtId="168" fontId="2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32" fillId="12" borderId="21" xfId="0" applyFont="1" applyFill="1" applyBorder="1" applyAlignment="1">
      <alignment horizontal="center" vertical="center" wrapText="1"/>
    </xf>
    <xf numFmtId="2" fontId="49" fillId="0" borderId="36" xfId="0" applyNumberFormat="1" applyFont="1" applyBorder="1" applyAlignment="1">
      <alignment horizontal="center" vertical="center" wrapText="1"/>
    </xf>
    <xf numFmtId="1" fontId="16" fillId="0" borderId="1" xfId="80" applyNumberFormat="1" applyFont="1" applyBorder="1" applyAlignment="1">
      <alignment wrapText="1"/>
    </xf>
    <xf numFmtId="1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0" fontId="32" fillId="9" borderId="17" xfId="0" applyFont="1" applyFill="1" applyBorder="1" applyAlignment="1">
      <alignment horizontal="center" vertical="center" wrapText="1"/>
    </xf>
    <xf numFmtId="0" fontId="32" fillId="9" borderId="21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4" fontId="33" fillId="0" borderId="11" xfId="0" applyNumberFormat="1" applyFont="1" applyBorder="1" applyAlignment="1">
      <alignment horizontal="center" vertical="center" wrapText="1"/>
    </xf>
    <xf numFmtId="166" fontId="32" fillId="8" borderId="1" xfId="71" applyNumberFormat="1" applyFont="1" applyFill="1" applyBorder="1" applyAlignment="1">
      <alignment horizontal="center" vertical="top" wrapText="1"/>
    </xf>
    <xf numFmtId="14" fontId="21" fillId="0" borderId="11" xfId="0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14" fontId="21" fillId="0" borderId="15" xfId="0" applyNumberFormat="1" applyFont="1" applyBorder="1" applyAlignment="1">
      <alignment horizontal="center" vertical="center" wrapText="1"/>
    </xf>
    <xf numFmtId="0" fontId="32" fillId="7" borderId="13" xfId="0" applyFont="1" applyFill="1" applyBorder="1" applyAlignment="1">
      <alignment horizontal="center"/>
    </xf>
    <xf numFmtId="1" fontId="32" fillId="5" borderId="14" xfId="0" applyNumberFormat="1" applyFont="1" applyFill="1" applyBorder="1" applyAlignment="1">
      <alignment horizontal="center"/>
    </xf>
    <xf numFmtId="1" fontId="32" fillId="12" borderId="14" xfId="0" applyNumberFormat="1" applyFont="1" applyFill="1" applyBorder="1" applyAlignment="1">
      <alignment horizontal="center"/>
    </xf>
    <xf numFmtId="1" fontId="21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center"/>
    </xf>
    <xf numFmtId="14" fontId="21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7" fillId="5" borderId="1" xfId="89" applyFont="1" applyFill="1" applyBorder="1" applyAlignment="1">
      <alignment horizontal="center" vertical="center" wrapText="1"/>
    </xf>
    <xf numFmtId="0" fontId="27" fillId="11" borderId="0" xfId="89" applyFont="1" applyFill="1" applyAlignment="1">
      <alignment horizontal="center" vertical="center" wrapText="1"/>
    </xf>
    <xf numFmtId="0" fontId="27" fillId="0" borderId="0" xfId="89" applyFont="1" applyAlignment="1">
      <alignment horizontal="center" vertical="center" wrapText="1"/>
    </xf>
    <xf numFmtId="0" fontId="3" fillId="11" borderId="0" xfId="89" applyFont="1" applyFill="1" applyAlignment="1">
      <alignment horizontal="center" vertical="center" wrapText="1"/>
    </xf>
    <xf numFmtId="0" fontId="3" fillId="0" borderId="0" xfId="89" applyFont="1" applyAlignment="1">
      <alignment horizontal="center" vertical="center" wrapText="1"/>
    </xf>
    <xf numFmtId="14" fontId="3" fillId="0" borderId="0" xfId="89" applyNumberFormat="1" applyFont="1" applyAlignment="1">
      <alignment horizontal="center" vertical="center" wrapText="1"/>
    </xf>
    <xf numFmtId="9" fontId="3" fillId="0" borderId="0" xfId="91" applyFont="1" applyAlignment="1">
      <alignment horizontal="center" vertical="center" wrapText="1"/>
    </xf>
    <xf numFmtId="170" fontId="21" fillId="11" borderId="1" xfId="86" applyNumberFormat="1" applyFont="1" applyFill="1" applyBorder="1" applyAlignment="1">
      <alignment horizontal="right" vertical="center" wrapText="1"/>
    </xf>
    <xf numFmtId="170" fontId="21" fillId="11" borderId="4" xfId="84" applyNumberFormat="1" applyFont="1" applyFill="1" applyBorder="1" applyAlignment="1">
      <alignment horizontal="right" vertical="center" wrapText="1"/>
    </xf>
    <xf numFmtId="0" fontId="32" fillId="7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166" fontId="21" fillId="5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12" borderId="1" xfId="0" applyFont="1" applyFill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69" fontId="21" fillId="0" borderId="1" xfId="0" applyNumberFormat="1" applyFont="1" applyBorder="1" applyAlignment="1">
      <alignment horizontal="center" vertical="center" wrapText="1"/>
    </xf>
    <xf numFmtId="1" fontId="32" fillId="13" borderId="14" xfId="0" applyNumberFormat="1" applyFont="1" applyFill="1" applyBorder="1" applyAlignment="1">
      <alignment horizontal="center" vertical="center" wrapText="1"/>
    </xf>
    <xf numFmtId="169" fontId="32" fillId="13" borderId="14" xfId="0" applyNumberFormat="1" applyFont="1" applyFill="1" applyBorder="1" applyAlignment="1">
      <alignment horizontal="center" vertical="center" wrapText="1"/>
    </xf>
    <xf numFmtId="0" fontId="32" fillId="13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32" fillId="13" borderId="1" xfId="0" applyFont="1" applyFill="1" applyBorder="1" applyAlignment="1">
      <alignment horizontal="center" vertical="center" wrapText="1"/>
    </xf>
    <xf numFmtId="0" fontId="32" fillId="13" borderId="11" xfId="0" applyFont="1" applyFill="1" applyBorder="1" applyAlignment="1">
      <alignment horizontal="center" vertical="center" wrapText="1"/>
    </xf>
    <xf numFmtId="170" fontId="21" fillId="0" borderId="1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169" fontId="21" fillId="0" borderId="1" xfId="0" applyNumberFormat="1" applyFont="1" applyBorder="1" applyAlignment="1">
      <alignment horizontal="center" wrapText="1"/>
    </xf>
    <xf numFmtId="10" fontId="21" fillId="0" borderId="1" xfId="9" applyNumberFormat="1" applyFont="1" applyBorder="1" applyAlignment="1">
      <alignment horizontal="center" wrapText="1"/>
    </xf>
    <xf numFmtId="169" fontId="21" fillId="0" borderId="1" xfId="9" applyNumberFormat="1" applyFont="1" applyBorder="1" applyAlignment="1">
      <alignment horizontal="center" wrapText="1"/>
    </xf>
    <xf numFmtId="170" fontId="21" fillId="0" borderId="11" xfId="0" applyNumberFormat="1" applyFont="1" applyBorder="1" applyAlignment="1">
      <alignment horizontal="center" wrapText="1"/>
    </xf>
    <xf numFmtId="10" fontId="21" fillId="0" borderId="14" xfId="9" applyNumberFormat="1" applyFont="1" applyBorder="1" applyAlignment="1">
      <alignment horizontal="center" wrapText="1"/>
    </xf>
    <xf numFmtId="169" fontId="21" fillId="0" borderId="14" xfId="9" applyNumberFormat="1" applyFont="1" applyBorder="1" applyAlignment="1">
      <alignment horizontal="center" wrapText="1"/>
    </xf>
    <xf numFmtId="170" fontId="21" fillId="0" borderId="15" xfId="0" applyNumberFormat="1" applyFont="1" applyBorder="1" applyAlignment="1">
      <alignment horizontal="center" wrapText="1"/>
    </xf>
    <xf numFmtId="169" fontId="21" fillId="0" borderId="0" xfId="0" applyNumberFormat="1" applyFont="1" applyAlignment="1">
      <alignment horizontal="center" wrapText="1"/>
    </xf>
    <xf numFmtId="9" fontId="21" fillId="0" borderId="0" xfId="9" applyFont="1" applyBorder="1" applyAlignment="1">
      <alignment horizontal="center" wrapText="1"/>
    </xf>
    <xf numFmtId="2" fontId="21" fillId="0" borderId="0" xfId="9" applyNumberFormat="1" applyFont="1" applyBorder="1" applyAlignment="1">
      <alignment horizontal="center" wrapText="1"/>
    </xf>
    <xf numFmtId="10" fontId="21" fillId="0" borderId="0" xfId="9" applyNumberFormat="1" applyFont="1" applyBorder="1" applyAlignment="1">
      <alignment horizontal="center" wrapText="1"/>
    </xf>
    <xf numFmtId="170" fontId="21" fillId="0" borderId="0" xfId="0" applyNumberFormat="1" applyFont="1" applyAlignment="1">
      <alignment horizontal="center" wrapText="1"/>
    </xf>
    <xf numFmtId="170" fontId="32" fillId="0" borderId="1" xfId="9" applyNumberFormat="1" applyFont="1" applyFill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1" fontId="21" fillId="0" borderId="1" xfId="0" applyNumberFormat="1" applyFont="1" applyBorder="1" applyAlignment="1">
      <alignment horizontal="center" wrapText="1"/>
    </xf>
    <xf numFmtId="170" fontId="21" fillId="0" borderId="1" xfId="0" applyNumberFormat="1" applyFont="1" applyBorder="1" applyAlignment="1">
      <alignment horizontal="center" wrapText="1"/>
    </xf>
    <xf numFmtId="10" fontId="21" fillId="0" borderId="12" xfId="9" applyNumberFormat="1" applyFont="1" applyFill="1" applyBorder="1" applyAlignment="1">
      <alignment horizontal="center" wrapText="1"/>
    </xf>
    <xf numFmtId="10" fontId="21" fillId="0" borderId="1" xfId="9" applyNumberFormat="1" applyFont="1" applyFill="1" applyBorder="1" applyAlignment="1">
      <alignment horizontal="center" wrapText="1"/>
    </xf>
    <xf numFmtId="10" fontId="21" fillId="0" borderId="4" xfId="69" applyNumberFormat="1" applyFont="1" applyFill="1" applyBorder="1" applyAlignment="1">
      <alignment horizontal="center" wrapText="1"/>
    </xf>
    <xf numFmtId="0" fontId="21" fillId="0" borderId="30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1" fontId="21" fillId="0" borderId="2" xfId="0" applyNumberFormat="1" applyFont="1" applyBorder="1" applyAlignment="1">
      <alignment horizontal="center" wrapText="1"/>
    </xf>
    <xf numFmtId="169" fontId="21" fillId="0" borderId="2" xfId="0" applyNumberFormat="1" applyFont="1" applyBorder="1" applyAlignment="1">
      <alignment horizontal="center" wrapText="1"/>
    </xf>
    <xf numFmtId="10" fontId="21" fillId="0" borderId="1" xfId="69" applyNumberFormat="1" applyFont="1" applyFill="1" applyBorder="1" applyAlignment="1">
      <alignment horizontal="center" wrapText="1"/>
    </xf>
    <xf numFmtId="2" fontId="32" fillId="8" borderId="14" xfId="0" applyNumberFormat="1" applyFont="1" applyFill="1" applyBorder="1" applyAlignment="1">
      <alignment horizontal="center" vertical="center" wrapText="1"/>
    </xf>
    <xf numFmtId="2" fontId="32" fillId="13" borderId="14" xfId="0" applyNumberFormat="1" applyFont="1" applyFill="1" applyBorder="1" applyAlignment="1">
      <alignment horizontal="center" vertical="center" wrapText="1"/>
    </xf>
    <xf numFmtId="172" fontId="21" fillId="0" borderId="1" xfId="92" applyNumberFormat="1" applyFont="1" applyBorder="1" applyAlignment="1">
      <alignment horizontal="center"/>
    </xf>
    <xf numFmtId="172" fontId="16" fillId="0" borderId="1" xfId="92" applyNumberFormat="1" applyFont="1" applyBorder="1" applyAlignment="1">
      <alignment horizontal="center" vertical="center" wrapText="1"/>
    </xf>
    <xf numFmtId="170" fontId="21" fillId="0" borderId="11" xfId="0" applyNumberFormat="1" applyFont="1" applyBorder="1" applyAlignment="1">
      <alignment horizontal="center" vertical="center" wrapText="1"/>
    </xf>
    <xf numFmtId="170" fontId="21" fillId="0" borderId="15" xfId="0" applyNumberFormat="1" applyFont="1" applyBorder="1" applyAlignment="1">
      <alignment horizontal="center" vertical="center" wrapText="1"/>
    </xf>
    <xf numFmtId="172" fontId="50" fillId="0" borderId="1" xfId="92" applyNumberFormat="1" applyFont="1" applyBorder="1" applyAlignment="1">
      <alignment horizontal="center" vertical="center" wrapText="1"/>
    </xf>
    <xf numFmtId="9" fontId="28" fillId="0" borderId="1" xfId="91" applyFont="1" applyFill="1" applyBorder="1" applyAlignment="1">
      <alignment horizontal="center" vertical="center" wrapText="1"/>
    </xf>
    <xf numFmtId="0" fontId="28" fillId="0" borderId="1" xfId="79" applyFont="1" applyBorder="1" applyAlignment="1">
      <alignment horizontal="center" vertical="center"/>
    </xf>
    <xf numFmtId="15" fontId="28" fillId="0" borderId="1" xfId="0" applyNumberFormat="1" applyFont="1" applyBorder="1" applyAlignment="1">
      <alignment horizontal="center" vertical="center"/>
    </xf>
    <xf numFmtId="0" fontId="50" fillId="10" borderId="1" xfId="92" applyNumberFormat="1" applyFont="1" applyFill="1" applyBorder="1" applyAlignment="1">
      <alignment horizontal="right" vertical="center" wrapText="1"/>
    </xf>
    <xf numFmtId="1" fontId="50" fillId="10" borderId="1" xfId="80" applyNumberFormat="1" applyFont="1" applyFill="1" applyBorder="1" applyAlignment="1">
      <alignment horizontal="right" vertical="center" wrapText="1"/>
    </xf>
    <xf numFmtId="172" fontId="50" fillId="10" borderId="1" xfId="92" applyNumberFormat="1" applyFont="1" applyFill="1" applyBorder="1" applyAlignment="1">
      <alignment horizontal="center" vertical="center" wrapText="1"/>
    </xf>
    <xf numFmtId="172" fontId="50" fillId="10" borderId="1" xfId="92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14" fontId="12" fillId="0" borderId="1" xfId="0" applyNumberFormat="1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3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0" fontId="21" fillId="0" borderId="0" xfId="0" applyNumberFormat="1" applyFont="1" applyAlignment="1">
      <alignment horizontal="center" vertical="center" wrapText="1"/>
    </xf>
    <xf numFmtId="0" fontId="32" fillId="7" borderId="19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0" fontId="21" fillId="0" borderId="38" xfId="0" applyFont="1" applyBorder="1" applyAlignment="1">
      <alignment horizontal="center" wrapText="1"/>
    </xf>
    <xf numFmtId="0" fontId="32" fillId="7" borderId="31" xfId="0" applyFont="1" applyFill="1" applyBorder="1" applyAlignment="1">
      <alignment horizontal="center" vertical="center" wrapText="1"/>
    </xf>
    <xf numFmtId="10" fontId="21" fillId="0" borderId="3" xfId="9" applyNumberFormat="1" applyFont="1" applyBorder="1" applyAlignment="1">
      <alignment horizontal="center" wrapText="1"/>
    </xf>
    <xf numFmtId="10" fontId="21" fillId="0" borderId="25" xfId="9" applyNumberFormat="1" applyFont="1" applyBorder="1" applyAlignment="1">
      <alignment horizontal="center" wrapText="1"/>
    </xf>
    <xf numFmtId="0" fontId="32" fillId="7" borderId="10" xfId="0" applyFont="1" applyFill="1" applyBorder="1" applyAlignment="1">
      <alignment horizontal="center" vertical="center" wrapText="1"/>
    </xf>
    <xf numFmtId="169" fontId="21" fillId="0" borderId="10" xfId="0" applyNumberFormat="1" applyFont="1" applyBorder="1" applyAlignment="1">
      <alignment horizontal="center" wrapText="1"/>
    </xf>
    <xf numFmtId="169" fontId="21" fillId="0" borderId="13" xfId="0" applyNumberFormat="1" applyFont="1" applyBorder="1" applyAlignment="1">
      <alignment horizontal="center" wrapText="1"/>
    </xf>
    <xf numFmtId="0" fontId="43" fillId="0" borderId="0" xfId="3" applyFont="1" applyAlignment="1">
      <alignment horizontal="left" vertical="center" wrapText="1" indent="1"/>
    </xf>
    <xf numFmtId="0" fontId="44" fillId="0" borderId="10" xfId="3" applyFont="1" applyBorder="1" applyAlignment="1">
      <alignment horizontal="left" vertical="center" wrapText="1" indent="1"/>
    </xf>
    <xf numFmtId="0" fontId="44" fillId="0" borderId="1" xfId="3" applyFont="1" applyBorder="1" applyAlignment="1">
      <alignment horizontal="left" vertical="center" wrapText="1" indent="1"/>
    </xf>
    <xf numFmtId="0" fontId="43" fillId="0" borderId="1" xfId="3" applyFont="1" applyBorder="1" applyAlignment="1">
      <alignment horizontal="left" vertical="center" wrapText="1" indent="1"/>
    </xf>
    <xf numFmtId="0" fontId="43" fillId="0" borderId="11" xfId="3" applyFont="1" applyBorder="1" applyAlignment="1">
      <alignment horizontal="left" vertical="center" wrapText="1" indent="1"/>
    </xf>
    <xf numFmtId="10" fontId="43" fillId="0" borderId="1" xfId="3" applyNumberFormat="1" applyFont="1" applyBorder="1" applyAlignment="1">
      <alignment horizontal="left" vertical="center" wrapText="1" indent="1"/>
    </xf>
    <xf numFmtId="2" fontId="43" fillId="0" borderId="13" xfId="3" applyNumberFormat="1" applyFont="1" applyBorder="1" applyAlignment="1">
      <alignment horizontal="left" vertical="center" wrapText="1" indent="1"/>
    </xf>
    <xf numFmtId="2" fontId="43" fillId="0" borderId="14" xfId="3" applyNumberFormat="1" applyFont="1" applyBorder="1" applyAlignment="1">
      <alignment horizontal="left" vertical="center" wrapText="1" indent="1"/>
    </xf>
    <xf numFmtId="0" fontId="43" fillId="0" borderId="14" xfId="3" applyFont="1" applyBorder="1" applyAlignment="1">
      <alignment horizontal="left" vertical="center" wrapText="1" indent="1"/>
    </xf>
    <xf numFmtId="0" fontId="43" fillId="0" borderId="15" xfId="3" applyFont="1" applyBorder="1" applyAlignment="1">
      <alignment horizontal="left" vertical="center" wrapText="1" indent="1"/>
    </xf>
    <xf numFmtId="0" fontId="32" fillId="7" borderId="11" xfId="0" applyFont="1" applyFill="1" applyBorder="1" applyAlignment="1">
      <alignment horizontal="center" vertical="center" wrapText="1"/>
    </xf>
    <xf numFmtId="169" fontId="21" fillId="0" borderId="11" xfId="0" applyNumberFormat="1" applyFont="1" applyBorder="1" applyAlignment="1">
      <alignment horizontal="center" wrapText="1"/>
    </xf>
    <xf numFmtId="169" fontId="21" fillId="0" borderId="15" xfId="0" applyNumberFormat="1" applyFont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2" fontId="21" fillId="5" borderId="1" xfId="0" applyNumberFormat="1" applyFont="1" applyFill="1" applyBorder="1" applyAlignment="1">
      <alignment horizontal="center"/>
    </xf>
    <xf numFmtId="10" fontId="21" fillId="0" borderId="0" xfId="91" applyNumberFormat="1" applyFont="1" applyAlignment="1">
      <alignment horizontal="center"/>
    </xf>
    <xf numFmtId="3" fontId="59" fillId="0" borderId="0" xfId="0" applyNumberFormat="1" applyFont="1"/>
    <xf numFmtId="2" fontId="21" fillId="5" borderId="11" xfId="0" applyNumberFormat="1" applyFont="1" applyFill="1" applyBorder="1" applyAlignment="1">
      <alignment horizontal="center"/>
    </xf>
    <xf numFmtId="2" fontId="21" fillId="5" borderId="14" xfId="0" applyNumberFormat="1" applyFont="1" applyFill="1" applyBorder="1" applyAlignment="1">
      <alignment horizontal="center"/>
    </xf>
    <xf numFmtId="2" fontId="21" fillId="5" borderId="15" xfId="0" applyNumberFormat="1" applyFont="1" applyFill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2" fontId="21" fillId="0" borderId="11" xfId="0" applyNumberFormat="1" applyFont="1" applyBorder="1" applyAlignment="1">
      <alignment horizontal="center"/>
    </xf>
    <xf numFmtId="2" fontId="21" fillId="0" borderId="13" xfId="0" applyNumberFormat="1" applyFont="1" applyBorder="1" applyAlignment="1">
      <alignment horizontal="center"/>
    </xf>
    <xf numFmtId="2" fontId="21" fillId="0" borderId="14" xfId="0" applyNumberFormat="1" applyFont="1" applyBorder="1" applyAlignment="1">
      <alignment horizontal="center"/>
    </xf>
    <xf numFmtId="2" fontId="21" fillId="0" borderId="25" xfId="0" applyNumberFormat="1" applyFont="1" applyBorder="1" applyAlignment="1">
      <alignment horizontal="center"/>
    </xf>
    <xf numFmtId="2" fontId="21" fillId="0" borderId="15" xfId="0" applyNumberFormat="1" applyFont="1" applyBorder="1" applyAlignment="1">
      <alignment horizontal="center"/>
    </xf>
    <xf numFmtId="2" fontId="21" fillId="12" borderId="10" xfId="0" applyNumberFormat="1" applyFont="1" applyFill="1" applyBorder="1" applyAlignment="1">
      <alignment horizontal="center"/>
    </xf>
    <xf numFmtId="2" fontId="21" fillId="12" borderId="1" xfId="0" applyNumberFormat="1" applyFont="1" applyFill="1" applyBorder="1" applyAlignment="1">
      <alignment horizontal="center"/>
    </xf>
    <xf numFmtId="2" fontId="21" fillId="12" borderId="11" xfId="0" applyNumberFormat="1" applyFont="1" applyFill="1" applyBorder="1" applyAlignment="1">
      <alignment horizontal="center"/>
    </xf>
    <xf numFmtId="2" fontId="21" fillId="12" borderId="13" xfId="0" applyNumberFormat="1" applyFont="1" applyFill="1" applyBorder="1" applyAlignment="1">
      <alignment horizontal="center"/>
    </xf>
    <xf numFmtId="2" fontId="21" fillId="12" borderId="14" xfId="0" applyNumberFormat="1" applyFont="1" applyFill="1" applyBorder="1" applyAlignment="1">
      <alignment horizontal="center"/>
    </xf>
    <xf numFmtId="2" fontId="21" fillId="12" borderId="15" xfId="0" applyNumberFormat="1" applyFont="1" applyFill="1" applyBorder="1" applyAlignment="1">
      <alignment horizontal="center"/>
    </xf>
    <xf numFmtId="0" fontId="21" fillId="0" borderId="23" xfId="0" applyFont="1" applyBorder="1" applyAlignment="1">
      <alignment horizontal="center"/>
    </xf>
    <xf numFmtId="14" fontId="21" fillId="0" borderId="5" xfId="0" applyNumberFormat="1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2" fontId="21" fillId="0" borderId="23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21" fillId="0" borderId="8" xfId="0" applyNumberFormat="1" applyFont="1" applyBorder="1" applyAlignment="1">
      <alignment horizontal="center"/>
    </xf>
    <xf numFmtId="2" fontId="21" fillId="0" borderId="33" xfId="0" applyNumberFormat="1" applyFont="1" applyBorder="1" applyAlignment="1">
      <alignment horizontal="center"/>
    </xf>
    <xf numFmtId="2" fontId="21" fillId="12" borderId="23" xfId="0" applyNumberFormat="1" applyFont="1" applyFill="1" applyBorder="1" applyAlignment="1">
      <alignment horizontal="center"/>
    </xf>
    <xf numFmtId="2" fontId="21" fillId="12" borderId="5" xfId="0" applyNumberFormat="1" applyFont="1" applyFill="1" applyBorder="1" applyAlignment="1">
      <alignment horizontal="center"/>
    </xf>
    <xf numFmtId="2" fontId="21" fillId="12" borderId="33" xfId="0" applyNumberFormat="1" applyFont="1" applyFill="1" applyBorder="1" applyAlignment="1">
      <alignment horizontal="center"/>
    </xf>
    <xf numFmtId="0" fontId="32" fillId="7" borderId="40" xfId="3" applyFont="1" applyFill="1" applyBorder="1" applyAlignment="1">
      <alignment horizontal="center" vertical="center" wrapText="1"/>
    </xf>
    <xf numFmtId="0" fontId="32" fillId="7" borderId="43" xfId="3" applyFont="1" applyFill="1" applyBorder="1" applyAlignment="1">
      <alignment horizontal="center" vertical="center" wrapText="1"/>
    </xf>
    <xf numFmtId="0" fontId="32" fillId="7" borderId="44" xfId="3" applyFont="1" applyFill="1" applyBorder="1" applyAlignment="1">
      <alignment horizontal="center" vertical="center" wrapText="1"/>
    </xf>
    <xf numFmtId="0" fontId="32" fillId="16" borderId="40" xfId="73" applyFont="1" applyFill="1" applyBorder="1" applyAlignment="1">
      <alignment horizontal="center" vertical="center" wrapText="1"/>
    </xf>
    <xf numFmtId="0" fontId="32" fillId="16" borderId="43" xfId="73" applyFont="1" applyFill="1" applyBorder="1" applyAlignment="1">
      <alignment horizontal="center" vertical="center" wrapText="1"/>
    </xf>
    <xf numFmtId="0" fontId="32" fillId="16" borderId="45" xfId="73" applyFont="1" applyFill="1" applyBorder="1" applyAlignment="1">
      <alignment horizontal="center" vertical="center" wrapText="1"/>
    </xf>
    <xf numFmtId="0" fontId="32" fillId="16" borderId="41" xfId="73" applyFont="1" applyFill="1" applyBorder="1" applyAlignment="1">
      <alignment horizontal="center" vertical="center" wrapText="1"/>
    </xf>
    <xf numFmtId="0" fontId="32" fillId="5" borderId="40" xfId="73" applyFont="1" applyFill="1" applyBorder="1" applyAlignment="1">
      <alignment horizontal="center" vertical="center" wrapText="1"/>
    </xf>
    <xf numFmtId="0" fontId="32" fillId="5" borderId="41" xfId="73" applyFont="1" applyFill="1" applyBorder="1" applyAlignment="1">
      <alignment horizontal="center" vertical="center" wrapText="1"/>
    </xf>
    <xf numFmtId="0" fontId="32" fillId="12" borderId="40" xfId="73" applyFont="1" applyFill="1" applyBorder="1" applyAlignment="1">
      <alignment horizontal="center" vertical="center" wrapText="1"/>
    </xf>
    <xf numFmtId="0" fontId="32" fillId="12" borderId="43" xfId="73" applyFont="1" applyFill="1" applyBorder="1" applyAlignment="1">
      <alignment horizontal="center" vertical="center" wrapText="1"/>
    </xf>
    <xf numFmtId="0" fontId="32" fillId="12" borderId="41" xfId="73" applyFont="1" applyFill="1" applyBorder="1" applyAlignment="1">
      <alignment horizontal="center" vertical="center" wrapText="1"/>
    </xf>
    <xf numFmtId="166" fontId="21" fillId="5" borderId="23" xfId="71" applyNumberFormat="1" applyFont="1" applyFill="1" applyBorder="1" applyAlignment="1">
      <alignment horizontal="center" vertical="top" wrapText="1"/>
    </xf>
    <xf numFmtId="2" fontId="21" fillId="5" borderId="5" xfId="0" applyNumberFormat="1" applyFont="1" applyFill="1" applyBorder="1" applyAlignment="1">
      <alignment horizontal="center"/>
    </xf>
    <xf numFmtId="169" fontId="21" fillId="5" borderId="5" xfId="0" applyNumberFormat="1" applyFont="1" applyFill="1" applyBorder="1" applyAlignment="1">
      <alignment horizontal="center"/>
    </xf>
    <xf numFmtId="2" fontId="21" fillId="5" borderId="33" xfId="0" applyNumberFormat="1" applyFont="1" applyFill="1" applyBorder="1" applyAlignment="1">
      <alignment horizontal="center"/>
    </xf>
    <xf numFmtId="166" fontId="21" fillId="5" borderId="10" xfId="71" applyNumberFormat="1" applyFont="1" applyFill="1" applyBorder="1" applyAlignment="1">
      <alignment horizontal="center" vertical="top" wrapText="1"/>
    </xf>
    <xf numFmtId="169" fontId="21" fillId="5" borderId="1" xfId="0" applyNumberFormat="1" applyFont="1" applyFill="1" applyBorder="1" applyAlignment="1">
      <alignment horizontal="center"/>
    </xf>
    <xf numFmtId="166" fontId="21" fillId="5" borderId="13" xfId="71" applyNumberFormat="1" applyFont="1" applyFill="1" applyBorder="1" applyAlignment="1">
      <alignment horizontal="center" vertical="top" wrapText="1"/>
    </xf>
    <xf numFmtId="169" fontId="21" fillId="5" borderId="14" xfId="0" applyNumberFormat="1" applyFont="1" applyFill="1" applyBorder="1" applyAlignment="1">
      <alignment horizontal="center"/>
    </xf>
    <xf numFmtId="0" fontId="43" fillId="0" borderId="0" xfId="3" applyFont="1" applyAlignment="1">
      <alignment horizontal="left" vertical="center" wrapText="1"/>
    </xf>
    <xf numFmtId="0" fontId="43" fillId="0" borderId="0" xfId="3" applyFont="1" applyAlignment="1">
      <alignment vertical="center" wrapText="1"/>
    </xf>
    <xf numFmtId="169" fontId="43" fillId="0" borderId="1" xfId="3" applyNumberFormat="1" applyFont="1" applyBorder="1" applyAlignment="1">
      <alignment horizontal="left" vertical="center" wrapText="1" indent="1"/>
    </xf>
    <xf numFmtId="0" fontId="65" fillId="5" borderId="43" xfId="73" applyFont="1" applyFill="1" applyBorder="1" applyAlignment="1">
      <alignment horizontal="center" vertical="center" wrapText="1"/>
    </xf>
    <xf numFmtId="0" fontId="66" fillId="5" borderId="43" xfId="73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/>
    </xf>
    <xf numFmtId="14" fontId="57" fillId="0" borderId="1" xfId="0" applyNumberFormat="1" applyFont="1" applyBorder="1" applyAlignment="1">
      <alignment horizontal="left" indent="1"/>
    </xf>
    <xf numFmtId="0" fontId="63" fillId="17" borderId="1" xfId="93" applyFont="1" applyFill="1" applyBorder="1" applyAlignment="1">
      <alignment horizontal="left" vertical="center" wrapText="1" indent="1"/>
    </xf>
    <xf numFmtId="0" fontId="60" fillId="11" borderId="1" xfId="93" applyFont="1" applyFill="1" applyBorder="1" applyAlignment="1">
      <alignment horizontal="left" vertical="center" wrapText="1" indent="1"/>
    </xf>
    <xf numFmtId="170" fontId="60" fillId="11" borderId="1" xfId="93" applyNumberFormat="1" applyFont="1" applyFill="1" applyBorder="1" applyAlignment="1">
      <alignment horizontal="left" vertical="center" wrapText="1" indent="1"/>
    </xf>
    <xf numFmtId="2" fontId="60" fillId="11" borderId="1" xfId="93" applyNumberFormat="1" applyFont="1" applyFill="1" applyBorder="1" applyAlignment="1">
      <alignment horizontal="left" vertical="center" wrapText="1" indent="1"/>
    </xf>
    <xf numFmtId="2" fontId="60" fillId="11" borderId="1" xfId="96" applyNumberFormat="1" applyFont="1" applyFill="1" applyBorder="1" applyAlignment="1">
      <alignment horizontal="left" vertical="center" wrapText="1" indent="1"/>
    </xf>
    <xf numFmtId="0" fontId="64" fillId="7" borderId="17" xfId="3" applyFont="1" applyFill="1" applyBorder="1" applyAlignment="1">
      <alignment horizontal="left" vertical="center" wrapText="1" indent="1"/>
    </xf>
    <xf numFmtId="0" fontId="64" fillId="7" borderId="18" xfId="3" applyFont="1" applyFill="1" applyBorder="1" applyAlignment="1">
      <alignment horizontal="left" vertical="center" wrapText="1" indent="1"/>
    </xf>
    <xf numFmtId="0" fontId="64" fillId="7" borderId="21" xfId="3" applyFont="1" applyFill="1" applyBorder="1" applyAlignment="1">
      <alignment horizontal="left" vertical="center" wrapText="1" indent="1"/>
    </xf>
    <xf numFmtId="0" fontId="32" fillId="7" borderId="1" xfId="0" applyFont="1" applyFill="1" applyBorder="1" applyAlignment="1">
      <alignment horizontal="center"/>
    </xf>
    <xf numFmtId="0" fontId="32" fillId="5" borderId="1" xfId="71" applyFont="1" applyFill="1" applyBorder="1" applyAlignment="1">
      <alignment horizontal="center" vertical="top" wrapText="1"/>
    </xf>
    <xf numFmtId="0" fontId="32" fillId="12" borderId="1" xfId="71" applyFont="1" applyFill="1" applyBorder="1" applyAlignment="1">
      <alignment horizontal="center" vertical="top" wrapText="1"/>
    </xf>
    <xf numFmtId="0" fontId="21" fillId="7" borderId="1" xfId="0" applyFont="1" applyFill="1" applyBorder="1" applyAlignment="1">
      <alignment horizontal="center"/>
    </xf>
    <xf numFmtId="14" fontId="21" fillId="0" borderId="1" xfId="71" applyNumberFormat="1" applyFont="1" applyBorder="1" applyAlignment="1">
      <alignment horizontal="center" vertical="top" wrapText="1"/>
    </xf>
    <xf numFmtId="172" fontId="21" fillId="0" borderId="11" xfId="92" applyNumberFormat="1" applyFont="1" applyBorder="1" applyAlignment="1">
      <alignment horizontal="center"/>
    </xf>
    <xf numFmtId="1" fontId="32" fillId="12" borderId="15" xfId="0" applyNumberFormat="1" applyFont="1" applyFill="1" applyBorder="1" applyAlignment="1">
      <alignment horizontal="center"/>
    </xf>
    <xf numFmtId="172" fontId="16" fillId="0" borderId="1" xfId="92" applyNumberFormat="1" applyFont="1" applyBorder="1" applyAlignment="1">
      <alignment horizontal="right" vertical="center" wrapText="1"/>
    </xf>
    <xf numFmtId="10" fontId="10" fillId="0" borderId="0" xfId="91" applyNumberFormat="1" applyFont="1"/>
    <xf numFmtId="0" fontId="32" fillId="4" borderId="1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10" fontId="10" fillId="0" borderId="1" xfId="91" applyNumberFormat="1" applyFont="1" applyBorder="1" applyAlignment="1">
      <alignment horizontal="center"/>
    </xf>
    <xf numFmtId="0" fontId="32" fillId="4" borderId="17" xfId="0" applyFont="1" applyFill="1" applyBorder="1" applyAlignment="1">
      <alignment horizontal="center" vertical="center" wrapText="1"/>
    </xf>
    <xf numFmtId="0" fontId="27" fillId="4" borderId="10" xfId="84" applyFont="1" applyFill="1" applyBorder="1" applyAlignment="1">
      <alignment horizontal="center"/>
    </xf>
    <xf numFmtId="1" fontId="21" fillId="0" borderId="11" xfId="0" applyNumberFormat="1" applyFont="1" applyBorder="1" applyAlignment="1">
      <alignment horizontal="center" vertical="center" wrapText="1"/>
    </xf>
    <xf numFmtId="0" fontId="32" fillId="4" borderId="10" xfId="84" applyFont="1" applyFill="1" applyBorder="1" applyAlignment="1">
      <alignment horizontal="center" vertical="center" wrapText="1"/>
    </xf>
    <xf numFmtId="10" fontId="10" fillId="0" borderId="11" xfId="91" applyNumberFormat="1" applyFont="1" applyBorder="1" applyAlignment="1">
      <alignment horizontal="center"/>
    </xf>
    <xf numFmtId="0" fontId="32" fillId="4" borderId="10" xfId="84" applyFont="1" applyFill="1" applyBorder="1" applyAlignment="1">
      <alignment horizontal="center"/>
    </xf>
    <xf numFmtId="0" fontId="32" fillId="4" borderId="13" xfId="84" applyFont="1" applyFill="1" applyBorder="1" applyAlignment="1">
      <alignment horizontal="center" vertical="center" wrapText="1"/>
    </xf>
    <xf numFmtId="10" fontId="10" fillId="0" borderId="14" xfId="91" applyNumberFormat="1" applyFont="1" applyBorder="1" applyAlignment="1">
      <alignment horizontal="center"/>
    </xf>
    <xf numFmtId="10" fontId="10" fillId="0" borderId="15" xfId="91" applyNumberFormat="1" applyFont="1" applyBorder="1" applyAlignment="1">
      <alignment horizontal="center"/>
    </xf>
    <xf numFmtId="10" fontId="10" fillId="0" borderId="1" xfId="91" applyNumberFormat="1" applyFont="1" applyBorder="1"/>
    <xf numFmtId="14" fontId="28" fillId="0" borderId="1" xfId="89" applyNumberFormat="1" applyFont="1" applyBorder="1" applyAlignment="1">
      <alignment horizontal="center" vertical="center" wrapText="1"/>
    </xf>
    <xf numFmtId="0" fontId="28" fillId="0" borderId="1" xfId="89" applyFont="1" applyBorder="1" applyAlignment="1">
      <alignment horizontal="center" vertical="center" wrapText="1"/>
    </xf>
    <xf numFmtId="0" fontId="28" fillId="0" borderId="4" xfId="90" applyFont="1" applyBorder="1" applyAlignment="1">
      <alignment horizontal="center" vertical="center" wrapText="1"/>
    </xf>
    <xf numFmtId="166" fontId="28" fillId="0" borderId="1" xfId="90" applyNumberFormat="1" applyFont="1" applyBorder="1" applyAlignment="1">
      <alignment horizontal="center" vertical="center" wrapText="1"/>
    </xf>
    <xf numFmtId="14" fontId="28" fillId="0" borderId="1" xfId="90" applyNumberFormat="1" applyFont="1" applyBorder="1" applyAlignment="1">
      <alignment horizontal="center" vertical="center" wrapText="1"/>
    </xf>
    <xf numFmtId="0" fontId="31" fillId="0" borderId="1" xfId="89" applyFont="1" applyBorder="1" applyAlignment="1">
      <alignment horizontal="center" vertical="center" wrapText="1"/>
    </xf>
    <xf numFmtId="0" fontId="28" fillId="0" borderId="0" xfId="89" applyFont="1" applyAlignment="1">
      <alignment horizontal="center" vertical="center" wrapText="1"/>
    </xf>
    <xf numFmtId="0" fontId="28" fillId="0" borderId="4" xfId="7" applyFont="1" applyBorder="1" applyAlignment="1">
      <alignment horizontal="center" vertical="center" wrapText="1"/>
    </xf>
    <xf numFmtId="166" fontId="28" fillId="0" borderId="4" xfId="90" applyNumberFormat="1" applyFont="1" applyBorder="1" applyAlignment="1">
      <alignment horizontal="center" vertical="center" wrapText="1"/>
    </xf>
    <xf numFmtId="168" fontId="28" fillId="0" borderId="4" xfId="90" applyNumberFormat="1" applyFont="1" applyBorder="1" applyAlignment="1">
      <alignment horizontal="center" vertical="center" wrapText="1"/>
    </xf>
    <xf numFmtId="0" fontId="28" fillId="0" borderId="1" xfId="90" applyFont="1" applyBorder="1" applyAlignment="1">
      <alignment horizontal="center" vertical="center" wrapText="1"/>
    </xf>
    <xf numFmtId="0" fontId="28" fillId="0" borderId="1" xfId="35" applyFont="1" applyBorder="1" applyAlignment="1">
      <alignment horizontal="center" vertical="center" wrapText="1"/>
    </xf>
    <xf numFmtId="168" fontId="28" fillId="0" borderId="1" xfId="9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169" fontId="32" fillId="8" borderId="1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6" fillId="11" borderId="1" xfId="93" applyFont="1" applyFill="1" applyBorder="1" applyAlignment="1">
      <alignment horizontal="left" vertical="center" wrapText="1" indent="1"/>
    </xf>
    <xf numFmtId="2" fontId="16" fillId="11" borderId="1" xfId="93" applyNumberFormat="1" applyFont="1" applyFill="1" applyBorder="1" applyAlignment="1">
      <alignment horizontal="left" vertical="center" wrapText="1" indent="1"/>
    </xf>
    <xf numFmtId="0" fontId="16" fillId="10" borderId="1" xfId="93" applyFont="1" applyFill="1" applyBorder="1" applyAlignment="1">
      <alignment horizontal="left" vertical="center" wrapText="1" indent="1"/>
    </xf>
    <xf numFmtId="0" fontId="60" fillId="10" borderId="1" xfId="93" applyFont="1" applyFill="1" applyBorder="1" applyAlignment="1">
      <alignment horizontal="left" vertical="center" wrapText="1" indent="1"/>
    </xf>
    <xf numFmtId="1" fontId="60" fillId="10" borderId="1" xfId="93" applyNumberFormat="1" applyFont="1" applyFill="1" applyBorder="1" applyAlignment="1">
      <alignment horizontal="left" vertical="center" wrapText="1" indent="1"/>
    </xf>
    <xf numFmtId="0" fontId="63" fillId="17" borderId="10" xfId="93" applyFont="1" applyFill="1" applyBorder="1" applyAlignment="1">
      <alignment horizontal="left" vertical="center" wrapText="1" indent="1"/>
    </xf>
    <xf numFmtId="0" fontId="63" fillId="17" borderId="11" xfId="93" applyFont="1" applyFill="1" applyBorder="1" applyAlignment="1">
      <alignment horizontal="left" vertical="center" wrapText="1" indent="1"/>
    </xf>
    <xf numFmtId="0" fontId="60" fillId="11" borderId="10" xfId="93" applyFont="1" applyFill="1" applyBorder="1" applyAlignment="1">
      <alignment horizontal="left" vertical="center" wrapText="1" indent="1"/>
    </xf>
    <xf numFmtId="0" fontId="16" fillId="0" borderId="11" xfId="95" applyFont="1" applyBorder="1" applyAlignment="1">
      <alignment horizontal="left" vertical="center" wrapText="1" indent="1"/>
    </xf>
    <xf numFmtId="0" fontId="60" fillId="0" borderId="10" xfId="93" applyFont="1" applyBorder="1" applyAlignment="1">
      <alignment horizontal="left" vertical="center" wrapText="1" indent="1"/>
    </xf>
    <xf numFmtId="0" fontId="68" fillId="11" borderId="13" xfId="93" applyFont="1" applyFill="1" applyBorder="1" applyAlignment="1">
      <alignment horizontal="left" vertical="center" wrapText="1" indent="1"/>
    </xf>
    <xf numFmtId="169" fontId="71" fillId="11" borderId="14" xfId="93" applyNumberFormat="1" applyFont="1" applyFill="1" applyBorder="1" applyAlignment="1">
      <alignment horizontal="left" vertical="center" wrapText="1" indent="1"/>
    </xf>
    <xf numFmtId="169" fontId="68" fillId="0" borderId="14" xfId="93" applyNumberFormat="1" applyFont="1" applyBorder="1" applyAlignment="1">
      <alignment horizontal="left" vertical="center" wrapText="1" indent="1"/>
    </xf>
    <xf numFmtId="0" fontId="68" fillId="11" borderId="14" xfId="93" applyFont="1" applyFill="1" applyBorder="1" applyAlignment="1">
      <alignment horizontal="left" vertical="center" wrapText="1" indent="1"/>
    </xf>
    <xf numFmtId="0" fontId="71" fillId="0" borderId="15" xfId="95" applyFont="1" applyBorder="1" applyAlignment="1">
      <alignment horizontal="left" vertical="center" wrapText="1" indent="1"/>
    </xf>
    <xf numFmtId="172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46" fillId="0" borderId="2" xfId="77" applyFont="1" applyBorder="1" applyAlignment="1">
      <alignment horizontal="center"/>
    </xf>
    <xf numFmtId="0" fontId="46" fillId="0" borderId="3" xfId="77" applyFont="1" applyBorder="1" applyAlignment="1">
      <alignment horizontal="center"/>
    </xf>
    <xf numFmtId="0" fontId="44" fillId="0" borderId="1" xfId="3" applyFont="1" applyBorder="1" applyAlignment="1">
      <alignment horizontal="left" vertical="center" wrapText="1" indent="1"/>
    </xf>
    <xf numFmtId="0" fontId="64" fillId="7" borderId="18" xfId="3" applyFont="1" applyFill="1" applyBorder="1" applyAlignment="1">
      <alignment horizontal="left" vertical="center" wrapText="1" indent="1"/>
    </xf>
    <xf numFmtId="0" fontId="70" fillId="0" borderId="14" xfId="3" applyFont="1" applyBorder="1" applyAlignment="1">
      <alignment horizontal="left" vertical="center" wrapText="1" indent="1"/>
    </xf>
    <xf numFmtId="0" fontId="44" fillId="0" borderId="14" xfId="3" applyFont="1" applyBorder="1" applyAlignment="1">
      <alignment horizontal="left" vertical="center" wrapText="1" indent="1"/>
    </xf>
    <xf numFmtId="0" fontId="63" fillId="17" borderId="1" xfId="93" applyFont="1" applyFill="1" applyBorder="1" applyAlignment="1">
      <alignment horizontal="left" vertical="center" wrapText="1" indent="1"/>
    </xf>
    <xf numFmtId="0" fontId="62" fillId="17" borderId="17" xfId="3" applyFont="1" applyFill="1" applyBorder="1" applyAlignment="1">
      <alignment horizontal="center" vertical="center" wrapText="1"/>
    </xf>
    <xf numFmtId="0" fontId="62" fillId="17" borderId="18" xfId="3" applyFont="1" applyFill="1" applyBorder="1" applyAlignment="1">
      <alignment horizontal="center" vertical="center" wrapText="1"/>
    </xf>
    <xf numFmtId="0" fontId="62" fillId="17" borderId="21" xfId="3" applyFont="1" applyFill="1" applyBorder="1" applyAlignment="1">
      <alignment horizontal="center" vertical="center" wrapText="1"/>
    </xf>
    <xf numFmtId="0" fontId="43" fillId="0" borderId="49" xfId="3" applyFont="1" applyBorder="1" applyAlignment="1">
      <alignment horizontal="center" vertical="center" wrapText="1"/>
    </xf>
    <xf numFmtId="0" fontId="16" fillId="0" borderId="30" xfId="95" applyFont="1" applyBorder="1" applyAlignment="1">
      <alignment horizontal="left" vertical="center" wrapText="1" indent="1"/>
    </xf>
    <xf numFmtId="0" fontId="16" fillId="0" borderId="33" xfId="95" applyFont="1" applyBorder="1" applyAlignment="1">
      <alignment horizontal="left" vertical="center" wrapText="1" indent="1"/>
    </xf>
    <xf numFmtId="0" fontId="44" fillId="0" borderId="2" xfId="3" applyFont="1" applyBorder="1" applyAlignment="1">
      <alignment horizontal="left" vertical="center" wrapText="1" indent="1"/>
    </xf>
    <xf numFmtId="0" fontId="44" fillId="0" borderId="3" xfId="3" applyFont="1" applyBorder="1" applyAlignment="1">
      <alignment horizontal="left" vertical="center" wrapText="1" indent="1"/>
    </xf>
    <xf numFmtId="0" fontId="32" fillId="5" borderId="46" xfId="73" applyFont="1" applyFill="1" applyBorder="1" applyAlignment="1">
      <alignment horizontal="center" vertical="center" wrapText="1"/>
    </xf>
    <xf numFmtId="0" fontId="32" fillId="5" borderId="47" xfId="73" applyFont="1" applyFill="1" applyBorder="1" applyAlignment="1">
      <alignment horizontal="center" vertical="center" wrapText="1"/>
    </xf>
    <xf numFmtId="0" fontId="32" fillId="5" borderId="48" xfId="73" applyFont="1" applyFill="1" applyBorder="1" applyAlignment="1">
      <alignment horizontal="center" vertical="center" wrapText="1"/>
    </xf>
    <xf numFmtId="0" fontId="32" fillId="12" borderId="46" xfId="73" applyFont="1" applyFill="1" applyBorder="1" applyAlignment="1">
      <alignment horizontal="center" vertical="center" wrapText="1"/>
    </xf>
    <xf numFmtId="0" fontId="32" fillId="12" borderId="47" xfId="73" applyFont="1" applyFill="1" applyBorder="1" applyAlignment="1">
      <alignment horizontal="center" vertical="center" wrapText="1"/>
    </xf>
    <xf numFmtId="0" fontId="32" fillId="12" borderId="48" xfId="73" applyFont="1" applyFill="1" applyBorder="1" applyAlignment="1">
      <alignment horizontal="center" vertical="center" wrapText="1"/>
    </xf>
    <xf numFmtId="0" fontId="32" fillId="7" borderId="17" xfId="3" applyFont="1" applyFill="1" applyBorder="1" applyAlignment="1">
      <alignment horizontal="center" vertical="center" wrapText="1"/>
    </xf>
    <xf numFmtId="0" fontId="32" fillId="7" borderId="10" xfId="3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/>
    </xf>
    <xf numFmtId="0" fontId="32" fillId="12" borderId="19" xfId="73" applyFont="1" applyFill="1" applyBorder="1" applyAlignment="1">
      <alignment horizontal="center" vertical="center" wrapText="1"/>
    </xf>
    <xf numFmtId="0" fontId="32" fillId="12" borderId="20" xfId="73" applyFont="1" applyFill="1" applyBorder="1" applyAlignment="1">
      <alignment horizontal="center" vertical="center" wrapText="1"/>
    </xf>
    <xf numFmtId="0" fontId="32" fillId="12" borderId="24" xfId="73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/>
    </xf>
    <xf numFmtId="0" fontId="32" fillId="13" borderId="3" xfId="0" applyFont="1" applyFill="1" applyBorder="1" applyAlignment="1">
      <alignment horizontal="center" vertical="center"/>
    </xf>
    <xf numFmtId="0" fontId="32" fillId="13" borderId="30" xfId="0" applyFont="1" applyFill="1" applyBorder="1" applyAlignment="1">
      <alignment horizontal="center" vertical="center"/>
    </xf>
    <xf numFmtId="0" fontId="32" fillId="13" borderId="33" xfId="0" applyFont="1" applyFill="1" applyBorder="1" applyAlignment="1">
      <alignment horizontal="center" vertical="center"/>
    </xf>
    <xf numFmtId="0" fontId="67" fillId="7" borderId="1" xfId="0" applyFont="1" applyFill="1" applyBorder="1" applyAlignment="1">
      <alignment horizontal="left" wrapText="1" indent="1"/>
    </xf>
    <xf numFmtId="0" fontId="67" fillId="7" borderId="1" xfId="0" applyFont="1" applyFill="1" applyBorder="1" applyAlignment="1">
      <alignment horizontal="left" indent="1"/>
    </xf>
    <xf numFmtId="0" fontId="32" fillId="7" borderId="1" xfId="3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/>
    </xf>
    <xf numFmtId="0" fontId="32" fillId="5" borderId="19" xfId="73" applyFont="1" applyFill="1" applyBorder="1" applyAlignment="1">
      <alignment horizontal="center" vertical="center" wrapText="1"/>
    </xf>
    <xf numFmtId="0" fontId="32" fillId="5" borderId="20" xfId="73" applyFont="1" applyFill="1" applyBorder="1" applyAlignment="1">
      <alignment horizontal="center" vertical="center" wrapText="1"/>
    </xf>
    <xf numFmtId="0" fontId="32" fillId="5" borderId="31" xfId="73" applyFont="1" applyFill="1" applyBorder="1" applyAlignment="1">
      <alignment horizontal="center" vertical="center" wrapText="1"/>
    </xf>
    <xf numFmtId="0" fontId="50" fillId="7" borderId="1" xfId="80" applyFont="1" applyFill="1" applyBorder="1" applyAlignment="1">
      <alignment horizontal="center" vertical="center" wrapText="1"/>
    </xf>
    <xf numFmtId="0" fontId="50" fillId="7" borderId="2" xfId="80" applyFont="1" applyFill="1" applyBorder="1" applyAlignment="1">
      <alignment horizontal="center" vertical="center" wrapText="1"/>
    </xf>
    <xf numFmtId="0" fontId="50" fillId="7" borderId="34" xfId="80" applyFont="1" applyFill="1" applyBorder="1" applyAlignment="1">
      <alignment horizontal="center" vertical="center" wrapText="1"/>
    </xf>
    <xf numFmtId="0" fontId="50" fillId="7" borderId="3" xfId="80" applyFont="1" applyFill="1" applyBorder="1" applyAlignment="1">
      <alignment horizontal="center" vertical="center" wrapText="1"/>
    </xf>
    <xf numFmtId="0" fontId="32" fillId="12" borderId="18" xfId="0" applyFont="1" applyFill="1" applyBorder="1" applyAlignment="1">
      <alignment horizontal="center" vertical="center" wrapText="1"/>
    </xf>
    <xf numFmtId="0" fontId="32" fillId="12" borderId="21" xfId="0" applyFont="1" applyFill="1" applyBorder="1" applyAlignment="1">
      <alignment horizontal="center" vertical="center" wrapText="1"/>
    </xf>
    <xf numFmtId="0" fontId="32" fillId="7" borderId="18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2" fillId="7" borderId="17" xfId="0" applyFont="1" applyFill="1" applyBorder="1" applyAlignment="1">
      <alignment horizontal="center"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center" vertical="center" wrapText="1"/>
    </xf>
    <xf numFmtId="0" fontId="32" fillId="12" borderId="19" xfId="0" applyFont="1" applyFill="1" applyBorder="1" applyAlignment="1">
      <alignment horizontal="center" vertical="center" wrapText="1"/>
    </xf>
    <xf numFmtId="0" fontId="32" fillId="12" borderId="31" xfId="0" applyFont="1" applyFill="1" applyBorder="1" applyAlignment="1">
      <alignment horizontal="center" vertical="center" wrapText="1"/>
    </xf>
    <xf numFmtId="0" fontId="32" fillId="12" borderId="22" xfId="0" applyFont="1" applyFill="1" applyBorder="1" applyAlignment="1">
      <alignment horizontal="center" vertical="center" wrapText="1"/>
    </xf>
    <xf numFmtId="0" fontId="32" fillId="12" borderId="35" xfId="0" applyFont="1" applyFill="1" applyBorder="1" applyAlignment="1">
      <alignment horizontal="center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2" fillId="5" borderId="20" xfId="0" applyFont="1" applyFill="1" applyBorder="1" applyAlignment="1">
      <alignment horizontal="center" vertical="center" wrapText="1"/>
    </xf>
    <xf numFmtId="0" fontId="40" fillId="4" borderId="21" xfId="0" applyFont="1" applyFill="1" applyBorder="1" applyAlignment="1">
      <alignment horizontal="center" vertical="center" wrapText="1"/>
    </xf>
    <xf numFmtId="0" fontId="40" fillId="4" borderId="37" xfId="0" applyFont="1" applyFill="1" applyBorder="1" applyAlignment="1">
      <alignment horizontal="center" vertical="center" wrapText="1"/>
    </xf>
    <xf numFmtId="0" fontId="40" fillId="4" borderId="11" xfId="0" applyFont="1" applyFill="1" applyBorder="1" applyAlignment="1">
      <alignment horizontal="center" vertical="center" wrapText="1"/>
    </xf>
    <xf numFmtId="0" fontId="32" fillId="7" borderId="26" xfId="0" applyFont="1" applyFill="1" applyBorder="1" applyAlignment="1">
      <alignment horizontal="center" vertical="center" wrapText="1"/>
    </xf>
    <xf numFmtId="0" fontId="32" fillId="7" borderId="39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32" fillId="5" borderId="22" xfId="0" applyFont="1" applyFill="1" applyBorder="1" applyAlignment="1">
      <alignment horizontal="center" vertical="center" wrapText="1"/>
    </xf>
    <xf numFmtId="0" fontId="32" fillId="5" borderId="23" xfId="0" applyFont="1" applyFill="1" applyBorder="1" applyAlignment="1">
      <alignment horizontal="center" vertical="center" wrapText="1"/>
    </xf>
    <xf numFmtId="0" fontId="40" fillId="4" borderId="17" xfId="0" applyFont="1" applyFill="1" applyBorder="1" applyAlignment="1">
      <alignment horizontal="center" vertical="center" wrapText="1"/>
    </xf>
    <xf numFmtId="0" fontId="40" fillId="4" borderId="18" xfId="0" applyFont="1" applyFill="1" applyBorder="1" applyAlignment="1">
      <alignment horizontal="center" vertical="center" wrapText="1"/>
    </xf>
    <xf numFmtId="0" fontId="40" fillId="4" borderId="10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0" fontId="21" fillId="0" borderId="14" xfId="0" applyFont="1" applyBorder="1" applyAlignment="1">
      <alignment horizontal="left" wrapText="1"/>
    </xf>
    <xf numFmtId="0" fontId="40" fillId="4" borderId="26" xfId="0" applyFont="1" applyFill="1" applyBorder="1" applyAlignment="1">
      <alignment horizontal="center" vertical="center" wrapText="1"/>
    </xf>
    <xf numFmtId="0" fontId="40" fillId="4" borderId="27" xfId="0" applyFont="1" applyFill="1" applyBorder="1" applyAlignment="1">
      <alignment horizontal="center" vertical="center" wrapText="1"/>
    </xf>
    <xf numFmtId="0" fontId="40" fillId="4" borderId="28" xfId="0" applyFont="1" applyFill="1" applyBorder="1" applyAlignment="1">
      <alignment horizontal="center" vertical="center" wrapText="1"/>
    </xf>
    <xf numFmtId="0" fontId="40" fillId="4" borderId="6" xfId="0" applyFont="1" applyFill="1" applyBorder="1" applyAlignment="1">
      <alignment horizontal="center" vertical="center" wrapText="1"/>
    </xf>
    <xf numFmtId="0" fontId="40" fillId="4" borderId="29" xfId="0" applyFont="1" applyFill="1" applyBorder="1" applyAlignment="1">
      <alignment horizontal="center" vertical="center" wrapText="1"/>
    </xf>
    <xf numFmtId="0" fontId="40" fillId="4" borderId="8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32" fillId="13" borderId="14" xfId="0" applyFont="1" applyFill="1" applyBorder="1" applyAlignment="1">
      <alignment horizontal="center" vertical="center" wrapText="1"/>
    </xf>
    <xf numFmtId="0" fontId="32" fillId="13" borderId="15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50" fillId="7" borderId="17" xfId="0" applyFont="1" applyFill="1" applyBorder="1" applyAlignment="1">
      <alignment horizontal="center" vertical="center" wrapText="1"/>
    </xf>
    <xf numFmtId="0" fontId="50" fillId="7" borderId="18" xfId="0" applyFont="1" applyFill="1" applyBorder="1" applyAlignment="1">
      <alignment horizontal="center" vertical="center" wrapText="1"/>
    </xf>
    <xf numFmtId="0" fontId="50" fillId="7" borderId="21" xfId="0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 wrapText="1"/>
    </xf>
    <xf numFmtId="0" fontId="32" fillId="13" borderId="13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32" fillId="8" borderId="10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9" fontId="58" fillId="14" borderId="4" xfId="70" applyFont="1" applyFill="1" applyBorder="1" applyAlignment="1">
      <alignment horizontal="center" vertical="center" wrapText="1"/>
    </xf>
    <xf numFmtId="9" fontId="58" fillId="14" borderId="5" xfId="7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58" fillId="14" borderId="4" xfId="0" applyFont="1" applyFill="1" applyBorder="1" applyAlignment="1">
      <alignment horizontal="center" vertical="center" wrapText="1"/>
    </xf>
    <xf numFmtId="0" fontId="58" fillId="14" borderId="5" xfId="0" applyFont="1" applyFill="1" applyBorder="1" applyAlignment="1">
      <alignment horizontal="center" vertical="center" wrapText="1"/>
    </xf>
    <xf numFmtId="0" fontId="31" fillId="7" borderId="4" xfId="79" applyFont="1" applyFill="1" applyBorder="1" applyAlignment="1">
      <alignment horizontal="center" vertical="center" wrapText="1"/>
    </xf>
    <xf numFmtId="0" fontId="31" fillId="7" borderId="5" xfId="79" applyFont="1" applyFill="1" applyBorder="1" applyAlignment="1">
      <alignment horizontal="center" vertical="center" wrapText="1"/>
    </xf>
    <xf numFmtId="0" fontId="31" fillId="7" borderId="4" xfId="79" applyFont="1" applyFill="1" applyBorder="1" applyAlignment="1">
      <alignment horizontal="left" vertical="center" wrapText="1" indent="1"/>
    </xf>
    <xf numFmtId="0" fontId="31" fillId="7" borderId="5" xfId="79" applyFont="1" applyFill="1" applyBorder="1" applyAlignment="1">
      <alignment horizontal="left" vertical="center" wrapText="1" indent="1"/>
    </xf>
    <xf numFmtId="0" fontId="27" fillId="4" borderId="4" xfId="89" applyFont="1" applyFill="1" applyBorder="1" applyAlignment="1">
      <alignment horizontal="center" vertical="center" wrapText="1"/>
    </xf>
    <xf numFmtId="0" fontId="27" fillId="4" borderId="5" xfId="89" applyFont="1" applyFill="1" applyBorder="1" applyAlignment="1">
      <alignment horizontal="center" vertical="center" wrapText="1"/>
    </xf>
    <xf numFmtId="0" fontId="27" fillId="5" borderId="4" xfId="89" applyFont="1" applyFill="1" applyBorder="1" applyAlignment="1">
      <alignment horizontal="center" vertical="center" wrapText="1"/>
    </xf>
    <xf numFmtId="0" fontId="27" fillId="5" borderId="5" xfId="89" applyFont="1" applyFill="1" applyBorder="1" applyAlignment="1">
      <alignment horizontal="center" vertical="center" wrapText="1"/>
    </xf>
    <xf numFmtId="0" fontId="27" fillId="5" borderId="16" xfId="89" applyFont="1" applyFill="1" applyBorder="1" applyAlignment="1">
      <alignment horizontal="center" vertical="center" wrapText="1"/>
    </xf>
    <xf numFmtId="0" fontId="27" fillId="5" borderId="12" xfId="89" applyFont="1" applyFill="1" applyBorder="1" applyAlignment="1">
      <alignment horizontal="center" vertical="center" wrapText="1"/>
    </xf>
    <xf numFmtId="14" fontId="27" fillId="5" borderId="4" xfId="89" applyNumberFormat="1" applyFont="1" applyFill="1" applyBorder="1" applyAlignment="1">
      <alignment horizontal="center" vertical="center" wrapText="1"/>
    </xf>
    <xf numFmtId="14" fontId="27" fillId="5" borderId="5" xfId="89" applyNumberFormat="1" applyFont="1" applyFill="1" applyBorder="1" applyAlignment="1">
      <alignment horizontal="center" vertical="center" wrapText="1"/>
    </xf>
    <xf numFmtId="0" fontId="27" fillId="5" borderId="2" xfId="89" applyFont="1" applyFill="1" applyBorder="1" applyAlignment="1">
      <alignment horizontal="center" vertical="center" wrapText="1"/>
    </xf>
    <xf numFmtId="0" fontId="27" fillId="5" borderId="3" xfId="89" applyFont="1" applyFill="1" applyBorder="1" applyAlignment="1">
      <alignment horizontal="center" vertical="center" wrapText="1"/>
    </xf>
    <xf numFmtId="0" fontId="58" fillId="15" borderId="4" xfId="0" applyFont="1" applyFill="1" applyBorder="1" applyAlignment="1">
      <alignment horizontal="center" vertical="center" wrapText="1"/>
    </xf>
    <xf numFmtId="0" fontId="58" fillId="15" borderId="5" xfId="0" applyFont="1" applyFill="1" applyBorder="1" applyAlignment="1">
      <alignment horizontal="center" vertical="center" wrapText="1"/>
    </xf>
    <xf numFmtId="0" fontId="10" fillId="0" borderId="0" xfId="84" applyFont="1" applyAlignment="1">
      <alignment horizontal="center"/>
    </xf>
    <xf numFmtId="0" fontId="32" fillId="4" borderId="18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10" borderId="2" xfId="84" applyFont="1" applyFill="1" applyBorder="1" applyAlignment="1">
      <alignment horizontal="center" vertical="center" wrapText="1"/>
    </xf>
    <xf numFmtId="0" fontId="32" fillId="10" borderId="3" xfId="84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 indent="1"/>
    </xf>
    <xf numFmtId="0" fontId="35" fillId="0" borderId="14" xfId="0" applyFont="1" applyBorder="1" applyAlignment="1">
      <alignment horizontal="left" vertical="center" wrapText="1" indent="1"/>
    </xf>
    <xf numFmtId="0" fontId="46" fillId="7" borderId="1" xfId="77" applyFont="1" applyFill="1" applyBorder="1" applyAlignment="1">
      <alignment horizontal="left" indent="1"/>
    </xf>
    <xf numFmtId="0" fontId="47" fillId="0" borderId="1" xfId="77" applyFont="1" applyBorder="1" applyAlignment="1">
      <alignment horizontal="left" indent="1"/>
    </xf>
    <xf numFmtId="0" fontId="13" fillId="0" borderId="1" xfId="77" applyBorder="1" applyAlignment="1">
      <alignment horizontal="left" indent="1"/>
    </xf>
    <xf numFmtId="171" fontId="13" fillId="0" borderId="1" xfId="77" applyNumberFormat="1" applyBorder="1" applyAlignment="1">
      <alignment horizontal="left" indent="1"/>
    </xf>
    <xf numFmtId="14" fontId="13" fillId="0" borderId="1" xfId="77" applyNumberFormat="1" applyBorder="1" applyAlignment="1">
      <alignment horizontal="left" indent="1"/>
    </xf>
    <xf numFmtId="0" fontId="48" fillId="0" borderId="1" xfId="78" applyBorder="1" applyAlignment="1">
      <alignment horizontal="left" indent="1"/>
    </xf>
    <xf numFmtId="0" fontId="1" fillId="0" borderId="1" xfId="77" applyFont="1" applyBorder="1" applyAlignment="1">
      <alignment horizontal="left" indent="1"/>
    </xf>
  </cellXfs>
  <cellStyles count="97">
    <cellStyle name="Comma" xfId="92" builtinId="3"/>
    <cellStyle name="Comma 14" xfId="96" xr:uid="{D30999CB-C808-4195-B9A4-7D04CD0AC78E}"/>
    <cellStyle name="Comma 2" xfId="4" xr:uid="{00000000-0005-0000-0000-00001B000000}"/>
    <cellStyle name="Comma 2 2" xfId="72" xr:uid="{00000000-0005-0000-0000-00001C000000}"/>
    <cellStyle name="Comma 3" xfId="88" xr:uid="{00000000-0005-0000-0000-00001D000000}"/>
    <cellStyle name="Comma 4" xfId="94" xr:uid="{9EE7FBEB-AC30-4E39-BBD6-0D3929C7AD19}"/>
    <cellStyle name="Currency 3" xfId="10" xr:uid="{00000000-0005-0000-0000-00001E000000}"/>
    <cellStyle name="Currency 3 2" xfId="74" xr:uid="{00000000-0005-0000-0000-00001F000000}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 2" xfId="5" xr:uid="{00000000-0005-0000-0000-000020000000}"/>
    <cellStyle name="Hyperlink 3" xfId="78" xr:uid="{00000000-0005-0000-0000-000021000000}"/>
    <cellStyle name="Hyperlink 4" xfId="81" xr:uid="{00000000-0005-0000-0000-000022000000}"/>
    <cellStyle name="Normal" xfId="0" builtinId="0"/>
    <cellStyle name="Normal 10" xfId="93" xr:uid="{AB90EE6C-9698-4FF8-95E7-FFCB7AE13058}"/>
    <cellStyle name="Normal 10 2" xfId="6" xr:uid="{00000000-0005-0000-0000-00003F000000}"/>
    <cellStyle name="Normal 12" xfId="95" xr:uid="{135C94D7-4CC6-4650-B460-02C84816A316}"/>
    <cellStyle name="Normal 2" xfId="3" xr:uid="{00000000-0005-0000-0000-000040000000}"/>
    <cellStyle name="Normal 2 2" xfId="7" xr:uid="{00000000-0005-0000-0000-000041000000}"/>
    <cellStyle name="Normal 2 3" xfId="68" xr:uid="{00000000-0005-0000-0000-000042000000}"/>
    <cellStyle name="Normal 2 4" xfId="73" xr:uid="{00000000-0005-0000-0000-000043000000}"/>
    <cellStyle name="Normal 2 4 2" xfId="79" xr:uid="{00000000-0005-0000-0000-000044000000}"/>
    <cellStyle name="Normal 2 5" xfId="76" xr:uid="{00000000-0005-0000-0000-000045000000}"/>
    <cellStyle name="Normal 2 6" xfId="80" xr:uid="{00000000-0005-0000-0000-000046000000}"/>
    <cellStyle name="Normal 3" xfId="8" xr:uid="{00000000-0005-0000-0000-000047000000}"/>
    <cellStyle name="Normal 3 2" xfId="1" xr:uid="{00000000-0005-0000-0000-000048000000}"/>
    <cellStyle name="Normal 4" xfId="71" xr:uid="{00000000-0005-0000-0000-000049000000}"/>
    <cellStyle name="Normal 4 2" xfId="82" xr:uid="{00000000-0005-0000-0000-00004A000000}"/>
    <cellStyle name="Normal 4 3" xfId="90" xr:uid="{00000000-0005-0000-0000-00004B000000}"/>
    <cellStyle name="Normal 5" xfId="75" xr:uid="{00000000-0005-0000-0000-00004C000000}"/>
    <cellStyle name="Normal 6" xfId="77" xr:uid="{00000000-0005-0000-0000-00004D000000}"/>
    <cellStyle name="Normal 7" xfId="84" xr:uid="{00000000-0005-0000-0000-00004E000000}"/>
    <cellStyle name="Normal 8" xfId="85" xr:uid="{00000000-0005-0000-0000-00004F000000}"/>
    <cellStyle name="Normal 9" xfId="89" xr:uid="{00000000-0005-0000-0000-000050000000}"/>
    <cellStyle name="Normal_Bondhu chula instalation list-1(Mymensing division)" xfId="35" xr:uid="{00000000-0005-0000-0000-000051000000}"/>
    <cellStyle name="Note 2" xfId="34" xr:uid="{00000000-0005-0000-0000-000052000000}"/>
    <cellStyle name="Output 2" xfId="33" xr:uid="{00000000-0005-0000-0000-000053000000}"/>
    <cellStyle name="Percent" xfId="91" builtinId="5"/>
    <cellStyle name="Percent 2" xfId="2" xr:uid="{00000000-0005-0000-0000-000054000000}"/>
    <cellStyle name="Percent 2 2" xfId="70" xr:uid="{00000000-0005-0000-0000-000055000000}"/>
    <cellStyle name="Percent 3" xfId="9" xr:uid="{00000000-0005-0000-0000-000056000000}"/>
    <cellStyle name="Percent 3 2" xfId="69" xr:uid="{00000000-0005-0000-0000-000057000000}"/>
    <cellStyle name="Percent 4" xfId="83" xr:uid="{00000000-0005-0000-0000-000058000000}"/>
    <cellStyle name="Percent 4 2" xfId="87" xr:uid="{00000000-0005-0000-0000-000059000000}"/>
    <cellStyle name="Percent 5" xfId="86" xr:uid="{00000000-0005-0000-0000-00005A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tuev-nord.de/C:/C:/C:/C:/C:/Documents%20and%20Settings/Matt%20Evans/My%20Documents/My%20Dropbox/All%20Projects/Paradigm%20Kenya/Modeling/Updated%20Project%20P%20and%20L.fix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tesecure-my.sharepoint.com/C:/C:/C:/C:/C:/C:/C:/C:/C:/C:/D:/C:/Documents%20and%20Settings/Matt%20Evans/My%20Documents/My%20Dropbox/All%20Projects/Paradigm%20Kenya/Modeling/Updated%20Project%20P%20and%20L.fixed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tuev-nord.de/C:/C:/C:/C:/C:/C:/C:/C:/C:/C:/D:/C:/Documents%20and%20Settings/Matt%20Evans/My%20Documents/My%20Dropbox/All%20Projects/Paradigm%20Kenya/Modeling/Updated%20Project%20P%20and%20L.fix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tesecure-my.sharepoint.com/C:/C:/C:/C:/C:/Documents%20and%20Settings/Matt%20Evans/My%20Documents/My%20Dropbox/All%20Projects/Paradigm%20Kenya/Modeling/Updated%20Project%20P%20and%20L.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climatesecure-my.sharepoint.com/C:/C:/C:/C:/C:/Volumes/Local%20Disc%20(D)/Climate%20Secure/Honduras/MRV/Airheads-togvda/ceihd/Projects/Project%20Templates/Carbon%20Documentation/China%20Program/Carbon%20Program/Offset%20projections/Aggregate%20China%20Projection.xlsx?18EFA04C" TargetMode="External"/><Relationship Id="rId1" Type="http://schemas.openxmlformats.org/officeDocument/2006/relationships/externalLinkPath" Target="file:///\\18EFA04C\Aggregate%20China%20Projection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https://extranet.tuev-nord.de/C:/C:/C:/C:/C:/Volumes/Local%20Disc%20(D)/Climate%20Secure/Ghana/2nd%20verification/C:/Users/dinesh.naidu/AppData/Local/Microsoft/Windows/INetCache/Content.Outlook/D0AXV9IC/efficiency%20calculator.xlsm?C0E7FB5C" TargetMode="External"/><Relationship Id="rId1" Type="http://schemas.openxmlformats.org/officeDocument/2006/relationships/externalLinkPath" Target="file:///\\C0E7FB5C\efficiency%20calculator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https://climatesecure-my.sharepoint.com/C:/C:/C:/C:/C:/Volumes/Local%20Disc%20(D)/Climate%20Secure/Ghana/2nd%20verification/C:/Users/dinesh.naidu/AppData/Local/Microsoft/Windows/INetCache/Content.Outlook/D0AXV9IC/efficiency%20calculator.xlsm?DCD10F94" TargetMode="External"/><Relationship Id="rId1" Type="http://schemas.openxmlformats.org/officeDocument/2006/relationships/externalLinkPath" Target="file:///\\DCD10F94\efficiency%20calculator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https://extranet.tuev-nord.de/C:/C:/C:/C:/C:/Volumes/Local%20Disc%20(D)/Climate%20Secure/Ghana/2nd%20verification/C:/radhika/Projects/Bangladesh%20Poa/Validation%20with%20new%20meth/Docs%20sent%20to%20TUV%20SUD_25042011/Revised%20docs/ICS_Bangladesh%20CER%20%20Calcs_RT_21042011.xls?961E42A2" TargetMode="External"/><Relationship Id="rId1" Type="http://schemas.openxmlformats.org/officeDocument/2006/relationships/externalLinkPath" Target="file:///\\961E42A2\ICS_Bangladesh%20CER%20%20Calcs_RT_2104201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climatesecure-my.sharepoint.com/C:/C:/C:/C:/C:/Volumes/Local%20Disc%20(D)/Climate%20Secure/Ghana/2nd%20verification/C:/radhika/Projects/Bangladesh%20Poa/Validation%20with%20new%20meth/Docs%20sent%20to%20TUV%20SUD_25042011/Revised%20docs/ICS_Bangladesh%20CER%20%20Calcs_RT_21042011.xls?95A9639E" TargetMode="External"/><Relationship Id="rId1" Type="http://schemas.openxmlformats.org/officeDocument/2006/relationships/externalLinkPath" Target="file:///\\95A9639E\ICS_Bangladesh%20CER%20%20Calcs_RT_2104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tesecure-my.sharepoint.com/var/folders/y6/4lpkgs517xz7gtr1kgnk5c0h0000gn/T/com.microsoft.Outlook/Outlook%20Temp/Monitoring%20Data%20Summary%20Resul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HH Carbon Calculator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HH Carbon Calculator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HH Carbon Calculator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HH Carbon Calculator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ngchang Stov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fic value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fic valu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-bundling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-bundling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itoring data summar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troduction"/>
      <sheetName val="CPA0005 Dist Record"/>
    </sheetNames>
    <sheetDataSet>
      <sheetData sheetId="0" refreshError="1">
        <row r="3">
          <cell r="C3" t="str">
            <v>CHARCOAL</v>
          </cell>
        </row>
        <row r="4">
          <cell r="C4" t="str">
            <v>WOOD</v>
          </cell>
        </row>
      </sheetData>
      <sheetData sheetId="1"/>
      <sheetData sheetId="2">
        <row r="3">
          <cell r="C3" t="str">
            <v>CHARCOAL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hit.lohia@climate-secur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zoomScale="115" zoomScaleNormal="115" workbookViewId="0">
      <selection activeCell="B26" sqref="B26"/>
    </sheetView>
  </sheetViews>
  <sheetFormatPr defaultColWidth="8.875" defaultRowHeight="15"/>
  <cols>
    <col min="1" max="1" width="42" style="12" customWidth="1"/>
    <col min="2" max="2" width="93.5" style="12" customWidth="1"/>
    <col min="3" max="16384" width="8.875" style="12"/>
  </cols>
  <sheetData>
    <row r="1" spans="1:2">
      <c r="A1" s="459" t="s">
        <v>173</v>
      </c>
      <c r="B1" s="460" t="s">
        <v>186</v>
      </c>
    </row>
    <row r="2" spans="1:2">
      <c r="A2" s="459" t="s">
        <v>188</v>
      </c>
      <c r="B2" s="461" t="s">
        <v>187</v>
      </c>
    </row>
    <row r="3" spans="1:2">
      <c r="A3" s="459" t="s">
        <v>189</v>
      </c>
      <c r="B3" s="460" t="s">
        <v>1619</v>
      </c>
    </row>
    <row r="4" spans="1:2">
      <c r="A4" s="459" t="s">
        <v>174</v>
      </c>
      <c r="B4" s="460" t="s">
        <v>175</v>
      </c>
    </row>
    <row r="5" spans="1:2">
      <c r="A5" s="459" t="s">
        <v>17</v>
      </c>
      <c r="B5" s="461" t="s">
        <v>176</v>
      </c>
    </row>
    <row r="6" spans="1:2">
      <c r="A6" s="459" t="s">
        <v>177</v>
      </c>
      <c r="B6" s="460" t="s">
        <v>190</v>
      </c>
    </row>
    <row r="7" spans="1:2">
      <c r="A7" s="459" t="s">
        <v>178</v>
      </c>
      <c r="B7" s="462">
        <v>4</v>
      </c>
    </row>
    <row r="8" spans="1:2">
      <c r="A8" s="459" t="s">
        <v>179</v>
      </c>
      <c r="B8" s="463">
        <v>45217</v>
      </c>
    </row>
    <row r="9" spans="1:2">
      <c r="A9" s="331" t="s">
        <v>180</v>
      </c>
      <c r="B9" s="332"/>
    </row>
    <row r="10" spans="1:2">
      <c r="A10" s="459" t="s">
        <v>181</v>
      </c>
      <c r="B10" s="461" t="s">
        <v>182</v>
      </c>
    </row>
    <row r="11" spans="1:2">
      <c r="A11" s="459" t="s">
        <v>183</v>
      </c>
      <c r="B11" s="465" t="s">
        <v>1674</v>
      </c>
    </row>
    <row r="12" spans="1:2">
      <c r="A12" s="459" t="s">
        <v>184</v>
      </c>
      <c r="B12" s="464" t="s">
        <v>185</v>
      </c>
    </row>
  </sheetData>
  <mergeCells count="1">
    <mergeCell ref="A9:B9"/>
  </mergeCells>
  <hyperlinks>
    <hyperlink ref="B12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H20"/>
  <sheetViews>
    <sheetView tabSelected="1" zoomScale="85" zoomScaleNormal="85" workbookViewId="0"/>
  </sheetViews>
  <sheetFormatPr defaultColWidth="8.5" defaultRowHeight="14.25"/>
  <cols>
    <col min="1" max="1" width="30.875" style="196" bestFit="1" customWidth="1"/>
    <col min="2" max="2" width="30" style="262" customWidth="1"/>
    <col min="3" max="3" width="56.625" style="196" customWidth="1"/>
    <col min="4" max="4" width="16.375" style="196" customWidth="1"/>
    <col min="5" max="5" width="14.5" style="196" bestFit="1" customWidth="1"/>
    <col min="6" max="6" width="16.375" style="196" customWidth="1"/>
    <col min="7" max="7" width="19.5" style="196" customWidth="1"/>
    <col min="8" max="8" width="71.625" style="196" customWidth="1"/>
    <col min="9" max="256" width="8.5" style="196"/>
    <col min="257" max="257" width="36.5" style="196" customWidth="1"/>
    <col min="258" max="258" width="76" style="196" customWidth="1"/>
    <col min="259" max="259" width="17" style="196" customWidth="1"/>
    <col min="260" max="260" width="16.5" style="196" customWidth="1"/>
    <col min="261" max="261" width="43.5" style="196" customWidth="1"/>
    <col min="262" max="512" width="8.5" style="196"/>
    <col min="513" max="513" width="36.5" style="196" customWidth="1"/>
    <col min="514" max="514" width="76" style="196" customWidth="1"/>
    <col min="515" max="515" width="17" style="196" customWidth="1"/>
    <col min="516" max="516" width="16.5" style="196" customWidth="1"/>
    <col min="517" max="517" width="43.5" style="196" customWidth="1"/>
    <col min="518" max="768" width="8.5" style="196"/>
    <col min="769" max="769" width="36.5" style="196" customWidth="1"/>
    <col min="770" max="770" width="76" style="196" customWidth="1"/>
    <col min="771" max="771" width="17" style="196" customWidth="1"/>
    <col min="772" max="772" width="16.5" style="196" customWidth="1"/>
    <col min="773" max="773" width="43.5" style="196" customWidth="1"/>
    <col min="774" max="1024" width="8.5" style="196"/>
    <col min="1025" max="1025" width="36.5" style="196" customWidth="1"/>
    <col min="1026" max="1026" width="76" style="196" customWidth="1"/>
    <col min="1027" max="1027" width="17" style="196" customWidth="1"/>
    <col min="1028" max="1028" width="16.5" style="196" customWidth="1"/>
    <col min="1029" max="1029" width="43.5" style="196" customWidth="1"/>
    <col min="1030" max="1280" width="8.5" style="196"/>
    <col min="1281" max="1281" width="36.5" style="196" customWidth="1"/>
    <col min="1282" max="1282" width="76" style="196" customWidth="1"/>
    <col min="1283" max="1283" width="17" style="196" customWidth="1"/>
    <col min="1284" max="1284" width="16.5" style="196" customWidth="1"/>
    <col min="1285" max="1285" width="43.5" style="196" customWidth="1"/>
    <col min="1286" max="1536" width="8.5" style="196"/>
    <col min="1537" max="1537" width="36.5" style="196" customWidth="1"/>
    <col min="1538" max="1538" width="76" style="196" customWidth="1"/>
    <col min="1539" max="1539" width="17" style="196" customWidth="1"/>
    <col min="1540" max="1540" width="16.5" style="196" customWidth="1"/>
    <col min="1541" max="1541" width="43.5" style="196" customWidth="1"/>
    <col min="1542" max="1792" width="8.5" style="196"/>
    <col min="1793" max="1793" width="36.5" style="196" customWidth="1"/>
    <col min="1794" max="1794" width="76" style="196" customWidth="1"/>
    <col min="1795" max="1795" width="17" style="196" customWidth="1"/>
    <col min="1796" max="1796" width="16.5" style="196" customWidth="1"/>
    <col min="1797" max="1797" width="43.5" style="196" customWidth="1"/>
    <col min="1798" max="2048" width="8.5" style="196"/>
    <col min="2049" max="2049" width="36.5" style="196" customWidth="1"/>
    <col min="2050" max="2050" width="76" style="196" customWidth="1"/>
    <col min="2051" max="2051" width="17" style="196" customWidth="1"/>
    <col min="2052" max="2052" width="16.5" style="196" customWidth="1"/>
    <col min="2053" max="2053" width="43.5" style="196" customWidth="1"/>
    <col min="2054" max="2304" width="8.5" style="196"/>
    <col min="2305" max="2305" width="36.5" style="196" customWidth="1"/>
    <col min="2306" max="2306" width="76" style="196" customWidth="1"/>
    <col min="2307" max="2307" width="17" style="196" customWidth="1"/>
    <col min="2308" max="2308" width="16.5" style="196" customWidth="1"/>
    <col min="2309" max="2309" width="43.5" style="196" customWidth="1"/>
    <col min="2310" max="2560" width="8.5" style="196"/>
    <col min="2561" max="2561" width="36.5" style="196" customWidth="1"/>
    <col min="2562" max="2562" width="76" style="196" customWidth="1"/>
    <col min="2563" max="2563" width="17" style="196" customWidth="1"/>
    <col min="2564" max="2564" width="16.5" style="196" customWidth="1"/>
    <col min="2565" max="2565" width="43.5" style="196" customWidth="1"/>
    <col min="2566" max="2816" width="8.5" style="196"/>
    <col min="2817" max="2817" width="36.5" style="196" customWidth="1"/>
    <col min="2818" max="2818" width="76" style="196" customWidth="1"/>
    <col min="2819" max="2819" width="17" style="196" customWidth="1"/>
    <col min="2820" max="2820" width="16.5" style="196" customWidth="1"/>
    <col min="2821" max="2821" width="43.5" style="196" customWidth="1"/>
    <col min="2822" max="3072" width="8.5" style="196"/>
    <col min="3073" max="3073" width="36.5" style="196" customWidth="1"/>
    <col min="3074" max="3074" width="76" style="196" customWidth="1"/>
    <col min="3075" max="3075" width="17" style="196" customWidth="1"/>
    <col min="3076" max="3076" width="16.5" style="196" customWidth="1"/>
    <col min="3077" max="3077" width="43.5" style="196" customWidth="1"/>
    <col min="3078" max="3328" width="8.5" style="196"/>
    <col min="3329" max="3329" width="36.5" style="196" customWidth="1"/>
    <col min="3330" max="3330" width="76" style="196" customWidth="1"/>
    <col min="3331" max="3331" width="17" style="196" customWidth="1"/>
    <col min="3332" max="3332" width="16.5" style="196" customWidth="1"/>
    <col min="3333" max="3333" width="43.5" style="196" customWidth="1"/>
    <col min="3334" max="3584" width="8.5" style="196"/>
    <col min="3585" max="3585" width="36.5" style="196" customWidth="1"/>
    <col min="3586" max="3586" width="76" style="196" customWidth="1"/>
    <col min="3587" max="3587" width="17" style="196" customWidth="1"/>
    <col min="3588" max="3588" width="16.5" style="196" customWidth="1"/>
    <col min="3589" max="3589" width="43.5" style="196" customWidth="1"/>
    <col min="3590" max="3840" width="8.5" style="196"/>
    <col min="3841" max="3841" width="36.5" style="196" customWidth="1"/>
    <col min="3842" max="3842" width="76" style="196" customWidth="1"/>
    <col min="3843" max="3843" width="17" style="196" customWidth="1"/>
    <col min="3844" max="3844" width="16.5" style="196" customWidth="1"/>
    <col min="3845" max="3845" width="43.5" style="196" customWidth="1"/>
    <col min="3846" max="4096" width="8.5" style="196"/>
    <col min="4097" max="4097" width="36.5" style="196" customWidth="1"/>
    <col min="4098" max="4098" width="76" style="196" customWidth="1"/>
    <col min="4099" max="4099" width="17" style="196" customWidth="1"/>
    <col min="4100" max="4100" width="16.5" style="196" customWidth="1"/>
    <col min="4101" max="4101" width="43.5" style="196" customWidth="1"/>
    <col min="4102" max="4352" width="8.5" style="196"/>
    <col min="4353" max="4353" width="36.5" style="196" customWidth="1"/>
    <col min="4354" max="4354" width="76" style="196" customWidth="1"/>
    <col min="4355" max="4355" width="17" style="196" customWidth="1"/>
    <col min="4356" max="4356" width="16.5" style="196" customWidth="1"/>
    <col min="4357" max="4357" width="43.5" style="196" customWidth="1"/>
    <col min="4358" max="4608" width="8.5" style="196"/>
    <col min="4609" max="4609" width="36.5" style="196" customWidth="1"/>
    <col min="4610" max="4610" width="76" style="196" customWidth="1"/>
    <col min="4611" max="4611" width="17" style="196" customWidth="1"/>
    <col min="4612" max="4612" width="16.5" style="196" customWidth="1"/>
    <col min="4613" max="4613" width="43.5" style="196" customWidth="1"/>
    <col min="4614" max="4864" width="8.5" style="196"/>
    <col min="4865" max="4865" width="36.5" style="196" customWidth="1"/>
    <col min="4866" max="4866" width="76" style="196" customWidth="1"/>
    <col min="4867" max="4867" width="17" style="196" customWidth="1"/>
    <col min="4868" max="4868" width="16.5" style="196" customWidth="1"/>
    <col min="4869" max="4869" width="43.5" style="196" customWidth="1"/>
    <col min="4870" max="5120" width="8.5" style="196"/>
    <col min="5121" max="5121" width="36.5" style="196" customWidth="1"/>
    <col min="5122" max="5122" width="76" style="196" customWidth="1"/>
    <col min="5123" max="5123" width="17" style="196" customWidth="1"/>
    <col min="5124" max="5124" width="16.5" style="196" customWidth="1"/>
    <col min="5125" max="5125" width="43.5" style="196" customWidth="1"/>
    <col min="5126" max="5376" width="8.5" style="196"/>
    <col min="5377" max="5377" width="36.5" style="196" customWidth="1"/>
    <col min="5378" max="5378" width="76" style="196" customWidth="1"/>
    <col min="5379" max="5379" width="17" style="196" customWidth="1"/>
    <col min="5380" max="5380" width="16.5" style="196" customWidth="1"/>
    <col min="5381" max="5381" width="43.5" style="196" customWidth="1"/>
    <col min="5382" max="5632" width="8.5" style="196"/>
    <col min="5633" max="5633" width="36.5" style="196" customWidth="1"/>
    <col min="5634" max="5634" width="76" style="196" customWidth="1"/>
    <col min="5635" max="5635" width="17" style="196" customWidth="1"/>
    <col min="5636" max="5636" width="16.5" style="196" customWidth="1"/>
    <col min="5637" max="5637" width="43.5" style="196" customWidth="1"/>
    <col min="5638" max="5888" width="8.5" style="196"/>
    <col min="5889" max="5889" width="36.5" style="196" customWidth="1"/>
    <col min="5890" max="5890" width="76" style="196" customWidth="1"/>
    <col min="5891" max="5891" width="17" style="196" customWidth="1"/>
    <col min="5892" max="5892" width="16.5" style="196" customWidth="1"/>
    <col min="5893" max="5893" width="43.5" style="196" customWidth="1"/>
    <col min="5894" max="6144" width="8.5" style="196"/>
    <col min="6145" max="6145" width="36.5" style="196" customWidth="1"/>
    <col min="6146" max="6146" width="76" style="196" customWidth="1"/>
    <col min="6147" max="6147" width="17" style="196" customWidth="1"/>
    <col min="6148" max="6148" width="16.5" style="196" customWidth="1"/>
    <col min="6149" max="6149" width="43.5" style="196" customWidth="1"/>
    <col min="6150" max="6400" width="8.5" style="196"/>
    <col min="6401" max="6401" width="36.5" style="196" customWidth="1"/>
    <col min="6402" max="6402" width="76" style="196" customWidth="1"/>
    <col min="6403" max="6403" width="17" style="196" customWidth="1"/>
    <col min="6404" max="6404" width="16.5" style="196" customWidth="1"/>
    <col min="6405" max="6405" width="43.5" style="196" customWidth="1"/>
    <col min="6406" max="6656" width="8.5" style="196"/>
    <col min="6657" max="6657" width="36.5" style="196" customWidth="1"/>
    <col min="6658" max="6658" width="76" style="196" customWidth="1"/>
    <col min="6659" max="6659" width="17" style="196" customWidth="1"/>
    <col min="6660" max="6660" width="16.5" style="196" customWidth="1"/>
    <col min="6661" max="6661" width="43.5" style="196" customWidth="1"/>
    <col min="6662" max="6912" width="8.5" style="196"/>
    <col min="6913" max="6913" width="36.5" style="196" customWidth="1"/>
    <col min="6914" max="6914" width="76" style="196" customWidth="1"/>
    <col min="6915" max="6915" width="17" style="196" customWidth="1"/>
    <col min="6916" max="6916" width="16.5" style="196" customWidth="1"/>
    <col min="6917" max="6917" width="43.5" style="196" customWidth="1"/>
    <col min="6918" max="7168" width="8.5" style="196"/>
    <col min="7169" max="7169" width="36.5" style="196" customWidth="1"/>
    <col min="7170" max="7170" width="76" style="196" customWidth="1"/>
    <col min="7171" max="7171" width="17" style="196" customWidth="1"/>
    <col min="7172" max="7172" width="16.5" style="196" customWidth="1"/>
    <col min="7173" max="7173" width="43.5" style="196" customWidth="1"/>
    <col min="7174" max="7424" width="8.5" style="196"/>
    <col min="7425" max="7425" width="36.5" style="196" customWidth="1"/>
    <col min="7426" max="7426" width="76" style="196" customWidth="1"/>
    <col min="7427" max="7427" width="17" style="196" customWidth="1"/>
    <col min="7428" max="7428" width="16.5" style="196" customWidth="1"/>
    <col min="7429" max="7429" width="43.5" style="196" customWidth="1"/>
    <col min="7430" max="7680" width="8.5" style="196"/>
    <col min="7681" max="7681" width="36.5" style="196" customWidth="1"/>
    <col min="7682" max="7682" width="76" style="196" customWidth="1"/>
    <col min="7683" max="7683" width="17" style="196" customWidth="1"/>
    <col min="7684" max="7684" width="16.5" style="196" customWidth="1"/>
    <col min="7685" max="7685" width="43.5" style="196" customWidth="1"/>
    <col min="7686" max="7936" width="8.5" style="196"/>
    <col min="7937" max="7937" width="36.5" style="196" customWidth="1"/>
    <col min="7938" max="7938" width="76" style="196" customWidth="1"/>
    <col min="7939" max="7939" width="17" style="196" customWidth="1"/>
    <col min="7940" max="7940" width="16.5" style="196" customWidth="1"/>
    <col min="7941" max="7941" width="43.5" style="196" customWidth="1"/>
    <col min="7942" max="8192" width="8.5" style="196"/>
    <col min="8193" max="8193" width="36.5" style="196" customWidth="1"/>
    <col min="8194" max="8194" width="76" style="196" customWidth="1"/>
    <col min="8195" max="8195" width="17" style="196" customWidth="1"/>
    <col min="8196" max="8196" width="16.5" style="196" customWidth="1"/>
    <col min="8197" max="8197" width="43.5" style="196" customWidth="1"/>
    <col min="8198" max="8448" width="8.5" style="196"/>
    <col min="8449" max="8449" width="36.5" style="196" customWidth="1"/>
    <col min="8450" max="8450" width="76" style="196" customWidth="1"/>
    <col min="8451" max="8451" width="17" style="196" customWidth="1"/>
    <col min="8452" max="8452" width="16.5" style="196" customWidth="1"/>
    <col min="8453" max="8453" width="43.5" style="196" customWidth="1"/>
    <col min="8454" max="8704" width="8.5" style="196"/>
    <col min="8705" max="8705" width="36.5" style="196" customWidth="1"/>
    <col min="8706" max="8706" width="76" style="196" customWidth="1"/>
    <col min="8707" max="8707" width="17" style="196" customWidth="1"/>
    <col min="8708" max="8708" width="16.5" style="196" customWidth="1"/>
    <col min="8709" max="8709" width="43.5" style="196" customWidth="1"/>
    <col min="8710" max="8960" width="8.5" style="196"/>
    <col min="8961" max="8961" width="36.5" style="196" customWidth="1"/>
    <col min="8962" max="8962" width="76" style="196" customWidth="1"/>
    <col min="8963" max="8963" width="17" style="196" customWidth="1"/>
    <col min="8964" max="8964" width="16.5" style="196" customWidth="1"/>
    <col min="8965" max="8965" width="43.5" style="196" customWidth="1"/>
    <col min="8966" max="9216" width="8.5" style="196"/>
    <col min="9217" max="9217" width="36.5" style="196" customWidth="1"/>
    <col min="9218" max="9218" width="76" style="196" customWidth="1"/>
    <col min="9219" max="9219" width="17" style="196" customWidth="1"/>
    <col min="9220" max="9220" width="16.5" style="196" customWidth="1"/>
    <col min="9221" max="9221" width="43.5" style="196" customWidth="1"/>
    <col min="9222" max="9472" width="8.5" style="196"/>
    <col min="9473" max="9473" width="36.5" style="196" customWidth="1"/>
    <col min="9474" max="9474" width="76" style="196" customWidth="1"/>
    <col min="9475" max="9475" width="17" style="196" customWidth="1"/>
    <col min="9476" max="9476" width="16.5" style="196" customWidth="1"/>
    <col min="9477" max="9477" width="43.5" style="196" customWidth="1"/>
    <col min="9478" max="9728" width="8.5" style="196"/>
    <col min="9729" max="9729" width="36.5" style="196" customWidth="1"/>
    <col min="9730" max="9730" width="76" style="196" customWidth="1"/>
    <col min="9731" max="9731" width="17" style="196" customWidth="1"/>
    <col min="9732" max="9732" width="16.5" style="196" customWidth="1"/>
    <col min="9733" max="9733" width="43.5" style="196" customWidth="1"/>
    <col min="9734" max="9984" width="8.5" style="196"/>
    <col min="9985" max="9985" width="36.5" style="196" customWidth="1"/>
    <col min="9986" max="9986" width="76" style="196" customWidth="1"/>
    <col min="9987" max="9987" width="17" style="196" customWidth="1"/>
    <col min="9988" max="9988" width="16.5" style="196" customWidth="1"/>
    <col min="9989" max="9989" width="43.5" style="196" customWidth="1"/>
    <col min="9990" max="10240" width="8.5" style="196"/>
    <col min="10241" max="10241" width="36.5" style="196" customWidth="1"/>
    <col min="10242" max="10242" width="76" style="196" customWidth="1"/>
    <col min="10243" max="10243" width="17" style="196" customWidth="1"/>
    <col min="10244" max="10244" width="16.5" style="196" customWidth="1"/>
    <col min="10245" max="10245" width="43.5" style="196" customWidth="1"/>
    <col min="10246" max="10496" width="8.5" style="196"/>
    <col min="10497" max="10497" width="36.5" style="196" customWidth="1"/>
    <col min="10498" max="10498" width="76" style="196" customWidth="1"/>
    <col min="10499" max="10499" width="17" style="196" customWidth="1"/>
    <col min="10500" max="10500" width="16.5" style="196" customWidth="1"/>
    <col min="10501" max="10501" width="43.5" style="196" customWidth="1"/>
    <col min="10502" max="10752" width="8.5" style="196"/>
    <col min="10753" max="10753" width="36.5" style="196" customWidth="1"/>
    <col min="10754" max="10754" width="76" style="196" customWidth="1"/>
    <col min="10755" max="10755" width="17" style="196" customWidth="1"/>
    <col min="10756" max="10756" width="16.5" style="196" customWidth="1"/>
    <col min="10757" max="10757" width="43.5" style="196" customWidth="1"/>
    <col min="10758" max="11008" width="8.5" style="196"/>
    <col min="11009" max="11009" width="36.5" style="196" customWidth="1"/>
    <col min="11010" max="11010" width="76" style="196" customWidth="1"/>
    <col min="11011" max="11011" width="17" style="196" customWidth="1"/>
    <col min="11012" max="11012" width="16.5" style="196" customWidth="1"/>
    <col min="11013" max="11013" width="43.5" style="196" customWidth="1"/>
    <col min="11014" max="11264" width="8.5" style="196"/>
    <col min="11265" max="11265" width="36.5" style="196" customWidth="1"/>
    <col min="11266" max="11266" width="76" style="196" customWidth="1"/>
    <col min="11267" max="11267" width="17" style="196" customWidth="1"/>
    <col min="11268" max="11268" width="16.5" style="196" customWidth="1"/>
    <col min="11269" max="11269" width="43.5" style="196" customWidth="1"/>
    <col min="11270" max="11520" width="8.5" style="196"/>
    <col min="11521" max="11521" width="36.5" style="196" customWidth="1"/>
    <col min="11522" max="11522" width="76" style="196" customWidth="1"/>
    <col min="11523" max="11523" width="17" style="196" customWidth="1"/>
    <col min="11524" max="11524" width="16.5" style="196" customWidth="1"/>
    <col min="11525" max="11525" width="43.5" style="196" customWidth="1"/>
    <col min="11526" max="11776" width="8.5" style="196"/>
    <col min="11777" max="11777" width="36.5" style="196" customWidth="1"/>
    <col min="11778" max="11778" width="76" style="196" customWidth="1"/>
    <col min="11779" max="11779" width="17" style="196" customWidth="1"/>
    <col min="11780" max="11780" width="16.5" style="196" customWidth="1"/>
    <col min="11781" max="11781" width="43.5" style="196" customWidth="1"/>
    <col min="11782" max="12032" width="8.5" style="196"/>
    <col min="12033" max="12033" width="36.5" style="196" customWidth="1"/>
    <col min="12034" max="12034" width="76" style="196" customWidth="1"/>
    <col min="12035" max="12035" width="17" style="196" customWidth="1"/>
    <col min="12036" max="12036" width="16.5" style="196" customWidth="1"/>
    <col min="12037" max="12037" width="43.5" style="196" customWidth="1"/>
    <col min="12038" max="12288" width="8.5" style="196"/>
    <col min="12289" max="12289" width="36.5" style="196" customWidth="1"/>
    <col min="12290" max="12290" width="76" style="196" customWidth="1"/>
    <col min="12291" max="12291" width="17" style="196" customWidth="1"/>
    <col min="12292" max="12292" width="16.5" style="196" customWidth="1"/>
    <col min="12293" max="12293" width="43.5" style="196" customWidth="1"/>
    <col min="12294" max="12544" width="8.5" style="196"/>
    <col min="12545" max="12545" width="36.5" style="196" customWidth="1"/>
    <col min="12546" max="12546" width="76" style="196" customWidth="1"/>
    <col min="12547" max="12547" width="17" style="196" customWidth="1"/>
    <col min="12548" max="12548" width="16.5" style="196" customWidth="1"/>
    <col min="12549" max="12549" width="43.5" style="196" customWidth="1"/>
    <col min="12550" max="12800" width="8.5" style="196"/>
    <col min="12801" max="12801" width="36.5" style="196" customWidth="1"/>
    <col min="12802" max="12802" width="76" style="196" customWidth="1"/>
    <col min="12803" max="12803" width="17" style="196" customWidth="1"/>
    <col min="12804" max="12804" width="16.5" style="196" customWidth="1"/>
    <col min="12805" max="12805" width="43.5" style="196" customWidth="1"/>
    <col min="12806" max="13056" width="8.5" style="196"/>
    <col min="13057" max="13057" width="36.5" style="196" customWidth="1"/>
    <col min="13058" max="13058" width="76" style="196" customWidth="1"/>
    <col min="13059" max="13059" width="17" style="196" customWidth="1"/>
    <col min="13060" max="13060" width="16.5" style="196" customWidth="1"/>
    <col min="13061" max="13061" width="43.5" style="196" customWidth="1"/>
    <col min="13062" max="13312" width="8.5" style="196"/>
    <col min="13313" max="13313" width="36.5" style="196" customWidth="1"/>
    <col min="13314" max="13314" width="76" style="196" customWidth="1"/>
    <col min="13315" max="13315" width="17" style="196" customWidth="1"/>
    <col min="13316" max="13316" width="16.5" style="196" customWidth="1"/>
    <col min="13317" max="13317" width="43.5" style="196" customWidth="1"/>
    <col min="13318" max="13568" width="8.5" style="196"/>
    <col min="13569" max="13569" width="36.5" style="196" customWidth="1"/>
    <col min="13570" max="13570" width="76" style="196" customWidth="1"/>
    <col min="13571" max="13571" width="17" style="196" customWidth="1"/>
    <col min="13572" max="13572" width="16.5" style="196" customWidth="1"/>
    <col min="13573" max="13573" width="43.5" style="196" customWidth="1"/>
    <col min="13574" max="13824" width="8.5" style="196"/>
    <col min="13825" max="13825" width="36.5" style="196" customWidth="1"/>
    <col min="13826" max="13826" width="76" style="196" customWidth="1"/>
    <col min="13827" max="13827" width="17" style="196" customWidth="1"/>
    <col min="13828" max="13828" width="16.5" style="196" customWidth="1"/>
    <col min="13829" max="13829" width="43.5" style="196" customWidth="1"/>
    <col min="13830" max="14080" width="8.5" style="196"/>
    <col min="14081" max="14081" width="36.5" style="196" customWidth="1"/>
    <col min="14082" max="14082" width="76" style="196" customWidth="1"/>
    <col min="14083" max="14083" width="17" style="196" customWidth="1"/>
    <col min="14084" max="14084" width="16.5" style="196" customWidth="1"/>
    <col min="14085" max="14085" width="43.5" style="196" customWidth="1"/>
    <col min="14086" max="14336" width="8.5" style="196"/>
    <col min="14337" max="14337" width="36.5" style="196" customWidth="1"/>
    <col min="14338" max="14338" width="76" style="196" customWidth="1"/>
    <col min="14339" max="14339" width="17" style="196" customWidth="1"/>
    <col min="14340" max="14340" width="16.5" style="196" customWidth="1"/>
    <col min="14341" max="14341" width="43.5" style="196" customWidth="1"/>
    <col min="14342" max="14592" width="8.5" style="196"/>
    <col min="14593" max="14593" width="36.5" style="196" customWidth="1"/>
    <col min="14594" max="14594" width="76" style="196" customWidth="1"/>
    <col min="14595" max="14595" width="17" style="196" customWidth="1"/>
    <col min="14596" max="14596" width="16.5" style="196" customWidth="1"/>
    <col min="14597" max="14597" width="43.5" style="196" customWidth="1"/>
    <col min="14598" max="14848" width="8.5" style="196"/>
    <col min="14849" max="14849" width="36.5" style="196" customWidth="1"/>
    <col min="14850" max="14850" width="76" style="196" customWidth="1"/>
    <col min="14851" max="14851" width="17" style="196" customWidth="1"/>
    <col min="14852" max="14852" width="16.5" style="196" customWidth="1"/>
    <col min="14853" max="14853" width="43.5" style="196" customWidth="1"/>
    <col min="14854" max="15104" width="8.5" style="196"/>
    <col min="15105" max="15105" width="36.5" style="196" customWidth="1"/>
    <col min="15106" max="15106" width="76" style="196" customWidth="1"/>
    <col min="15107" max="15107" width="17" style="196" customWidth="1"/>
    <col min="15108" max="15108" width="16.5" style="196" customWidth="1"/>
    <col min="15109" max="15109" width="43.5" style="196" customWidth="1"/>
    <col min="15110" max="15360" width="8.5" style="196"/>
    <col min="15361" max="15361" width="36.5" style="196" customWidth="1"/>
    <col min="15362" max="15362" width="76" style="196" customWidth="1"/>
    <col min="15363" max="15363" width="17" style="196" customWidth="1"/>
    <col min="15364" max="15364" width="16.5" style="196" customWidth="1"/>
    <col min="15365" max="15365" width="43.5" style="196" customWidth="1"/>
    <col min="15366" max="15616" width="8.5" style="196"/>
    <col min="15617" max="15617" width="36.5" style="196" customWidth="1"/>
    <col min="15618" max="15618" width="76" style="196" customWidth="1"/>
    <col min="15619" max="15619" width="17" style="196" customWidth="1"/>
    <col min="15620" max="15620" width="16.5" style="196" customWidth="1"/>
    <col min="15621" max="15621" width="43.5" style="196" customWidth="1"/>
    <col min="15622" max="15872" width="8.5" style="196"/>
    <col min="15873" max="15873" width="36.5" style="196" customWidth="1"/>
    <col min="15874" max="15874" width="76" style="196" customWidth="1"/>
    <col min="15875" max="15875" width="17" style="196" customWidth="1"/>
    <col min="15876" max="15876" width="16.5" style="196" customWidth="1"/>
    <col min="15877" max="15877" width="43.5" style="196" customWidth="1"/>
    <col min="15878" max="16128" width="8.5" style="196"/>
    <col min="16129" max="16129" width="36.5" style="196" customWidth="1"/>
    <col min="16130" max="16130" width="76" style="196" customWidth="1"/>
    <col min="16131" max="16131" width="17" style="196" customWidth="1"/>
    <col min="16132" max="16132" width="16.5" style="196" customWidth="1"/>
    <col min="16133" max="16133" width="43.5" style="196" customWidth="1"/>
    <col min="16134" max="16384" width="8.5" style="196"/>
  </cols>
  <sheetData>
    <row r="1" spans="1:8" ht="31.5" customHeight="1">
      <c r="A1" s="273" t="s">
        <v>20</v>
      </c>
      <c r="B1" s="334" t="s">
        <v>17</v>
      </c>
      <c r="C1" s="334"/>
      <c r="D1" s="334"/>
      <c r="E1" s="334"/>
      <c r="F1" s="274" t="s">
        <v>18</v>
      </c>
      <c r="G1" s="274" t="s">
        <v>21</v>
      </c>
      <c r="H1" s="275" t="s">
        <v>22</v>
      </c>
    </row>
    <row r="2" spans="1:8" ht="24.75" customHeight="1">
      <c r="A2" s="197" t="s">
        <v>165</v>
      </c>
      <c r="B2" s="333" t="s">
        <v>23</v>
      </c>
      <c r="C2" s="333"/>
      <c r="D2" s="333"/>
      <c r="E2" s="333"/>
      <c r="F2" s="199">
        <v>1.06484</v>
      </c>
      <c r="G2" s="199" t="s">
        <v>24</v>
      </c>
      <c r="H2" s="200" t="s">
        <v>25</v>
      </c>
    </row>
    <row r="3" spans="1:8" ht="24.75" customHeight="1">
      <c r="A3" s="197" t="s">
        <v>166</v>
      </c>
      <c r="B3" s="333" t="s">
        <v>1642</v>
      </c>
      <c r="C3" s="333"/>
      <c r="D3" s="333"/>
      <c r="E3" s="333"/>
      <c r="F3" s="199">
        <v>0.1</v>
      </c>
      <c r="G3" s="199" t="s">
        <v>19</v>
      </c>
      <c r="H3" s="200" t="s">
        <v>25</v>
      </c>
    </row>
    <row r="4" spans="1:8" ht="24.75" customHeight="1">
      <c r="A4" s="197" t="s">
        <v>167</v>
      </c>
      <c r="B4" s="333" t="s">
        <v>1641</v>
      </c>
      <c r="C4" s="333"/>
      <c r="D4" s="333"/>
      <c r="E4" s="333"/>
      <c r="F4" s="198">
        <v>0.99</v>
      </c>
      <c r="G4" s="199" t="s">
        <v>19</v>
      </c>
      <c r="H4" s="200" t="s">
        <v>25</v>
      </c>
    </row>
    <row r="5" spans="1:8" ht="24.75" customHeight="1">
      <c r="A5" s="197" t="s">
        <v>27</v>
      </c>
      <c r="B5" s="333" t="s">
        <v>28</v>
      </c>
      <c r="C5" s="333"/>
      <c r="D5" s="333"/>
      <c r="E5" s="333"/>
      <c r="F5" s="198">
        <v>0.94</v>
      </c>
      <c r="G5" s="199" t="s">
        <v>19</v>
      </c>
      <c r="H5" s="200" t="s">
        <v>25</v>
      </c>
    </row>
    <row r="6" spans="1:8" ht="24.75" customHeight="1">
      <c r="A6" s="197" t="s">
        <v>168</v>
      </c>
      <c r="B6" s="333" t="s">
        <v>1640</v>
      </c>
      <c r="C6" s="333"/>
      <c r="D6" s="333"/>
      <c r="E6" s="333"/>
      <c r="F6" s="201">
        <f>0.83</f>
        <v>0.83</v>
      </c>
      <c r="G6" s="199" t="s">
        <v>19</v>
      </c>
      <c r="H6" s="200" t="s">
        <v>25</v>
      </c>
    </row>
    <row r="7" spans="1:8" ht="24.75" customHeight="1">
      <c r="A7" s="197" t="s">
        <v>169</v>
      </c>
      <c r="B7" s="333" t="s">
        <v>1632</v>
      </c>
      <c r="C7" s="333"/>
      <c r="D7" s="333"/>
      <c r="E7" s="333"/>
      <c r="F7" s="199">
        <v>1.7470000000000001</v>
      </c>
      <c r="G7" s="198" t="s">
        <v>170</v>
      </c>
      <c r="H7" s="200" t="s">
        <v>25</v>
      </c>
    </row>
    <row r="8" spans="1:8" ht="24.75" customHeight="1">
      <c r="A8" s="197" t="s">
        <v>171</v>
      </c>
      <c r="B8" s="333" t="s">
        <v>1633</v>
      </c>
      <c r="C8" s="333"/>
      <c r="D8" s="333"/>
      <c r="E8" s="333"/>
      <c r="F8" s="263">
        <f>E20</f>
        <v>0.52965899999999999</v>
      </c>
      <c r="G8" s="198" t="s">
        <v>170</v>
      </c>
      <c r="H8" s="200" t="s">
        <v>1635</v>
      </c>
    </row>
    <row r="9" spans="1:8" ht="24.75" customHeight="1">
      <c r="A9" s="197" t="s">
        <v>171</v>
      </c>
      <c r="B9" s="333" t="s">
        <v>1634</v>
      </c>
      <c r="C9" s="333"/>
      <c r="D9" s="333"/>
      <c r="E9" s="333"/>
      <c r="F9" s="263">
        <f>F20</f>
        <v>0.58115070000000002</v>
      </c>
      <c r="G9" s="198" t="s">
        <v>170</v>
      </c>
      <c r="H9" s="200" t="s">
        <v>1636</v>
      </c>
    </row>
    <row r="10" spans="1:8" ht="24.75" customHeight="1">
      <c r="A10" s="197" t="s">
        <v>172</v>
      </c>
      <c r="B10" s="333" t="s">
        <v>1540</v>
      </c>
      <c r="C10" s="333"/>
      <c r="D10" s="333"/>
      <c r="E10" s="333"/>
      <c r="F10" s="199">
        <v>0.2326</v>
      </c>
      <c r="G10" s="199" t="s">
        <v>19</v>
      </c>
      <c r="H10" s="200" t="s">
        <v>25</v>
      </c>
    </row>
    <row r="11" spans="1:8" ht="24.75" customHeight="1" thickBot="1">
      <c r="A11" s="202" t="s">
        <v>29</v>
      </c>
      <c r="B11" s="336" t="s">
        <v>30</v>
      </c>
      <c r="C11" s="336"/>
      <c r="D11" s="336"/>
      <c r="E11" s="336"/>
      <c r="F11" s="203">
        <v>0.95</v>
      </c>
      <c r="G11" s="204" t="s">
        <v>19</v>
      </c>
      <c r="H11" s="205" t="s">
        <v>25</v>
      </c>
    </row>
    <row r="12" spans="1:8" ht="21" customHeight="1" thickBot="1">
      <c r="A12" s="341"/>
      <c r="B12" s="341"/>
      <c r="C12" s="341"/>
      <c r="D12" s="341"/>
      <c r="E12" s="341"/>
      <c r="F12" s="341"/>
      <c r="G12" s="341"/>
      <c r="H12" s="341"/>
    </row>
    <row r="13" spans="1:8" ht="30.75" customHeight="1">
      <c r="A13" s="338" t="s">
        <v>1660</v>
      </c>
      <c r="B13" s="339"/>
      <c r="C13" s="339"/>
      <c r="D13" s="339"/>
      <c r="E13" s="339"/>
      <c r="F13" s="339"/>
      <c r="G13" s="339"/>
      <c r="H13" s="340"/>
    </row>
    <row r="14" spans="1:8" s="261" customFormat="1" ht="37.5">
      <c r="A14" s="319" t="s">
        <v>1620</v>
      </c>
      <c r="B14" s="337" t="s">
        <v>17</v>
      </c>
      <c r="C14" s="337"/>
      <c r="D14" s="268" t="s">
        <v>1673</v>
      </c>
      <c r="E14" s="268" t="s">
        <v>1621</v>
      </c>
      <c r="F14" s="268" t="s">
        <v>1622</v>
      </c>
      <c r="G14" s="268" t="s">
        <v>88</v>
      </c>
      <c r="H14" s="320" t="s">
        <v>22</v>
      </c>
    </row>
    <row r="15" spans="1:8" s="261" customFormat="1" ht="37.5" customHeight="1">
      <c r="A15" s="321" t="s">
        <v>1643</v>
      </c>
      <c r="B15" s="333" t="s">
        <v>1623</v>
      </c>
      <c r="C15" s="333"/>
      <c r="D15" s="314">
        <v>1.5599999999999999E-2</v>
      </c>
      <c r="E15" s="269">
        <v>1.5599999999999999E-2</v>
      </c>
      <c r="F15" s="270">
        <f>0.0156</f>
        <v>1.5599999999999999E-2</v>
      </c>
      <c r="G15" s="269" t="s">
        <v>1624</v>
      </c>
      <c r="H15" s="322" t="s">
        <v>1625</v>
      </c>
    </row>
    <row r="16" spans="1:8" s="261" customFormat="1" ht="42" customHeight="1">
      <c r="A16" s="323" t="s">
        <v>1644</v>
      </c>
      <c r="B16" s="333" t="s">
        <v>1626</v>
      </c>
      <c r="C16" s="333"/>
      <c r="D16" s="316">
        <v>21</v>
      </c>
      <c r="E16" s="317">
        <v>25</v>
      </c>
      <c r="F16" s="318">
        <v>28</v>
      </c>
      <c r="G16" s="269" t="s">
        <v>1645</v>
      </c>
      <c r="H16" s="342" t="s">
        <v>1649</v>
      </c>
    </row>
    <row r="17" spans="1:8" s="261" customFormat="1" ht="42" customHeight="1">
      <c r="A17" s="323" t="s">
        <v>1646</v>
      </c>
      <c r="B17" s="333" t="s">
        <v>1627</v>
      </c>
      <c r="C17" s="333"/>
      <c r="D17" s="316">
        <v>310</v>
      </c>
      <c r="E17" s="317">
        <v>298</v>
      </c>
      <c r="F17" s="318">
        <v>265</v>
      </c>
      <c r="G17" s="269" t="s">
        <v>1645</v>
      </c>
      <c r="H17" s="343"/>
    </row>
    <row r="18" spans="1:8" s="261" customFormat="1" ht="29.25" customHeight="1">
      <c r="A18" s="321" t="s">
        <v>1629</v>
      </c>
      <c r="B18" s="344" t="s">
        <v>1628</v>
      </c>
      <c r="C18" s="345"/>
      <c r="D18" s="315">
        <f>(258+2190)/2/1000*$D$16</f>
        <v>25.704000000000001</v>
      </c>
      <c r="E18" s="271">
        <f>(258+2190)/2/1000*$E$16</f>
        <v>30.599999999999998</v>
      </c>
      <c r="F18" s="271">
        <f>(258+2190)/2/1000*$F$16</f>
        <v>34.271999999999998</v>
      </c>
      <c r="G18" s="269" t="s">
        <v>1647</v>
      </c>
      <c r="H18" s="342" t="s">
        <v>1630</v>
      </c>
    </row>
    <row r="19" spans="1:8" s="261" customFormat="1" ht="29.25" customHeight="1">
      <c r="A19" s="321" t="s">
        <v>1629</v>
      </c>
      <c r="B19" s="344" t="s">
        <v>1631</v>
      </c>
      <c r="C19" s="345"/>
      <c r="D19" s="315">
        <f>$D$17*(4+18.5)/2/1000</f>
        <v>3.4874999999999998</v>
      </c>
      <c r="E19" s="271">
        <f>$E$17*(4+18.5)/2/1000</f>
        <v>3.3525</v>
      </c>
      <c r="F19" s="272">
        <f>$F$17*(4+18.5)/2/1000</f>
        <v>2.9812500000000002</v>
      </c>
      <c r="G19" s="269" t="s">
        <v>1647</v>
      </c>
      <c r="H19" s="343"/>
    </row>
    <row r="20" spans="1:8" s="261" customFormat="1" ht="32.25" customHeight="1" thickBot="1">
      <c r="A20" s="324" t="s">
        <v>1665</v>
      </c>
      <c r="B20" s="335" t="s">
        <v>1666</v>
      </c>
      <c r="C20" s="335"/>
      <c r="D20" s="325">
        <f>(D18+D19)*D15</f>
        <v>0.4553874</v>
      </c>
      <c r="E20" s="326">
        <f>(E18+E19)*E15</f>
        <v>0.52965899999999999</v>
      </c>
      <c r="F20" s="326">
        <f>(F18+F19)*F15</f>
        <v>0.58115070000000002</v>
      </c>
      <c r="G20" s="327" t="s">
        <v>1667</v>
      </c>
      <c r="H20" s="328" t="s">
        <v>1648</v>
      </c>
    </row>
  </sheetData>
  <mergeCells count="22">
    <mergeCell ref="B20:C20"/>
    <mergeCell ref="B7:E7"/>
    <mergeCell ref="B8:E8"/>
    <mergeCell ref="B9:E9"/>
    <mergeCell ref="B10:E10"/>
    <mergeCell ref="B11:E11"/>
    <mergeCell ref="B14:C14"/>
    <mergeCell ref="A13:H13"/>
    <mergeCell ref="A12:H12"/>
    <mergeCell ref="H16:H17"/>
    <mergeCell ref="H18:H19"/>
    <mergeCell ref="B15:C15"/>
    <mergeCell ref="B16:C16"/>
    <mergeCell ref="B17:C17"/>
    <mergeCell ref="B18:C18"/>
    <mergeCell ref="B19:C19"/>
    <mergeCell ref="B6:E6"/>
    <mergeCell ref="B1:E1"/>
    <mergeCell ref="B2:E2"/>
    <mergeCell ref="B3:E3"/>
    <mergeCell ref="B4:E4"/>
    <mergeCell ref="B5:E5"/>
  </mergeCells>
  <phoneticPr fontId="34" type="noConversion"/>
  <pageMargins left="0.7" right="0.7" top="0.75" bottom="0.75" header="0.3" footer="0.3"/>
  <pageSetup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04"/>
  <sheetViews>
    <sheetView zoomScaleNormal="100" workbookViewId="0"/>
  </sheetViews>
  <sheetFormatPr defaultColWidth="11.5" defaultRowHeight="15.75"/>
  <cols>
    <col min="1" max="4" width="11.5" style="1"/>
    <col min="5" max="5" width="10" style="1" customWidth="1"/>
    <col min="6" max="6" width="10.5" style="1" customWidth="1"/>
    <col min="7" max="7" width="11" style="1" customWidth="1"/>
    <col min="8" max="8" width="11.375" style="1" customWidth="1"/>
    <col min="9" max="9" width="11.5" style="1"/>
    <col min="10" max="10" width="14.625" style="113" customWidth="1"/>
    <col min="11" max="11" width="15.125" style="1" customWidth="1"/>
    <col min="12" max="17" width="11.5" style="1"/>
    <col min="18" max="25" width="11.5" style="1" customWidth="1"/>
    <col min="26" max="26" width="11.5" style="1"/>
    <col min="27" max="27" width="16.875" style="1" customWidth="1"/>
    <col min="28" max="28" width="8.875" style="1" bestFit="1" customWidth="1"/>
    <col min="29" max="30" width="11.5" style="1"/>
    <col min="31" max="32" width="23.125" style="1" customWidth="1"/>
    <col min="33" max="16384" width="11.5" style="1"/>
  </cols>
  <sheetData>
    <row r="1" spans="1:32" ht="28.5" customHeight="1" thickBot="1">
      <c r="I1" s="346" t="s">
        <v>1658</v>
      </c>
      <c r="J1" s="347"/>
      <c r="K1" s="347"/>
      <c r="L1" s="347"/>
      <c r="M1" s="347"/>
      <c r="N1" s="348"/>
      <c r="O1" s="349" t="s">
        <v>1659</v>
      </c>
      <c r="P1" s="350"/>
      <c r="Q1" s="351"/>
    </row>
    <row r="2" spans="1:32" ht="51.75" thickBot="1">
      <c r="A2" s="241" t="s">
        <v>75</v>
      </c>
      <c r="B2" s="242" t="s">
        <v>12</v>
      </c>
      <c r="C2" s="242" t="s">
        <v>1532</v>
      </c>
      <c r="D2" s="243" t="s">
        <v>11</v>
      </c>
      <c r="E2" s="244" t="s">
        <v>1618</v>
      </c>
      <c r="F2" s="245" t="s">
        <v>1638</v>
      </c>
      <c r="G2" s="246" t="s">
        <v>1616</v>
      </c>
      <c r="H2" s="247" t="s">
        <v>1617</v>
      </c>
      <c r="I2" s="248" t="s">
        <v>1650</v>
      </c>
      <c r="J2" s="264" t="s">
        <v>1653</v>
      </c>
      <c r="K2" s="264" t="s">
        <v>1654</v>
      </c>
      <c r="L2" s="265" t="s">
        <v>1655</v>
      </c>
      <c r="M2" s="265" t="s">
        <v>1656</v>
      </c>
      <c r="N2" s="249" t="s">
        <v>1637</v>
      </c>
      <c r="O2" s="250" t="s">
        <v>1650</v>
      </c>
      <c r="P2" s="251" t="s">
        <v>1651</v>
      </c>
      <c r="Q2" s="252" t="s">
        <v>1652</v>
      </c>
      <c r="S2" s="352" t="s">
        <v>75</v>
      </c>
      <c r="T2" s="366" t="s">
        <v>800</v>
      </c>
      <c r="U2" s="367"/>
      <c r="V2" s="368"/>
      <c r="W2" s="355" t="s">
        <v>801</v>
      </c>
      <c r="X2" s="356"/>
      <c r="Y2" s="357"/>
      <c r="AA2" s="364" t="s">
        <v>193</v>
      </c>
      <c r="AB2" s="364"/>
      <c r="AC2" s="364"/>
      <c r="AE2" s="97" t="s">
        <v>162</v>
      </c>
      <c r="AF2" s="98" t="s">
        <v>152</v>
      </c>
    </row>
    <row r="3" spans="1:32" ht="12.75">
      <c r="A3" s="231" t="s">
        <v>74</v>
      </c>
      <c r="B3" s="232">
        <v>42185</v>
      </c>
      <c r="C3" s="232">
        <f t="shared" ref="C3:C66" si="0">EDATE(B3,84)-1</f>
        <v>44741</v>
      </c>
      <c r="D3" s="233">
        <v>250</v>
      </c>
      <c r="E3" s="234">
        <f t="shared" ref="E3:E66" si="1">ROUNDDOWN(YEARFRAC($B3,$AB$4,1),2)</f>
        <v>4.66</v>
      </c>
      <c r="F3" s="235">
        <f t="shared" ref="F3:F66" si="2">ROUNDDOWN(YEARFRAC($B3,$AB$5,1),2)</f>
        <v>5.66</v>
      </c>
      <c r="G3" s="236">
        <f t="shared" ref="G3:G66" si="3">ROUNDDOWN(YEARFRAC($B3,$AC$4,1),2)</f>
        <v>5.66</v>
      </c>
      <c r="H3" s="237">
        <f t="shared" ref="H3:H66" si="4">ROUNDDOWN(YEARFRAC($B3,$AC$5,1),2)</f>
        <v>6.66</v>
      </c>
      <c r="I3" s="253" t="str">
        <f t="shared" ref="I3:I66" si="5">IF(DATEDIF($B3,$AB$5,"y")=5,"5-6 years","6-7 years")</f>
        <v>5-6 years</v>
      </c>
      <c r="J3" s="254">
        <f t="shared" ref="J3:J66" si="6">MAX(MIN($AC$7,C3)-MAX($AB$4,$B3,_xlfn.XLOOKUP($A3,$AE$3:$AE$37,$AF$3:$AF$37))+1,0)/365</f>
        <v>0.83835616438356164</v>
      </c>
      <c r="K3" s="255">
        <f>$D3*J3*_xlfn.XLOOKUP($I3,'Sample Size cal and results'!$B$24:$B$25,'Sample Size cal and results'!$H$24:$H$25)</f>
        <v>194.51862176391361</v>
      </c>
      <c r="L3" s="254">
        <f t="shared" ref="L3:L66" si="7">MAX(MIN($AB$5,C3)-MAX($AC$8,$B3,_xlfn.XLOOKUP($A3,$AE$3:$AE$37,$AF$3:$AF$37))+1,0)/365</f>
        <v>0.16164383561643836</v>
      </c>
      <c r="M3" s="254">
        <f>$D3*L3*_xlfn.XLOOKUP($I3,'Sample Size cal and results'!$B$24:$B$25,'Sample Size cal and results'!$I$24:$I$25)</f>
        <v>38.480744994873717</v>
      </c>
      <c r="N3" s="256">
        <f t="shared" ref="N3:N66" si="8">M3+K3</f>
        <v>232.99936675878735</v>
      </c>
      <c r="O3" s="238" t="str">
        <f t="shared" ref="O3:O66" si="9">IF(DATEDIF($B3,$AC$5,"y")=6,"6-7 years","7-8 years")</f>
        <v>6-7 years</v>
      </c>
      <c r="P3" s="239">
        <f t="shared" ref="P3:P66" si="10">MAX(MIN($AC$5,C3)-MAX($AC$4,$B3,_xlfn.XLOOKUP($A3,$AE$3:$AE$37,$AF$3:$AF$37))+1,0)/365</f>
        <v>1</v>
      </c>
      <c r="Q3" s="240">
        <f>$D3*P3*_xlfn.XLOOKUP($O3,'Sample Size cal and results'!$B$26:$B$27,'Sample Size cal and results'!$I$26:$I$27)</f>
        <v>206.90778560054906</v>
      </c>
      <c r="R3" s="330"/>
      <c r="S3" s="353"/>
      <c r="T3" s="354" t="s">
        <v>191</v>
      </c>
      <c r="U3" s="354"/>
      <c r="V3" s="365" t="s">
        <v>192</v>
      </c>
      <c r="W3" s="358" t="s">
        <v>191</v>
      </c>
      <c r="X3" s="359"/>
      <c r="Y3" s="360" t="s">
        <v>192</v>
      </c>
      <c r="AA3" s="276" t="s">
        <v>194</v>
      </c>
      <c r="AB3" s="277" t="s">
        <v>802</v>
      </c>
      <c r="AC3" s="278" t="s">
        <v>102</v>
      </c>
      <c r="AE3" s="101" t="s">
        <v>143</v>
      </c>
      <c r="AF3" s="102">
        <v>41730</v>
      </c>
    </row>
    <row r="4" spans="1:32" ht="12.75">
      <c r="A4" s="99" t="s">
        <v>74</v>
      </c>
      <c r="B4" s="100">
        <v>42184</v>
      </c>
      <c r="C4" s="100">
        <f t="shared" si="0"/>
        <v>44740</v>
      </c>
      <c r="D4" s="209">
        <v>6010</v>
      </c>
      <c r="E4" s="217">
        <f t="shared" si="1"/>
        <v>4.67</v>
      </c>
      <c r="F4" s="218">
        <f t="shared" si="2"/>
        <v>5.66</v>
      </c>
      <c r="G4" s="219">
        <f t="shared" si="3"/>
        <v>5.67</v>
      </c>
      <c r="H4" s="220">
        <f t="shared" si="4"/>
        <v>6.66</v>
      </c>
      <c r="I4" s="257" t="str">
        <f t="shared" si="5"/>
        <v>5-6 years</v>
      </c>
      <c r="J4" s="211">
        <f t="shared" si="6"/>
        <v>0.83835616438356164</v>
      </c>
      <c r="K4" s="258">
        <f>$D4*J4*_xlfn.XLOOKUP($I4,'Sample Size cal and results'!$B$24:$B$25,'Sample Size cal and results'!$H$24:$H$25)</f>
        <v>4676.2276672044827</v>
      </c>
      <c r="L4" s="211">
        <f t="shared" si="7"/>
        <v>0.16164383561643836</v>
      </c>
      <c r="M4" s="211">
        <f>$D4*L4*_xlfn.XLOOKUP($I4,'Sample Size cal and results'!$B$24:$B$25,'Sample Size cal and results'!$I$24:$I$25)</f>
        <v>925.07710967676405</v>
      </c>
      <c r="N4" s="214">
        <f t="shared" si="8"/>
        <v>5601.3047768812467</v>
      </c>
      <c r="O4" s="225" t="str">
        <f t="shared" si="9"/>
        <v>6-7 years</v>
      </c>
      <c r="P4" s="226">
        <f t="shared" si="10"/>
        <v>1</v>
      </c>
      <c r="Q4" s="227">
        <f>$D4*P4*_xlfn.XLOOKUP($O4,'Sample Size cal and results'!$B$26:$B$27,'Sample Size cal and results'!$I$26:$I$27)</f>
        <v>4974.0631658371994</v>
      </c>
      <c r="R4" s="330"/>
      <c r="S4" s="353"/>
      <c r="T4" s="103" t="s">
        <v>255</v>
      </c>
      <c r="U4" s="103" t="s">
        <v>274</v>
      </c>
      <c r="V4" s="365"/>
      <c r="W4" s="266" t="s">
        <v>274</v>
      </c>
      <c r="X4" s="266" t="s">
        <v>952</v>
      </c>
      <c r="Y4" s="361"/>
      <c r="AA4" s="279" t="s">
        <v>195</v>
      </c>
      <c r="AB4" s="280">
        <v>43891</v>
      </c>
      <c r="AC4" s="280">
        <v>44256</v>
      </c>
      <c r="AE4" s="101" t="s">
        <v>145</v>
      </c>
      <c r="AF4" s="102">
        <v>41764</v>
      </c>
    </row>
    <row r="5" spans="1:32" ht="12.75">
      <c r="A5" s="99" t="s">
        <v>74</v>
      </c>
      <c r="B5" s="100">
        <v>42183</v>
      </c>
      <c r="C5" s="100">
        <f t="shared" si="0"/>
        <v>44739</v>
      </c>
      <c r="D5" s="209">
        <v>1888</v>
      </c>
      <c r="E5" s="217">
        <f t="shared" si="1"/>
        <v>4.67</v>
      </c>
      <c r="F5" s="218">
        <f t="shared" si="2"/>
        <v>5.67</v>
      </c>
      <c r="G5" s="219">
        <f t="shared" si="3"/>
        <v>5.67</v>
      </c>
      <c r="H5" s="220">
        <f t="shared" si="4"/>
        <v>6.67</v>
      </c>
      <c r="I5" s="257" t="str">
        <f t="shared" si="5"/>
        <v>5-6 years</v>
      </c>
      <c r="J5" s="211">
        <f t="shared" si="6"/>
        <v>0.83835616438356164</v>
      </c>
      <c r="K5" s="258">
        <f>$D5*J5*_xlfn.XLOOKUP($I5,'Sample Size cal and results'!$B$24:$B$25,'Sample Size cal and results'!$H$24:$H$25)</f>
        <v>1469.0046315610755</v>
      </c>
      <c r="L5" s="211">
        <f t="shared" si="7"/>
        <v>0.16164383561643836</v>
      </c>
      <c r="M5" s="211">
        <f>$D5*L5*_xlfn.XLOOKUP($I5,'Sample Size cal and results'!$B$24:$B$25,'Sample Size cal and results'!$I$24:$I$25)</f>
        <v>290.60658620128629</v>
      </c>
      <c r="N5" s="214">
        <f t="shared" si="8"/>
        <v>1759.6112177623618</v>
      </c>
      <c r="O5" s="225" t="str">
        <f t="shared" si="9"/>
        <v>6-7 years</v>
      </c>
      <c r="P5" s="226">
        <f t="shared" si="10"/>
        <v>1</v>
      </c>
      <c r="Q5" s="227">
        <f>$D5*P5*_xlfn.XLOOKUP($O5,'Sample Size cal and results'!$B$26:$B$27,'Sample Size cal and results'!$I$26:$I$27)</f>
        <v>1562.5675968553464</v>
      </c>
      <c r="R5" s="330"/>
      <c r="S5" s="99" t="s">
        <v>143</v>
      </c>
      <c r="T5" s="6">
        <f t="shared" ref="T5:U24" si="11">SUMIFS($D$3:$D$904,$A$3:$A$904,$S5,$I$3:$I$904,T$4)</f>
        <v>0</v>
      </c>
      <c r="U5" s="6">
        <f t="shared" si="11"/>
        <v>9029</v>
      </c>
      <c r="V5" s="168">
        <f>ROUNDDOWN(SUMIF($A$3:$A$904,$S5,$N$3:$N$904),0)</f>
        <v>7434</v>
      </c>
      <c r="W5" s="7">
        <f t="shared" ref="W5:X24" si="12">SUMIFS($D$3:$D$904,$A$3:$A$904,$S5,$O$3:$O$904,W$4)</f>
        <v>0</v>
      </c>
      <c r="X5" s="7">
        <f t="shared" si="12"/>
        <v>9029</v>
      </c>
      <c r="Y5" s="281">
        <f t="shared" ref="Y5:Y40" si="13">ROUNDDOWN(SUMIF($A$3:$A$904,$S5,$Q$3:$Q$904),0)</f>
        <v>1911</v>
      </c>
      <c r="Z5" s="329"/>
      <c r="AA5" s="279" t="s">
        <v>196</v>
      </c>
      <c r="AB5" s="280">
        <v>44255</v>
      </c>
      <c r="AC5" s="280">
        <v>44620</v>
      </c>
      <c r="AE5" s="101" t="s">
        <v>146</v>
      </c>
      <c r="AF5" s="102">
        <v>41897</v>
      </c>
    </row>
    <row r="6" spans="1:32" ht="12.75">
      <c r="A6" s="99" t="s">
        <v>74</v>
      </c>
      <c r="B6" s="100">
        <v>42182</v>
      </c>
      <c r="C6" s="100">
        <f t="shared" si="0"/>
        <v>44738</v>
      </c>
      <c r="D6" s="209">
        <v>266</v>
      </c>
      <c r="E6" s="217">
        <f t="shared" si="1"/>
        <v>4.67</v>
      </c>
      <c r="F6" s="218">
        <f t="shared" si="2"/>
        <v>5.67</v>
      </c>
      <c r="G6" s="219">
        <f t="shared" si="3"/>
        <v>5.67</v>
      </c>
      <c r="H6" s="220">
        <f t="shared" si="4"/>
        <v>6.67</v>
      </c>
      <c r="I6" s="257" t="str">
        <f t="shared" si="5"/>
        <v>5-6 years</v>
      </c>
      <c r="J6" s="211">
        <f t="shared" si="6"/>
        <v>0.83835616438356164</v>
      </c>
      <c r="K6" s="258">
        <f>$D6*J6*_xlfn.XLOOKUP($I6,'Sample Size cal and results'!$B$24:$B$25,'Sample Size cal and results'!$H$24:$H$25)</f>
        <v>206.96781355680409</v>
      </c>
      <c r="L6" s="211">
        <f t="shared" si="7"/>
        <v>0.16164383561643836</v>
      </c>
      <c r="M6" s="211">
        <f>$D6*L6*_xlfn.XLOOKUP($I6,'Sample Size cal and results'!$B$24:$B$25,'Sample Size cal and results'!$I$24:$I$25)</f>
        <v>40.94351267454563</v>
      </c>
      <c r="N6" s="214">
        <f t="shared" si="8"/>
        <v>247.91132623134973</v>
      </c>
      <c r="O6" s="225" t="str">
        <f t="shared" si="9"/>
        <v>6-7 years</v>
      </c>
      <c r="P6" s="226">
        <f t="shared" si="10"/>
        <v>1</v>
      </c>
      <c r="Q6" s="227">
        <f>$D6*P6*_xlfn.XLOOKUP($O6,'Sample Size cal and results'!$B$26:$B$27,'Sample Size cal and results'!$I$26:$I$27)</f>
        <v>220.14988387898421</v>
      </c>
      <c r="R6" s="330"/>
      <c r="S6" s="99" t="s">
        <v>145</v>
      </c>
      <c r="T6" s="6">
        <f t="shared" si="11"/>
        <v>0</v>
      </c>
      <c r="U6" s="6">
        <f t="shared" si="11"/>
        <v>8623</v>
      </c>
      <c r="V6" s="168">
        <f t="shared" ref="V6:V40" si="14">ROUNDDOWN(SUMIF($A$3:$A$904,$S6,$N$3:$N$904),0)</f>
        <v>7099</v>
      </c>
      <c r="W6" s="7">
        <f t="shared" si="12"/>
        <v>0</v>
      </c>
      <c r="X6" s="7">
        <f t="shared" si="12"/>
        <v>8623</v>
      </c>
      <c r="Y6" s="281">
        <f t="shared" si="13"/>
        <v>2084</v>
      </c>
      <c r="Z6" s="329"/>
      <c r="AE6" s="101" t="s">
        <v>147</v>
      </c>
      <c r="AF6" s="102">
        <v>41897</v>
      </c>
    </row>
    <row r="7" spans="1:32" ht="12.75">
      <c r="A7" s="99" t="s">
        <v>74</v>
      </c>
      <c r="B7" s="100">
        <v>42181</v>
      </c>
      <c r="C7" s="100">
        <f t="shared" si="0"/>
        <v>44737</v>
      </c>
      <c r="D7" s="209">
        <v>183</v>
      </c>
      <c r="E7" s="217">
        <f t="shared" si="1"/>
        <v>4.68</v>
      </c>
      <c r="F7" s="218">
        <f t="shared" si="2"/>
        <v>5.67</v>
      </c>
      <c r="G7" s="219">
        <f t="shared" si="3"/>
        <v>5.68</v>
      </c>
      <c r="H7" s="220">
        <f t="shared" si="4"/>
        <v>6.67</v>
      </c>
      <c r="I7" s="257" t="str">
        <f t="shared" si="5"/>
        <v>5-6 years</v>
      </c>
      <c r="J7" s="211">
        <f t="shared" si="6"/>
        <v>0.83835616438356164</v>
      </c>
      <c r="K7" s="258">
        <f>$D7*J7*_xlfn.XLOOKUP($I7,'Sample Size cal and results'!$B$24:$B$25,'Sample Size cal and results'!$H$24:$H$25)</f>
        <v>142.38763113118478</v>
      </c>
      <c r="L7" s="211">
        <f t="shared" si="7"/>
        <v>0.16164383561643836</v>
      </c>
      <c r="M7" s="211">
        <f>$D7*L7*_xlfn.XLOOKUP($I7,'Sample Size cal and results'!$B$24:$B$25,'Sample Size cal and results'!$I$24:$I$25)</f>
        <v>28.167905336247561</v>
      </c>
      <c r="N7" s="214">
        <f t="shared" si="8"/>
        <v>170.55553646743235</v>
      </c>
      <c r="O7" s="225" t="str">
        <f t="shared" si="9"/>
        <v>6-7 years</v>
      </c>
      <c r="P7" s="226">
        <f t="shared" si="10"/>
        <v>1</v>
      </c>
      <c r="Q7" s="227">
        <f>$D7*P7*_xlfn.XLOOKUP($O7,'Sample Size cal and results'!$B$26:$B$27,'Sample Size cal and results'!$I$26:$I$27)</f>
        <v>151.45649905960192</v>
      </c>
      <c r="R7" s="330"/>
      <c r="S7" s="99" t="s">
        <v>144</v>
      </c>
      <c r="T7" s="6">
        <f t="shared" si="11"/>
        <v>0</v>
      </c>
      <c r="U7" s="6">
        <f t="shared" si="11"/>
        <v>0</v>
      </c>
      <c r="V7" s="168">
        <f t="shared" si="14"/>
        <v>0</v>
      </c>
      <c r="W7" s="7">
        <f t="shared" si="12"/>
        <v>0</v>
      </c>
      <c r="X7" s="7">
        <f t="shared" si="12"/>
        <v>0</v>
      </c>
      <c r="Y7" s="281">
        <f t="shared" si="13"/>
        <v>0</v>
      </c>
      <c r="Z7" s="329"/>
      <c r="AA7" s="362" t="s">
        <v>1657</v>
      </c>
      <c r="AB7" s="363"/>
      <c r="AC7" s="267">
        <v>44196</v>
      </c>
      <c r="AE7" s="101" t="s">
        <v>148</v>
      </c>
      <c r="AF7" s="102">
        <v>41940</v>
      </c>
    </row>
    <row r="8" spans="1:32" ht="12.75">
      <c r="A8" s="99" t="s">
        <v>74</v>
      </c>
      <c r="B8" s="100">
        <v>42180</v>
      </c>
      <c r="C8" s="100">
        <f t="shared" si="0"/>
        <v>44736</v>
      </c>
      <c r="D8" s="209">
        <v>310</v>
      </c>
      <c r="E8" s="217">
        <f t="shared" si="1"/>
        <v>4.68</v>
      </c>
      <c r="F8" s="218">
        <f t="shared" si="2"/>
        <v>5.68</v>
      </c>
      <c r="G8" s="219">
        <f t="shared" si="3"/>
        <v>5.68</v>
      </c>
      <c r="H8" s="220">
        <f t="shared" si="4"/>
        <v>6.68</v>
      </c>
      <c r="I8" s="257" t="str">
        <f t="shared" si="5"/>
        <v>5-6 years</v>
      </c>
      <c r="J8" s="211">
        <f t="shared" si="6"/>
        <v>0.83835616438356164</v>
      </c>
      <c r="K8" s="258">
        <f>$D8*J8*_xlfn.XLOOKUP($I8,'Sample Size cal and results'!$B$24:$B$25,'Sample Size cal and results'!$H$24:$H$25)</f>
        <v>241.20309098725289</v>
      </c>
      <c r="L8" s="211">
        <f t="shared" si="7"/>
        <v>0.16164383561643836</v>
      </c>
      <c r="M8" s="211">
        <f>$D8*L8*_xlfn.XLOOKUP($I8,'Sample Size cal and results'!$B$24:$B$25,'Sample Size cal and results'!$I$24:$I$25)</f>
        <v>47.716123793643412</v>
      </c>
      <c r="N8" s="214">
        <f t="shared" si="8"/>
        <v>288.91921478089631</v>
      </c>
      <c r="O8" s="225" t="str">
        <f t="shared" si="9"/>
        <v>6-7 years</v>
      </c>
      <c r="P8" s="226">
        <f t="shared" si="10"/>
        <v>1</v>
      </c>
      <c r="Q8" s="227">
        <f>$D8*P8*_xlfn.XLOOKUP($O8,'Sample Size cal and results'!$B$26:$B$27,'Sample Size cal and results'!$I$26:$I$27)</f>
        <v>256.56565414468082</v>
      </c>
      <c r="R8" s="330"/>
      <c r="S8" s="99" t="s">
        <v>146</v>
      </c>
      <c r="T8" s="6">
        <f t="shared" si="11"/>
        <v>0</v>
      </c>
      <c r="U8" s="6">
        <f t="shared" si="11"/>
        <v>9083</v>
      </c>
      <c r="V8" s="168">
        <f t="shared" si="14"/>
        <v>7478</v>
      </c>
      <c r="W8" s="7">
        <f t="shared" si="12"/>
        <v>0</v>
      </c>
      <c r="X8" s="7">
        <f t="shared" si="12"/>
        <v>9083</v>
      </c>
      <c r="Y8" s="281">
        <f t="shared" si="13"/>
        <v>4097</v>
      </c>
      <c r="Z8" s="329"/>
      <c r="AA8" s="363" t="s">
        <v>1672</v>
      </c>
      <c r="AB8" s="363"/>
      <c r="AC8" s="267">
        <v>44197</v>
      </c>
      <c r="AE8" s="101" t="s">
        <v>149</v>
      </c>
      <c r="AF8" s="102">
        <v>41852</v>
      </c>
    </row>
    <row r="9" spans="1:32" ht="12.75">
      <c r="A9" s="99" t="s">
        <v>74</v>
      </c>
      <c r="B9" s="100">
        <v>42179</v>
      </c>
      <c r="C9" s="100">
        <f t="shared" si="0"/>
        <v>44735</v>
      </c>
      <c r="D9" s="209">
        <v>210</v>
      </c>
      <c r="E9" s="217">
        <f t="shared" si="1"/>
        <v>4.68</v>
      </c>
      <c r="F9" s="218">
        <f t="shared" si="2"/>
        <v>5.68</v>
      </c>
      <c r="G9" s="219">
        <f t="shared" si="3"/>
        <v>5.68</v>
      </c>
      <c r="H9" s="220">
        <f t="shared" si="4"/>
        <v>6.68</v>
      </c>
      <c r="I9" s="257" t="str">
        <f t="shared" si="5"/>
        <v>5-6 years</v>
      </c>
      <c r="J9" s="211">
        <f t="shared" si="6"/>
        <v>0.83835616438356164</v>
      </c>
      <c r="K9" s="258">
        <f>$D9*J9*_xlfn.XLOOKUP($I9,'Sample Size cal and results'!$B$24:$B$25,'Sample Size cal and results'!$H$24:$H$25)</f>
        <v>163.39564228168743</v>
      </c>
      <c r="L9" s="211">
        <f t="shared" si="7"/>
        <v>0.16164383561643836</v>
      </c>
      <c r="M9" s="211">
        <f>$D9*L9*_xlfn.XLOOKUP($I9,'Sample Size cal and results'!$B$24:$B$25,'Sample Size cal and results'!$I$24:$I$25)</f>
        <v>32.323825795693921</v>
      </c>
      <c r="N9" s="214">
        <f t="shared" si="8"/>
        <v>195.71946807738135</v>
      </c>
      <c r="O9" s="225" t="str">
        <f t="shared" si="9"/>
        <v>6-7 years</v>
      </c>
      <c r="P9" s="226">
        <f t="shared" si="10"/>
        <v>1</v>
      </c>
      <c r="Q9" s="227">
        <f>$D9*P9*_xlfn.XLOOKUP($O9,'Sample Size cal and results'!$B$26:$B$27,'Sample Size cal and results'!$I$26:$I$27)</f>
        <v>173.80253990446121</v>
      </c>
      <c r="R9" s="330"/>
      <c r="S9" s="99" t="s">
        <v>147</v>
      </c>
      <c r="T9" s="6">
        <f t="shared" si="11"/>
        <v>0</v>
      </c>
      <c r="U9" s="6">
        <f t="shared" si="11"/>
        <v>8837</v>
      </c>
      <c r="V9" s="168">
        <f t="shared" si="14"/>
        <v>7275</v>
      </c>
      <c r="W9" s="7">
        <f t="shared" si="12"/>
        <v>0</v>
      </c>
      <c r="X9" s="7">
        <f t="shared" si="12"/>
        <v>8837</v>
      </c>
      <c r="Y9" s="281">
        <f t="shared" si="13"/>
        <v>3531</v>
      </c>
      <c r="Z9" s="329"/>
      <c r="AE9" s="101" t="s">
        <v>150</v>
      </c>
      <c r="AF9" s="102">
        <v>41866</v>
      </c>
    </row>
    <row r="10" spans="1:32" ht="12.75">
      <c r="A10" s="99" t="s">
        <v>73</v>
      </c>
      <c r="B10" s="100">
        <v>42178</v>
      </c>
      <c r="C10" s="100">
        <f t="shared" si="0"/>
        <v>44734</v>
      </c>
      <c r="D10" s="209">
        <v>127</v>
      </c>
      <c r="E10" s="217">
        <f t="shared" si="1"/>
        <v>4.68</v>
      </c>
      <c r="F10" s="218">
        <f t="shared" si="2"/>
        <v>5.68</v>
      </c>
      <c r="G10" s="219">
        <f t="shared" si="3"/>
        <v>5.68</v>
      </c>
      <c r="H10" s="220">
        <f t="shared" si="4"/>
        <v>6.68</v>
      </c>
      <c r="I10" s="257" t="str">
        <f t="shared" si="5"/>
        <v>5-6 years</v>
      </c>
      <c r="J10" s="211">
        <f t="shared" si="6"/>
        <v>0.83835616438356164</v>
      </c>
      <c r="K10" s="258">
        <f>$D10*J10*_xlfn.XLOOKUP($I10,'Sample Size cal and results'!$B$24:$B$25,'Sample Size cal and results'!$H$24:$H$25)</f>
        <v>98.815459856068117</v>
      </c>
      <c r="L10" s="211">
        <f t="shared" si="7"/>
        <v>0.16164383561643836</v>
      </c>
      <c r="M10" s="211">
        <f>$D10*L10*_xlfn.XLOOKUP($I10,'Sample Size cal and results'!$B$24:$B$25,'Sample Size cal and results'!$I$24:$I$25)</f>
        <v>19.548218457395848</v>
      </c>
      <c r="N10" s="214">
        <f t="shared" si="8"/>
        <v>118.36367831346396</v>
      </c>
      <c r="O10" s="225" t="str">
        <f t="shared" si="9"/>
        <v>6-7 years</v>
      </c>
      <c r="P10" s="226">
        <f t="shared" si="10"/>
        <v>1</v>
      </c>
      <c r="Q10" s="227">
        <f>$D10*P10*_xlfn.XLOOKUP($O10,'Sample Size cal and results'!$B$26:$B$27,'Sample Size cal and results'!$I$26:$I$27)</f>
        <v>105.10915508507892</v>
      </c>
      <c r="R10" s="330"/>
      <c r="S10" s="99" t="s">
        <v>148</v>
      </c>
      <c r="T10" s="6">
        <f t="shared" si="11"/>
        <v>0</v>
      </c>
      <c r="U10" s="6">
        <f t="shared" si="11"/>
        <v>8656</v>
      </c>
      <c r="V10" s="168">
        <f t="shared" si="14"/>
        <v>7126</v>
      </c>
      <c r="W10" s="7">
        <f t="shared" si="12"/>
        <v>0</v>
      </c>
      <c r="X10" s="7">
        <f t="shared" si="12"/>
        <v>8656</v>
      </c>
      <c r="Y10" s="281">
        <f t="shared" si="13"/>
        <v>4436</v>
      </c>
      <c r="Z10" s="329"/>
      <c r="AE10" s="101" t="s">
        <v>151</v>
      </c>
      <c r="AF10" s="102">
        <v>41878</v>
      </c>
    </row>
    <row r="11" spans="1:32" ht="12.75">
      <c r="A11" s="99" t="s">
        <v>74</v>
      </c>
      <c r="B11" s="100">
        <v>42178</v>
      </c>
      <c r="C11" s="100">
        <f t="shared" si="0"/>
        <v>44734</v>
      </c>
      <c r="D11" s="209">
        <v>102</v>
      </c>
      <c r="E11" s="217">
        <f t="shared" si="1"/>
        <v>4.68</v>
      </c>
      <c r="F11" s="218">
        <f t="shared" si="2"/>
        <v>5.68</v>
      </c>
      <c r="G11" s="219">
        <f t="shared" si="3"/>
        <v>5.68</v>
      </c>
      <c r="H11" s="220">
        <f t="shared" si="4"/>
        <v>6.68</v>
      </c>
      <c r="I11" s="257" t="str">
        <f t="shared" si="5"/>
        <v>5-6 years</v>
      </c>
      <c r="J11" s="211">
        <f t="shared" si="6"/>
        <v>0.83835616438356164</v>
      </c>
      <c r="K11" s="258">
        <f>$D11*J11*_xlfn.XLOOKUP($I11,'Sample Size cal and results'!$B$24:$B$25,'Sample Size cal and results'!$H$24:$H$25)</f>
        <v>79.363597679676758</v>
      </c>
      <c r="L11" s="211">
        <f t="shared" si="7"/>
        <v>0.16164383561643836</v>
      </c>
      <c r="M11" s="211">
        <f>$D11*L11*_xlfn.XLOOKUP($I11,'Sample Size cal and results'!$B$24:$B$25,'Sample Size cal and results'!$I$24:$I$25)</f>
        <v>15.700143957908477</v>
      </c>
      <c r="N11" s="214">
        <f t="shared" si="8"/>
        <v>95.063741637585238</v>
      </c>
      <c r="O11" s="225" t="str">
        <f t="shared" si="9"/>
        <v>6-7 years</v>
      </c>
      <c r="P11" s="226">
        <f t="shared" si="10"/>
        <v>1</v>
      </c>
      <c r="Q11" s="227">
        <f>$D11*P11*_xlfn.XLOOKUP($O11,'Sample Size cal and results'!$B$26:$B$27,'Sample Size cal and results'!$I$26:$I$27)</f>
        <v>84.418376525024016</v>
      </c>
      <c r="R11" s="330"/>
      <c r="S11" s="99" t="s">
        <v>149</v>
      </c>
      <c r="T11" s="6">
        <f t="shared" si="11"/>
        <v>0</v>
      </c>
      <c r="U11" s="6">
        <f t="shared" si="11"/>
        <v>3425</v>
      </c>
      <c r="V11" s="168">
        <f t="shared" si="14"/>
        <v>2819</v>
      </c>
      <c r="W11" s="7">
        <f t="shared" si="12"/>
        <v>0</v>
      </c>
      <c r="X11" s="7">
        <f t="shared" si="12"/>
        <v>3425</v>
      </c>
      <c r="Y11" s="281">
        <f t="shared" si="13"/>
        <v>982</v>
      </c>
      <c r="Z11" s="329"/>
      <c r="AE11" s="101" t="s">
        <v>48</v>
      </c>
      <c r="AF11" s="102">
        <v>41897</v>
      </c>
    </row>
    <row r="12" spans="1:32" ht="12.75">
      <c r="A12" s="99" t="s">
        <v>73</v>
      </c>
      <c r="B12" s="100">
        <v>42177</v>
      </c>
      <c r="C12" s="100">
        <f t="shared" si="0"/>
        <v>44733</v>
      </c>
      <c r="D12" s="209">
        <v>1069</v>
      </c>
      <c r="E12" s="217">
        <f t="shared" si="1"/>
        <v>4.6900000000000004</v>
      </c>
      <c r="F12" s="218">
        <f t="shared" si="2"/>
        <v>5.68</v>
      </c>
      <c r="G12" s="219">
        <f t="shared" si="3"/>
        <v>5.69</v>
      </c>
      <c r="H12" s="220">
        <f t="shared" si="4"/>
        <v>6.68</v>
      </c>
      <c r="I12" s="257" t="str">
        <f t="shared" si="5"/>
        <v>5-6 years</v>
      </c>
      <c r="J12" s="211">
        <f t="shared" si="6"/>
        <v>0.83835616438356164</v>
      </c>
      <c r="K12" s="258">
        <f>$D12*J12*_xlfn.XLOOKUP($I12,'Sample Size cal and results'!$B$24:$B$25,'Sample Size cal and results'!$H$24:$H$25)</f>
        <v>831.76162666249468</v>
      </c>
      <c r="L12" s="211">
        <f t="shared" si="7"/>
        <v>0.16164383561643836</v>
      </c>
      <c r="M12" s="211">
        <f>$D12*L12*_xlfn.XLOOKUP($I12,'Sample Size cal and results'!$B$24:$B$25,'Sample Size cal and results'!$I$24:$I$25)</f>
        <v>164.54366559808</v>
      </c>
      <c r="N12" s="214">
        <f t="shared" si="8"/>
        <v>996.30529226057467</v>
      </c>
      <c r="O12" s="225" t="str">
        <f t="shared" si="9"/>
        <v>6-7 years</v>
      </c>
      <c r="P12" s="226">
        <f t="shared" si="10"/>
        <v>1</v>
      </c>
      <c r="Q12" s="227">
        <f>$D12*P12*_xlfn.XLOOKUP($O12,'Sample Size cal and results'!$B$26:$B$27,'Sample Size cal and results'!$I$26:$I$27)</f>
        <v>884.73769122794783</v>
      </c>
      <c r="R12" s="330"/>
      <c r="S12" s="99" t="s">
        <v>150</v>
      </c>
      <c r="T12" s="6">
        <f t="shared" si="11"/>
        <v>0</v>
      </c>
      <c r="U12" s="6">
        <f t="shared" si="11"/>
        <v>4354</v>
      </c>
      <c r="V12" s="168">
        <f t="shared" si="14"/>
        <v>3584</v>
      </c>
      <c r="W12" s="7">
        <f t="shared" si="12"/>
        <v>0</v>
      </c>
      <c r="X12" s="7">
        <f t="shared" si="12"/>
        <v>4354</v>
      </c>
      <c r="Y12" s="281">
        <f t="shared" si="13"/>
        <v>1332</v>
      </c>
      <c r="Z12" s="329"/>
      <c r="AE12" s="101" t="s">
        <v>49</v>
      </c>
      <c r="AF12" s="102">
        <v>41909</v>
      </c>
    </row>
    <row r="13" spans="1:32" ht="12.75">
      <c r="A13" s="99" t="s">
        <v>73</v>
      </c>
      <c r="B13" s="100">
        <v>42176</v>
      </c>
      <c r="C13" s="100">
        <f t="shared" si="0"/>
        <v>44732</v>
      </c>
      <c r="D13" s="209">
        <v>240</v>
      </c>
      <c r="E13" s="217">
        <f t="shared" si="1"/>
        <v>4.6900000000000004</v>
      </c>
      <c r="F13" s="218">
        <f t="shared" si="2"/>
        <v>5.69</v>
      </c>
      <c r="G13" s="219">
        <f t="shared" si="3"/>
        <v>5.69</v>
      </c>
      <c r="H13" s="220">
        <f t="shared" si="4"/>
        <v>6.69</v>
      </c>
      <c r="I13" s="257" t="str">
        <f t="shared" si="5"/>
        <v>5-6 years</v>
      </c>
      <c r="J13" s="211">
        <f t="shared" si="6"/>
        <v>0.83835616438356164</v>
      </c>
      <c r="K13" s="258">
        <f>$D13*J13*_xlfn.XLOOKUP($I13,'Sample Size cal and results'!$B$24:$B$25,'Sample Size cal and results'!$H$24:$H$25)</f>
        <v>186.73787689335705</v>
      </c>
      <c r="L13" s="211">
        <f t="shared" si="7"/>
        <v>0.16164383561643836</v>
      </c>
      <c r="M13" s="211">
        <f>$D13*L13*_xlfn.XLOOKUP($I13,'Sample Size cal and results'!$B$24:$B$25,'Sample Size cal and results'!$I$24:$I$25)</f>
        <v>36.941515195078765</v>
      </c>
      <c r="N13" s="214">
        <f t="shared" si="8"/>
        <v>223.6793920884358</v>
      </c>
      <c r="O13" s="225" t="str">
        <f t="shared" si="9"/>
        <v>6-7 years</v>
      </c>
      <c r="P13" s="226">
        <f t="shared" si="10"/>
        <v>1</v>
      </c>
      <c r="Q13" s="227">
        <f>$D13*P13*_xlfn.XLOOKUP($O13,'Sample Size cal and results'!$B$26:$B$27,'Sample Size cal and results'!$I$26:$I$27)</f>
        <v>198.63147417652709</v>
      </c>
      <c r="R13" s="330"/>
      <c r="S13" s="99" t="s">
        <v>151</v>
      </c>
      <c r="T13" s="6">
        <f t="shared" si="11"/>
        <v>0</v>
      </c>
      <c r="U13" s="6">
        <f t="shared" si="11"/>
        <v>2943</v>
      </c>
      <c r="V13" s="168">
        <f t="shared" si="14"/>
        <v>2423</v>
      </c>
      <c r="W13" s="7">
        <f t="shared" si="12"/>
        <v>0</v>
      </c>
      <c r="X13" s="7">
        <f t="shared" si="12"/>
        <v>2943</v>
      </c>
      <c r="Y13" s="281">
        <f t="shared" si="13"/>
        <v>969</v>
      </c>
      <c r="Z13" s="329"/>
      <c r="AE13" s="101" t="s">
        <v>50</v>
      </c>
      <c r="AF13" s="102">
        <v>41920</v>
      </c>
    </row>
    <row r="14" spans="1:32" ht="12.75">
      <c r="A14" s="99" t="s">
        <v>73</v>
      </c>
      <c r="B14" s="100">
        <v>42175</v>
      </c>
      <c r="C14" s="100">
        <f t="shared" si="0"/>
        <v>44731</v>
      </c>
      <c r="D14" s="209">
        <v>555</v>
      </c>
      <c r="E14" s="217">
        <f t="shared" si="1"/>
        <v>4.6900000000000004</v>
      </c>
      <c r="F14" s="218">
        <f t="shared" si="2"/>
        <v>5.69</v>
      </c>
      <c r="G14" s="219">
        <f t="shared" si="3"/>
        <v>5.69</v>
      </c>
      <c r="H14" s="220">
        <f t="shared" si="4"/>
        <v>6.69</v>
      </c>
      <c r="I14" s="257" t="str">
        <f t="shared" si="5"/>
        <v>5-6 years</v>
      </c>
      <c r="J14" s="211">
        <f t="shared" si="6"/>
        <v>0.83835616438356164</v>
      </c>
      <c r="K14" s="258">
        <f>$D14*J14*_xlfn.XLOOKUP($I14,'Sample Size cal and results'!$B$24:$B$25,'Sample Size cal and results'!$H$24:$H$25)</f>
        <v>431.83134031588827</v>
      </c>
      <c r="L14" s="211">
        <f t="shared" si="7"/>
        <v>0.16164383561643836</v>
      </c>
      <c r="M14" s="211">
        <f>$D14*L14*_xlfn.XLOOKUP($I14,'Sample Size cal and results'!$B$24:$B$25,'Sample Size cal and results'!$I$24:$I$25)</f>
        <v>85.42725388861966</v>
      </c>
      <c r="N14" s="214">
        <f t="shared" si="8"/>
        <v>517.25859420450797</v>
      </c>
      <c r="O14" s="225" t="str">
        <f t="shared" si="9"/>
        <v>6-7 years</v>
      </c>
      <c r="P14" s="226">
        <f t="shared" si="10"/>
        <v>1</v>
      </c>
      <c r="Q14" s="227">
        <f>$D14*P14*_xlfn.XLOOKUP($O14,'Sample Size cal and results'!$B$26:$B$27,'Sample Size cal and results'!$I$26:$I$27)</f>
        <v>459.3352840332189</v>
      </c>
      <c r="R14" s="330"/>
      <c r="S14" s="99" t="s">
        <v>48</v>
      </c>
      <c r="T14" s="6">
        <f t="shared" si="11"/>
        <v>0</v>
      </c>
      <c r="U14" s="6">
        <f t="shared" si="11"/>
        <v>3424</v>
      </c>
      <c r="V14" s="168">
        <f t="shared" si="14"/>
        <v>2819</v>
      </c>
      <c r="W14" s="7">
        <f t="shared" si="12"/>
        <v>0</v>
      </c>
      <c r="X14" s="7">
        <f t="shared" si="12"/>
        <v>3424</v>
      </c>
      <c r="Y14" s="281">
        <f t="shared" si="13"/>
        <v>1246</v>
      </c>
      <c r="Z14" s="329"/>
      <c r="AE14" s="101" t="s">
        <v>51</v>
      </c>
      <c r="AF14" s="102">
        <v>41933</v>
      </c>
    </row>
    <row r="15" spans="1:32" ht="12.75">
      <c r="A15" s="99" t="s">
        <v>73</v>
      </c>
      <c r="B15" s="100">
        <v>42174</v>
      </c>
      <c r="C15" s="100">
        <f t="shared" si="0"/>
        <v>44730</v>
      </c>
      <c r="D15" s="209">
        <v>229</v>
      </c>
      <c r="E15" s="217">
        <f t="shared" si="1"/>
        <v>4.6900000000000004</v>
      </c>
      <c r="F15" s="218">
        <f t="shared" si="2"/>
        <v>5.69</v>
      </c>
      <c r="G15" s="219">
        <f t="shared" si="3"/>
        <v>5.69</v>
      </c>
      <c r="H15" s="220">
        <f t="shared" si="4"/>
        <v>6.69</v>
      </c>
      <c r="I15" s="257" t="str">
        <f t="shared" si="5"/>
        <v>5-6 years</v>
      </c>
      <c r="J15" s="211">
        <f t="shared" si="6"/>
        <v>0.83835616438356164</v>
      </c>
      <c r="K15" s="258">
        <f>$D15*J15*_xlfn.XLOOKUP($I15,'Sample Size cal and results'!$B$24:$B$25,'Sample Size cal and results'!$H$24:$H$25)</f>
        <v>178.17905753574487</v>
      </c>
      <c r="L15" s="211">
        <f t="shared" si="7"/>
        <v>0.16164383561643836</v>
      </c>
      <c r="M15" s="211">
        <f>$D15*L15*_xlfn.XLOOKUP($I15,'Sample Size cal and results'!$B$24:$B$25,'Sample Size cal and results'!$I$24:$I$25)</f>
        <v>35.248362415304328</v>
      </c>
      <c r="N15" s="214">
        <f t="shared" si="8"/>
        <v>213.42741995104922</v>
      </c>
      <c r="O15" s="225" t="str">
        <f t="shared" si="9"/>
        <v>6-7 years</v>
      </c>
      <c r="P15" s="226">
        <f t="shared" si="10"/>
        <v>1</v>
      </c>
      <c r="Q15" s="227">
        <f>$D15*P15*_xlfn.XLOOKUP($O15,'Sample Size cal and results'!$B$26:$B$27,'Sample Size cal and results'!$I$26:$I$27)</f>
        <v>189.52753161010295</v>
      </c>
      <c r="R15" s="330"/>
      <c r="S15" s="99" t="s">
        <v>49</v>
      </c>
      <c r="T15" s="6">
        <f t="shared" si="11"/>
        <v>0</v>
      </c>
      <c r="U15" s="6">
        <f t="shared" si="11"/>
        <v>2350</v>
      </c>
      <c r="V15" s="168">
        <f t="shared" si="14"/>
        <v>1934</v>
      </c>
      <c r="W15" s="7">
        <f t="shared" si="12"/>
        <v>0</v>
      </c>
      <c r="X15" s="7">
        <f t="shared" si="12"/>
        <v>2350</v>
      </c>
      <c r="Y15" s="281">
        <f t="shared" si="13"/>
        <v>898</v>
      </c>
      <c r="Z15" s="329"/>
      <c r="AE15" s="101" t="s">
        <v>52</v>
      </c>
      <c r="AF15" s="102">
        <v>41945</v>
      </c>
    </row>
    <row r="16" spans="1:32" ht="12.75">
      <c r="A16" s="99" t="s">
        <v>73</v>
      </c>
      <c r="B16" s="100">
        <v>42173</v>
      </c>
      <c r="C16" s="100">
        <f t="shared" si="0"/>
        <v>44729</v>
      </c>
      <c r="D16" s="209">
        <v>285</v>
      </c>
      <c r="E16" s="217">
        <f t="shared" si="1"/>
        <v>4.7</v>
      </c>
      <c r="F16" s="218">
        <f t="shared" si="2"/>
        <v>5.69</v>
      </c>
      <c r="G16" s="219">
        <f t="shared" si="3"/>
        <v>5.7</v>
      </c>
      <c r="H16" s="220">
        <f t="shared" si="4"/>
        <v>6.69</v>
      </c>
      <c r="I16" s="257" t="str">
        <f t="shared" si="5"/>
        <v>5-6 years</v>
      </c>
      <c r="J16" s="211">
        <f t="shared" si="6"/>
        <v>0.83835616438356164</v>
      </c>
      <c r="K16" s="258">
        <f>$D16*J16*_xlfn.XLOOKUP($I16,'Sample Size cal and results'!$B$24:$B$25,'Sample Size cal and results'!$H$24:$H$25)</f>
        <v>221.75122881086153</v>
      </c>
      <c r="L16" s="211">
        <f t="shared" si="7"/>
        <v>0.16164383561643836</v>
      </c>
      <c r="M16" s="211">
        <f>$D16*L16*_xlfn.XLOOKUP($I16,'Sample Size cal and results'!$B$24:$B$25,'Sample Size cal and results'!$I$24:$I$25)</f>
        <v>43.86804929415603</v>
      </c>
      <c r="N16" s="214">
        <f t="shared" si="8"/>
        <v>265.61927810501754</v>
      </c>
      <c r="O16" s="225" t="str">
        <f t="shared" si="9"/>
        <v>6-7 years</v>
      </c>
      <c r="P16" s="226">
        <f t="shared" si="10"/>
        <v>1</v>
      </c>
      <c r="Q16" s="227">
        <f>$D16*P16*_xlfn.XLOOKUP($O16,'Sample Size cal and results'!$B$26:$B$27,'Sample Size cal and results'!$I$26:$I$27)</f>
        <v>235.87487558462593</v>
      </c>
      <c r="R16" s="330"/>
      <c r="S16" s="99" t="s">
        <v>50</v>
      </c>
      <c r="T16" s="6">
        <f t="shared" si="11"/>
        <v>0</v>
      </c>
      <c r="U16" s="6">
        <f t="shared" si="11"/>
        <v>4507</v>
      </c>
      <c r="V16" s="168">
        <f t="shared" si="14"/>
        <v>3710</v>
      </c>
      <c r="W16" s="7">
        <f t="shared" si="12"/>
        <v>0</v>
      </c>
      <c r="X16" s="7">
        <f t="shared" si="12"/>
        <v>4507</v>
      </c>
      <c r="Y16" s="281">
        <f t="shared" si="13"/>
        <v>1842</v>
      </c>
      <c r="Z16" s="329"/>
      <c r="AE16" s="101" t="s">
        <v>53</v>
      </c>
      <c r="AF16" s="102">
        <v>41958</v>
      </c>
    </row>
    <row r="17" spans="1:32" ht="12.75">
      <c r="A17" s="99" t="s">
        <v>73</v>
      </c>
      <c r="B17" s="100">
        <v>42172</v>
      </c>
      <c r="C17" s="100">
        <f t="shared" si="0"/>
        <v>44728</v>
      </c>
      <c r="D17" s="209">
        <v>264</v>
      </c>
      <c r="E17" s="217">
        <f t="shared" si="1"/>
        <v>4.7</v>
      </c>
      <c r="F17" s="218">
        <f t="shared" si="2"/>
        <v>5.7</v>
      </c>
      <c r="G17" s="219">
        <f t="shared" si="3"/>
        <v>5.7</v>
      </c>
      <c r="H17" s="220">
        <f t="shared" si="4"/>
        <v>6.7</v>
      </c>
      <c r="I17" s="257" t="str">
        <f t="shared" si="5"/>
        <v>5-6 years</v>
      </c>
      <c r="J17" s="211">
        <f t="shared" si="6"/>
        <v>0.83835616438356164</v>
      </c>
      <c r="K17" s="258">
        <f>$D17*J17*_xlfn.XLOOKUP($I17,'Sample Size cal and results'!$B$24:$B$25,'Sample Size cal and results'!$H$24:$H$25)</f>
        <v>205.41166458269279</v>
      </c>
      <c r="L17" s="211">
        <f t="shared" si="7"/>
        <v>0.16164383561643836</v>
      </c>
      <c r="M17" s="211">
        <f>$D17*L17*_xlfn.XLOOKUP($I17,'Sample Size cal and results'!$B$24:$B$25,'Sample Size cal and results'!$I$24:$I$25)</f>
        <v>40.635666714586641</v>
      </c>
      <c r="N17" s="214">
        <f t="shared" si="8"/>
        <v>246.04733129727944</v>
      </c>
      <c r="O17" s="225" t="str">
        <f t="shared" si="9"/>
        <v>6-7 years</v>
      </c>
      <c r="P17" s="226">
        <f t="shared" si="10"/>
        <v>1</v>
      </c>
      <c r="Q17" s="227">
        <f>$D17*P17*_xlfn.XLOOKUP($O17,'Sample Size cal and results'!$B$26:$B$27,'Sample Size cal and results'!$I$26:$I$27)</f>
        <v>218.49462159417982</v>
      </c>
      <c r="R17" s="330"/>
      <c r="S17" s="99" t="s">
        <v>51</v>
      </c>
      <c r="T17" s="6">
        <f t="shared" si="11"/>
        <v>0</v>
      </c>
      <c r="U17" s="6">
        <f t="shared" si="11"/>
        <v>3744</v>
      </c>
      <c r="V17" s="168">
        <f t="shared" si="14"/>
        <v>3082</v>
      </c>
      <c r="W17" s="7">
        <f t="shared" si="12"/>
        <v>0</v>
      </c>
      <c r="X17" s="7">
        <f t="shared" si="12"/>
        <v>3744</v>
      </c>
      <c r="Y17" s="281">
        <f t="shared" si="13"/>
        <v>1600</v>
      </c>
      <c r="Z17" s="329"/>
      <c r="AE17" s="101" t="s">
        <v>54</v>
      </c>
      <c r="AF17" s="102">
        <v>41969</v>
      </c>
    </row>
    <row r="18" spans="1:32" ht="12.75">
      <c r="A18" s="99" t="s">
        <v>73</v>
      </c>
      <c r="B18" s="100">
        <v>42171</v>
      </c>
      <c r="C18" s="100">
        <f t="shared" si="0"/>
        <v>44727</v>
      </c>
      <c r="D18" s="209">
        <v>280</v>
      </c>
      <c r="E18" s="217">
        <f t="shared" si="1"/>
        <v>4.7</v>
      </c>
      <c r="F18" s="218">
        <f t="shared" si="2"/>
        <v>5.7</v>
      </c>
      <c r="G18" s="219">
        <f t="shared" si="3"/>
        <v>5.7</v>
      </c>
      <c r="H18" s="220">
        <f t="shared" si="4"/>
        <v>6.7</v>
      </c>
      <c r="I18" s="257" t="str">
        <f t="shared" si="5"/>
        <v>5-6 years</v>
      </c>
      <c r="J18" s="211">
        <f t="shared" si="6"/>
        <v>0.83835616438356164</v>
      </c>
      <c r="K18" s="258">
        <f>$D18*J18*_xlfn.XLOOKUP($I18,'Sample Size cal and results'!$B$24:$B$25,'Sample Size cal and results'!$H$24:$H$25)</f>
        <v>217.86085637558327</v>
      </c>
      <c r="L18" s="211">
        <f t="shared" si="7"/>
        <v>0.16164383561643836</v>
      </c>
      <c r="M18" s="211">
        <f>$D18*L18*_xlfn.XLOOKUP($I18,'Sample Size cal and results'!$B$24:$B$25,'Sample Size cal and results'!$I$24:$I$25)</f>
        <v>43.098434394258561</v>
      </c>
      <c r="N18" s="214">
        <f t="shared" si="8"/>
        <v>260.9592907698418</v>
      </c>
      <c r="O18" s="225" t="str">
        <f t="shared" si="9"/>
        <v>6-7 years</v>
      </c>
      <c r="P18" s="226">
        <f t="shared" si="10"/>
        <v>1</v>
      </c>
      <c r="Q18" s="227">
        <f>$D18*P18*_xlfn.XLOOKUP($O18,'Sample Size cal and results'!$B$26:$B$27,'Sample Size cal and results'!$I$26:$I$27)</f>
        <v>231.73671987261494</v>
      </c>
      <c r="R18" s="330"/>
      <c r="S18" s="99" t="s">
        <v>52</v>
      </c>
      <c r="T18" s="6">
        <f t="shared" si="11"/>
        <v>0</v>
      </c>
      <c r="U18" s="6">
        <f t="shared" si="11"/>
        <v>6266</v>
      </c>
      <c r="V18" s="168">
        <f t="shared" si="14"/>
        <v>5159</v>
      </c>
      <c r="W18" s="7">
        <f t="shared" si="12"/>
        <v>0</v>
      </c>
      <c r="X18" s="7">
        <f t="shared" si="12"/>
        <v>6266</v>
      </c>
      <c r="Y18" s="281">
        <f t="shared" si="13"/>
        <v>2843</v>
      </c>
      <c r="Z18" s="329"/>
      <c r="AA18" s="212"/>
      <c r="AE18" s="101" t="s">
        <v>55</v>
      </c>
      <c r="AF18" s="102">
        <v>41977</v>
      </c>
    </row>
    <row r="19" spans="1:32" ht="12.75">
      <c r="A19" s="99" t="s">
        <v>73</v>
      </c>
      <c r="B19" s="100">
        <v>42170</v>
      </c>
      <c r="C19" s="100">
        <f t="shared" si="0"/>
        <v>44726</v>
      </c>
      <c r="D19" s="209">
        <v>2650</v>
      </c>
      <c r="E19" s="217">
        <f t="shared" si="1"/>
        <v>4.71</v>
      </c>
      <c r="F19" s="218">
        <f t="shared" si="2"/>
        <v>5.7</v>
      </c>
      <c r="G19" s="219">
        <f t="shared" si="3"/>
        <v>5.71</v>
      </c>
      <c r="H19" s="220">
        <f t="shared" si="4"/>
        <v>6.7</v>
      </c>
      <c r="I19" s="257" t="str">
        <f t="shared" si="5"/>
        <v>5-6 years</v>
      </c>
      <c r="J19" s="211">
        <f t="shared" si="6"/>
        <v>0.83835616438356164</v>
      </c>
      <c r="K19" s="258">
        <f>$D19*J19*_xlfn.XLOOKUP($I19,'Sample Size cal and results'!$B$24:$B$25,'Sample Size cal and results'!$H$24:$H$25)</f>
        <v>2061.8973906974843</v>
      </c>
      <c r="L19" s="211">
        <f t="shared" si="7"/>
        <v>0.16164383561643836</v>
      </c>
      <c r="M19" s="211">
        <f>$D19*L19*_xlfn.XLOOKUP($I19,'Sample Size cal and results'!$B$24:$B$25,'Sample Size cal and results'!$I$24:$I$25)</f>
        <v>407.89589694566138</v>
      </c>
      <c r="N19" s="214">
        <f t="shared" si="8"/>
        <v>2469.7932876431455</v>
      </c>
      <c r="O19" s="225" t="str">
        <f t="shared" si="9"/>
        <v>6-7 years</v>
      </c>
      <c r="P19" s="226">
        <f t="shared" si="10"/>
        <v>1</v>
      </c>
      <c r="Q19" s="227">
        <f>$D19*P19*_xlfn.XLOOKUP($O19,'Sample Size cal and results'!$B$26:$B$27,'Sample Size cal and results'!$I$26:$I$27)</f>
        <v>2193.22252736582</v>
      </c>
      <c r="R19" s="330"/>
      <c r="S19" s="99" t="s">
        <v>53</v>
      </c>
      <c r="T19" s="6">
        <f t="shared" si="11"/>
        <v>0</v>
      </c>
      <c r="U19" s="6">
        <f t="shared" si="11"/>
        <v>3882</v>
      </c>
      <c r="V19" s="168">
        <f t="shared" si="14"/>
        <v>3196</v>
      </c>
      <c r="W19" s="7">
        <f t="shared" si="12"/>
        <v>0</v>
      </c>
      <c r="X19" s="7">
        <f t="shared" si="12"/>
        <v>3882</v>
      </c>
      <c r="Y19" s="281">
        <f t="shared" si="13"/>
        <v>1825</v>
      </c>
      <c r="Z19" s="329"/>
      <c r="AE19" s="101" t="s">
        <v>56</v>
      </c>
      <c r="AF19" s="102">
        <v>41988</v>
      </c>
    </row>
    <row r="20" spans="1:32" ht="12.75">
      <c r="A20" s="99" t="s">
        <v>73</v>
      </c>
      <c r="B20" s="100">
        <v>42169</v>
      </c>
      <c r="C20" s="100">
        <f t="shared" si="0"/>
        <v>44725</v>
      </c>
      <c r="D20" s="209">
        <v>256</v>
      </c>
      <c r="E20" s="217">
        <f t="shared" si="1"/>
        <v>4.71</v>
      </c>
      <c r="F20" s="218">
        <f t="shared" si="2"/>
        <v>5.71</v>
      </c>
      <c r="G20" s="219">
        <f t="shared" si="3"/>
        <v>5.71</v>
      </c>
      <c r="H20" s="220">
        <f t="shared" si="4"/>
        <v>6.71</v>
      </c>
      <c r="I20" s="257" t="str">
        <f t="shared" si="5"/>
        <v>5-6 years</v>
      </c>
      <c r="J20" s="211">
        <f t="shared" si="6"/>
        <v>0.83835616438356164</v>
      </c>
      <c r="K20" s="258">
        <f>$D20*J20*_xlfn.XLOOKUP($I20,'Sample Size cal and results'!$B$24:$B$25,'Sample Size cal and results'!$H$24:$H$25)</f>
        <v>199.18706868624756</v>
      </c>
      <c r="L20" s="211">
        <f t="shared" si="7"/>
        <v>0.16164383561643836</v>
      </c>
      <c r="M20" s="211">
        <f>$D20*L20*_xlfn.XLOOKUP($I20,'Sample Size cal and results'!$B$24:$B$25,'Sample Size cal and results'!$I$24:$I$25)</f>
        <v>39.404282874750685</v>
      </c>
      <c r="N20" s="214">
        <f t="shared" si="8"/>
        <v>238.59135156099825</v>
      </c>
      <c r="O20" s="225" t="str">
        <f t="shared" si="9"/>
        <v>6-7 years</v>
      </c>
      <c r="P20" s="226">
        <f t="shared" si="10"/>
        <v>1</v>
      </c>
      <c r="Q20" s="227">
        <f>$D20*P20*_xlfn.XLOOKUP($O20,'Sample Size cal and results'!$B$26:$B$27,'Sample Size cal and results'!$I$26:$I$27)</f>
        <v>211.87357245496224</v>
      </c>
      <c r="R20" s="330"/>
      <c r="S20" s="99" t="s">
        <v>54</v>
      </c>
      <c r="T20" s="6">
        <f t="shared" si="11"/>
        <v>0</v>
      </c>
      <c r="U20" s="6">
        <f t="shared" si="11"/>
        <v>3082</v>
      </c>
      <c r="V20" s="168">
        <f t="shared" si="14"/>
        <v>2537</v>
      </c>
      <c r="W20" s="7">
        <f t="shared" si="12"/>
        <v>0</v>
      </c>
      <c r="X20" s="7">
        <f t="shared" si="12"/>
        <v>3082</v>
      </c>
      <c r="Y20" s="281">
        <f t="shared" si="13"/>
        <v>1497</v>
      </c>
      <c r="Z20" s="329"/>
      <c r="AE20" s="101" t="s">
        <v>57</v>
      </c>
      <c r="AF20" s="102">
        <v>41992</v>
      </c>
    </row>
    <row r="21" spans="1:32" ht="12.75">
      <c r="A21" s="99" t="s">
        <v>73</v>
      </c>
      <c r="B21" s="100">
        <v>42168</v>
      </c>
      <c r="C21" s="100">
        <f t="shared" si="0"/>
        <v>44724</v>
      </c>
      <c r="D21" s="209">
        <v>276</v>
      </c>
      <c r="E21" s="217">
        <f t="shared" si="1"/>
        <v>4.71</v>
      </c>
      <c r="F21" s="218">
        <f t="shared" si="2"/>
        <v>5.71</v>
      </c>
      <c r="G21" s="219">
        <f t="shared" si="3"/>
        <v>5.71</v>
      </c>
      <c r="H21" s="220">
        <f t="shared" si="4"/>
        <v>6.71</v>
      </c>
      <c r="I21" s="257" t="str">
        <f t="shared" si="5"/>
        <v>5-6 years</v>
      </c>
      <c r="J21" s="211">
        <f t="shared" si="6"/>
        <v>0.83835616438356164</v>
      </c>
      <c r="K21" s="258">
        <f>$D21*J21*_xlfn.XLOOKUP($I21,'Sample Size cal and results'!$B$24:$B$25,'Sample Size cal and results'!$H$24:$H$25)</f>
        <v>214.74855842736065</v>
      </c>
      <c r="L21" s="211">
        <f t="shared" si="7"/>
        <v>0.16164383561643836</v>
      </c>
      <c r="M21" s="211">
        <f>$D21*L21*_xlfn.XLOOKUP($I21,'Sample Size cal and results'!$B$24:$B$25,'Sample Size cal and results'!$I$24:$I$25)</f>
        <v>42.482742474340583</v>
      </c>
      <c r="N21" s="214">
        <f t="shared" si="8"/>
        <v>257.23130090170122</v>
      </c>
      <c r="O21" s="225" t="str">
        <f t="shared" si="9"/>
        <v>6-7 years</v>
      </c>
      <c r="P21" s="226">
        <f t="shared" si="10"/>
        <v>1</v>
      </c>
      <c r="Q21" s="227">
        <f>$D21*P21*_xlfn.XLOOKUP($O21,'Sample Size cal and results'!$B$26:$B$27,'Sample Size cal and results'!$I$26:$I$27)</f>
        <v>228.42619530300618</v>
      </c>
      <c r="R21" s="330"/>
      <c r="S21" s="99" t="s">
        <v>55</v>
      </c>
      <c r="T21" s="6">
        <f t="shared" si="11"/>
        <v>0</v>
      </c>
      <c r="U21" s="6">
        <f t="shared" si="11"/>
        <v>4705</v>
      </c>
      <c r="V21" s="168">
        <f t="shared" si="14"/>
        <v>3873</v>
      </c>
      <c r="W21" s="7">
        <f t="shared" si="12"/>
        <v>0</v>
      </c>
      <c r="X21" s="7">
        <f t="shared" si="12"/>
        <v>4705</v>
      </c>
      <c r="Y21" s="281">
        <f t="shared" si="13"/>
        <v>2397</v>
      </c>
      <c r="Z21" s="329"/>
      <c r="AE21" s="101" t="s">
        <v>58</v>
      </c>
      <c r="AF21" s="102">
        <v>42001</v>
      </c>
    </row>
    <row r="22" spans="1:32" ht="12.75">
      <c r="A22" s="99" t="s">
        <v>73</v>
      </c>
      <c r="B22" s="100">
        <v>42167</v>
      </c>
      <c r="C22" s="100">
        <f t="shared" si="0"/>
        <v>44723</v>
      </c>
      <c r="D22" s="209">
        <v>319</v>
      </c>
      <c r="E22" s="217">
        <f t="shared" si="1"/>
        <v>4.71</v>
      </c>
      <c r="F22" s="218">
        <f t="shared" si="2"/>
        <v>5.71</v>
      </c>
      <c r="G22" s="219">
        <f t="shared" si="3"/>
        <v>5.71</v>
      </c>
      <c r="H22" s="220">
        <f t="shared" si="4"/>
        <v>6.71</v>
      </c>
      <c r="I22" s="257" t="str">
        <f t="shared" si="5"/>
        <v>5-6 years</v>
      </c>
      <c r="J22" s="211">
        <f t="shared" si="6"/>
        <v>0.83835616438356164</v>
      </c>
      <c r="K22" s="258">
        <f>$D22*J22*_xlfn.XLOOKUP($I22,'Sample Size cal and results'!$B$24:$B$25,'Sample Size cal and results'!$H$24:$H$25)</f>
        <v>248.20576137075381</v>
      </c>
      <c r="L22" s="211">
        <f t="shared" si="7"/>
        <v>0.16164383561643836</v>
      </c>
      <c r="M22" s="211">
        <f>$D22*L22*_xlfn.XLOOKUP($I22,'Sample Size cal and results'!$B$24:$B$25,'Sample Size cal and results'!$I$24:$I$25)</f>
        <v>49.101430613458859</v>
      </c>
      <c r="N22" s="214">
        <f t="shared" si="8"/>
        <v>297.30719198421264</v>
      </c>
      <c r="O22" s="225" t="str">
        <f t="shared" si="9"/>
        <v>6-7 years</v>
      </c>
      <c r="P22" s="226">
        <f t="shared" si="10"/>
        <v>1</v>
      </c>
      <c r="Q22" s="227">
        <f>$D22*P22*_xlfn.XLOOKUP($O22,'Sample Size cal and results'!$B$26:$B$27,'Sample Size cal and results'!$I$26:$I$27)</f>
        <v>264.01433442630059</v>
      </c>
      <c r="R22" s="330"/>
      <c r="S22" s="99" t="s">
        <v>56</v>
      </c>
      <c r="T22" s="6">
        <f t="shared" si="11"/>
        <v>0</v>
      </c>
      <c r="U22" s="6">
        <f t="shared" si="11"/>
        <v>2843</v>
      </c>
      <c r="V22" s="168">
        <f t="shared" si="14"/>
        <v>2340</v>
      </c>
      <c r="W22" s="7">
        <f t="shared" si="12"/>
        <v>0</v>
      </c>
      <c r="X22" s="7">
        <f t="shared" si="12"/>
        <v>2843</v>
      </c>
      <c r="Y22" s="281">
        <f t="shared" si="13"/>
        <v>1472</v>
      </c>
      <c r="Z22" s="329"/>
      <c r="AE22" s="101" t="s">
        <v>59</v>
      </c>
      <c r="AF22" s="104">
        <v>42011</v>
      </c>
    </row>
    <row r="23" spans="1:32" ht="12.75">
      <c r="A23" s="99" t="s">
        <v>73</v>
      </c>
      <c r="B23" s="100">
        <v>42166</v>
      </c>
      <c r="C23" s="100">
        <f t="shared" si="0"/>
        <v>44722</v>
      </c>
      <c r="D23" s="209">
        <v>238</v>
      </c>
      <c r="E23" s="217">
        <f t="shared" si="1"/>
        <v>4.72</v>
      </c>
      <c r="F23" s="218">
        <f t="shared" si="2"/>
        <v>5.71</v>
      </c>
      <c r="G23" s="219">
        <f t="shared" si="3"/>
        <v>5.72</v>
      </c>
      <c r="H23" s="220">
        <f t="shared" si="4"/>
        <v>6.71</v>
      </c>
      <c r="I23" s="257" t="str">
        <f t="shared" si="5"/>
        <v>5-6 years</v>
      </c>
      <c r="J23" s="211">
        <f t="shared" si="6"/>
        <v>0.83835616438356164</v>
      </c>
      <c r="K23" s="258">
        <f>$D23*J23*_xlfn.XLOOKUP($I23,'Sample Size cal and results'!$B$24:$B$25,'Sample Size cal and results'!$H$24:$H$25)</f>
        <v>185.18172791924576</v>
      </c>
      <c r="L23" s="211">
        <f t="shared" si="7"/>
        <v>0.16164383561643836</v>
      </c>
      <c r="M23" s="211">
        <f>$D23*L23*_xlfn.XLOOKUP($I23,'Sample Size cal and results'!$B$24:$B$25,'Sample Size cal and results'!$I$24:$I$25)</f>
        <v>36.633669235119775</v>
      </c>
      <c r="N23" s="214">
        <f t="shared" si="8"/>
        <v>221.81539715436554</v>
      </c>
      <c r="O23" s="225" t="str">
        <f t="shared" si="9"/>
        <v>6-7 years</v>
      </c>
      <c r="P23" s="226">
        <f t="shared" si="10"/>
        <v>1</v>
      </c>
      <c r="Q23" s="227">
        <f>$D23*P23*_xlfn.XLOOKUP($O23,'Sample Size cal and results'!$B$26:$B$27,'Sample Size cal and results'!$I$26:$I$27)</f>
        <v>196.9762118917227</v>
      </c>
      <c r="R23" s="330"/>
      <c r="S23" s="99" t="s">
        <v>57</v>
      </c>
      <c r="T23" s="6">
        <f t="shared" si="11"/>
        <v>0</v>
      </c>
      <c r="U23" s="6">
        <f t="shared" si="11"/>
        <v>4330</v>
      </c>
      <c r="V23" s="168">
        <f t="shared" si="14"/>
        <v>3565</v>
      </c>
      <c r="W23" s="7">
        <f t="shared" si="12"/>
        <v>0</v>
      </c>
      <c r="X23" s="7">
        <f t="shared" si="12"/>
        <v>4330</v>
      </c>
      <c r="Y23" s="281">
        <f t="shared" si="13"/>
        <v>2307</v>
      </c>
      <c r="Z23" s="329"/>
      <c r="AE23" s="101" t="s">
        <v>60</v>
      </c>
      <c r="AF23" s="104">
        <v>42019</v>
      </c>
    </row>
    <row r="24" spans="1:32" ht="12.75">
      <c r="A24" s="99" t="s">
        <v>73</v>
      </c>
      <c r="B24" s="100">
        <v>42165</v>
      </c>
      <c r="C24" s="100">
        <f t="shared" si="0"/>
        <v>44721</v>
      </c>
      <c r="D24" s="209">
        <v>323</v>
      </c>
      <c r="E24" s="217">
        <f t="shared" si="1"/>
        <v>4.72</v>
      </c>
      <c r="F24" s="218">
        <f t="shared" si="2"/>
        <v>5.72</v>
      </c>
      <c r="G24" s="219">
        <f t="shared" si="3"/>
        <v>5.72</v>
      </c>
      <c r="H24" s="220">
        <f t="shared" si="4"/>
        <v>6.72</v>
      </c>
      <c r="I24" s="257" t="str">
        <f t="shared" si="5"/>
        <v>5-6 years</v>
      </c>
      <c r="J24" s="211">
        <f t="shared" si="6"/>
        <v>0.83835616438356164</v>
      </c>
      <c r="K24" s="258">
        <f>$D24*J24*_xlfn.XLOOKUP($I24,'Sample Size cal and results'!$B$24:$B$25,'Sample Size cal and results'!$H$24:$H$25)</f>
        <v>251.3180593189764</v>
      </c>
      <c r="L24" s="211">
        <f t="shared" si="7"/>
        <v>0.16164383561643836</v>
      </c>
      <c r="M24" s="211">
        <f>$D24*L24*_xlfn.XLOOKUP($I24,'Sample Size cal and results'!$B$24:$B$25,'Sample Size cal and results'!$I$24:$I$25)</f>
        <v>49.717122533376838</v>
      </c>
      <c r="N24" s="214">
        <f t="shared" si="8"/>
        <v>301.03518185235322</v>
      </c>
      <c r="O24" s="225" t="str">
        <f t="shared" si="9"/>
        <v>6-7 years</v>
      </c>
      <c r="P24" s="226">
        <f t="shared" si="10"/>
        <v>1</v>
      </c>
      <c r="Q24" s="227">
        <f>$D24*P24*_xlfn.XLOOKUP($O24,'Sample Size cal and results'!$B$26:$B$27,'Sample Size cal and results'!$I$26:$I$27)</f>
        <v>267.32485899590938</v>
      </c>
      <c r="R24" s="330"/>
      <c r="S24" s="99" t="s">
        <v>58</v>
      </c>
      <c r="T24" s="6">
        <f t="shared" si="11"/>
        <v>0</v>
      </c>
      <c r="U24" s="6">
        <f t="shared" si="11"/>
        <v>3801</v>
      </c>
      <c r="V24" s="168">
        <f t="shared" si="14"/>
        <v>3129</v>
      </c>
      <c r="W24" s="7">
        <f t="shared" si="12"/>
        <v>0</v>
      </c>
      <c r="X24" s="7">
        <f t="shared" si="12"/>
        <v>3801</v>
      </c>
      <c r="Y24" s="281">
        <f t="shared" si="13"/>
        <v>2066</v>
      </c>
      <c r="Z24" s="329"/>
      <c r="AE24" s="101" t="s">
        <v>61</v>
      </c>
      <c r="AF24" s="104">
        <v>42028</v>
      </c>
    </row>
    <row r="25" spans="1:32" ht="12.75">
      <c r="A25" s="99" t="s">
        <v>73</v>
      </c>
      <c r="B25" s="100">
        <v>42164</v>
      </c>
      <c r="C25" s="100">
        <f t="shared" si="0"/>
        <v>44720</v>
      </c>
      <c r="D25" s="209">
        <v>215</v>
      </c>
      <c r="E25" s="217">
        <f t="shared" si="1"/>
        <v>4.72</v>
      </c>
      <c r="F25" s="218">
        <f t="shared" si="2"/>
        <v>5.72</v>
      </c>
      <c r="G25" s="219">
        <f t="shared" si="3"/>
        <v>5.72</v>
      </c>
      <c r="H25" s="220">
        <f t="shared" si="4"/>
        <v>6.72</v>
      </c>
      <c r="I25" s="257" t="str">
        <f t="shared" si="5"/>
        <v>5-6 years</v>
      </c>
      <c r="J25" s="211">
        <f t="shared" si="6"/>
        <v>0.83835616438356164</v>
      </c>
      <c r="K25" s="258">
        <f>$D25*J25*_xlfn.XLOOKUP($I25,'Sample Size cal and results'!$B$24:$B$25,'Sample Size cal and results'!$H$24:$H$25)</f>
        <v>167.2860147169657</v>
      </c>
      <c r="L25" s="211">
        <f t="shared" si="7"/>
        <v>0.16164383561643836</v>
      </c>
      <c r="M25" s="211">
        <f>$D25*L25*_xlfn.XLOOKUP($I25,'Sample Size cal and results'!$B$24:$B$25,'Sample Size cal and results'!$I$24:$I$25)</f>
        <v>33.093440695591397</v>
      </c>
      <c r="N25" s="214">
        <f t="shared" si="8"/>
        <v>200.37945541255709</v>
      </c>
      <c r="O25" s="225" t="str">
        <f t="shared" si="9"/>
        <v>6-7 years</v>
      </c>
      <c r="P25" s="226">
        <f t="shared" si="10"/>
        <v>1</v>
      </c>
      <c r="Q25" s="227">
        <f>$D25*P25*_xlfn.XLOOKUP($O25,'Sample Size cal and results'!$B$26:$B$27,'Sample Size cal and results'!$I$26:$I$27)</f>
        <v>177.9406956164722</v>
      </c>
      <c r="R25" s="330"/>
      <c r="S25" s="99" t="s">
        <v>59</v>
      </c>
      <c r="T25" s="6">
        <f t="shared" ref="T25:U40" si="15">SUMIFS($D$3:$D$904,$A$3:$A$904,$S25,$I$3:$I$904,T$4)</f>
        <v>0</v>
      </c>
      <c r="U25" s="6">
        <f t="shared" si="15"/>
        <v>7622</v>
      </c>
      <c r="V25" s="168">
        <f t="shared" si="14"/>
        <v>6275</v>
      </c>
      <c r="W25" s="7">
        <f t="shared" ref="W25:X40" si="16">SUMIFS($D$3:$D$904,$A$3:$A$904,$S25,$O$3:$O$904,W$4)</f>
        <v>0</v>
      </c>
      <c r="X25" s="7">
        <f t="shared" si="16"/>
        <v>7622</v>
      </c>
      <c r="Y25" s="281">
        <f t="shared" si="13"/>
        <v>4304</v>
      </c>
      <c r="Z25" s="329"/>
      <c r="AE25" s="101" t="s">
        <v>62</v>
      </c>
      <c r="AF25" s="104">
        <v>42049</v>
      </c>
    </row>
    <row r="26" spans="1:32" ht="12.75">
      <c r="A26" s="99" t="s">
        <v>73</v>
      </c>
      <c r="B26" s="100">
        <v>42163</v>
      </c>
      <c r="C26" s="100">
        <f t="shared" si="0"/>
        <v>44719</v>
      </c>
      <c r="D26" s="209">
        <v>232</v>
      </c>
      <c r="E26" s="217">
        <f t="shared" si="1"/>
        <v>4.72</v>
      </c>
      <c r="F26" s="218">
        <f t="shared" si="2"/>
        <v>5.72</v>
      </c>
      <c r="G26" s="219">
        <f t="shared" si="3"/>
        <v>5.72</v>
      </c>
      <c r="H26" s="220">
        <f t="shared" si="4"/>
        <v>6.72</v>
      </c>
      <c r="I26" s="257" t="str">
        <f t="shared" si="5"/>
        <v>5-6 years</v>
      </c>
      <c r="J26" s="211">
        <f t="shared" si="6"/>
        <v>0.83835616438356164</v>
      </c>
      <c r="K26" s="258">
        <f>$D26*J26*_xlfn.XLOOKUP($I26,'Sample Size cal and results'!$B$24:$B$25,'Sample Size cal and results'!$H$24:$H$25)</f>
        <v>180.51328099691182</v>
      </c>
      <c r="L26" s="211">
        <f t="shared" si="7"/>
        <v>0.16164383561643836</v>
      </c>
      <c r="M26" s="211">
        <f>$D26*L26*_xlfn.XLOOKUP($I26,'Sample Size cal and results'!$B$24:$B$25,'Sample Size cal and results'!$I$24:$I$25)</f>
        <v>35.710131355242808</v>
      </c>
      <c r="N26" s="214">
        <f t="shared" si="8"/>
        <v>216.22341235215464</v>
      </c>
      <c r="O26" s="225" t="str">
        <f t="shared" si="9"/>
        <v>6-7 years</v>
      </c>
      <c r="P26" s="226">
        <f t="shared" si="10"/>
        <v>1</v>
      </c>
      <c r="Q26" s="227">
        <f>$D26*P26*_xlfn.XLOOKUP($O26,'Sample Size cal and results'!$B$26:$B$27,'Sample Size cal and results'!$I$26:$I$27)</f>
        <v>192.01042503730955</v>
      </c>
      <c r="R26" s="330"/>
      <c r="S26" s="99" t="s">
        <v>60</v>
      </c>
      <c r="T26" s="6">
        <f t="shared" si="15"/>
        <v>0</v>
      </c>
      <c r="U26" s="6">
        <f t="shared" si="15"/>
        <v>5332</v>
      </c>
      <c r="V26" s="168">
        <f t="shared" si="14"/>
        <v>4390</v>
      </c>
      <c r="W26" s="7">
        <f t="shared" si="16"/>
        <v>0</v>
      </c>
      <c r="X26" s="7">
        <f t="shared" si="16"/>
        <v>5332</v>
      </c>
      <c r="Y26" s="281">
        <f t="shared" si="13"/>
        <v>3078</v>
      </c>
      <c r="Z26" s="329"/>
      <c r="AE26" s="101" t="s">
        <v>63</v>
      </c>
      <c r="AF26" s="104">
        <v>42056</v>
      </c>
    </row>
    <row r="27" spans="1:32" ht="12.75">
      <c r="A27" s="99" t="s">
        <v>73</v>
      </c>
      <c r="B27" s="100">
        <v>42162</v>
      </c>
      <c r="C27" s="100">
        <f t="shared" si="0"/>
        <v>44718</v>
      </c>
      <c r="D27" s="209">
        <v>224</v>
      </c>
      <c r="E27" s="217">
        <f t="shared" si="1"/>
        <v>4.7300000000000004</v>
      </c>
      <c r="F27" s="218">
        <f t="shared" si="2"/>
        <v>5.72</v>
      </c>
      <c r="G27" s="219">
        <f t="shared" si="3"/>
        <v>5.73</v>
      </c>
      <c r="H27" s="220">
        <f t="shared" si="4"/>
        <v>6.72</v>
      </c>
      <c r="I27" s="257" t="str">
        <f t="shared" si="5"/>
        <v>5-6 years</v>
      </c>
      <c r="J27" s="211">
        <f t="shared" si="6"/>
        <v>0.83835616438356164</v>
      </c>
      <c r="K27" s="258">
        <f>$D27*J27*_xlfn.XLOOKUP($I27,'Sample Size cal and results'!$B$24:$B$25,'Sample Size cal and results'!$H$24:$H$25)</f>
        <v>174.28868510046658</v>
      </c>
      <c r="L27" s="211">
        <f t="shared" si="7"/>
        <v>0.16164383561643836</v>
      </c>
      <c r="M27" s="211">
        <f>$D27*L27*_xlfn.XLOOKUP($I27,'Sample Size cal and results'!$B$24:$B$25,'Sample Size cal and results'!$I$24:$I$25)</f>
        <v>34.478747515406845</v>
      </c>
      <c r="N27" s="214">
        <f t="shared" si="8"/>
        <v>208.76743261587342</v>
      </c>
      <c r="O27" s="225" t="str">
        <f t="shared" si="9"/>
        <v>6-7 years</v>
      </c>
      <c r="P27" s="226">
        <f t="shared" si="10"/>
        <v>1</v>
      </c>
      <c r="Q27" s="227">
        <f>$D27*P27*_xlfn.XLOOKUP($O27,'Sample Size cal and results'!$B$26:$B$27,'Sample Size cal and results'!$I$26:$I$27)</f>
        <v>185.38937589809197</v>
      </c>
      <c r="R27" s="330"/>
      <c r="S27" s="99" t="s">
        <v>61</v>
      </c>
      <c r="T27" s="6">
        <f t="shared" si="15"/>
        <v>0</v>
      </c>
      <c r="U27" s="6">
        <f t="shared" si="15"/>
        <v>5799</v>
      </c>
      <c r="V27" s="168">
        <f t="shared" si="14"/>
        <v>4774</v>
      </c>
      <c r="W27" s="7">
        <f t="shared" si="16"/>
        <v>0</v>
      </c>
      <c r="X27" s="7">
        <f t="shared" si="16"/>
        <v>5799</v>
      </c>
      <c r="Y27" s="281">
        <f t="shared" si="13"/>
        <v>3500</v>
      </c>
      <c r="Z27" s="329"/>
      <c r="AE27" s="101" t="s">
        <v>64</v>
      </c>
      <c r="AF27" s="104">
        <v>42056</v>
      </c>
    </row>
    <row r="28" spans="1:32" ht="12.75">
      <c r="A28" s="99" t="s">
        <v>73</v>
      </c>
      <c r="B28" s="100">
        <v>42161</v>
      </c>
      <c r="C28" s="100">
        <f t="shared" si="0"/>
        <v>44717</v>
      </c>
      <c r="D28" s="209">
        <v>232</v>
      </c>
      <c r="E28" s="217">
        <f t="shared" si="1"/>
        <v>4.7300000000000004</v>
      </c>
      <c r="F28" s="218">
        <f t="shared" si="2"/>
        <v>5.73</v>
      </c>
      <c r="G28" s="219">
        <f t="shared" si="3"/>
        <v>5.73</v>
      </c>
      <c r="H28" s="220">
        <f t="shared" si="4"/>
        <v>6.73</v>
      </c>
      <c r="I28" s="257" t="str">
        <f t="shared" si="5"/>
        <v>5-6 years</v>
      </c>
      <c r="J28" s="211">
        <f t="shared" si="6"/>
        <v>0.83835616438356164</v>
      </c>
      <c r="K28" s="258">
        <f>$D28*J28*_xlfn.XLOOKUP($I28,'Sample Size cal and results'!$B$24:$B$25,'Sample Size cal and results'!$H$24:$H$25)</f>
        <v>180.51328099691182</v>
      </c>
      <c r="L28" s="211">
        <f t="shared" si="7"/>
        <v>0.16164383561643836</v>
      </c>
      <c r="M28" s="211">
        <f>$D28*L28*_xlfn.XLOOKUP($I28,'Sample Size cal and results'!$B$24:$B$25,'Sample Size cal and results'!$I$24:$I$25)</f>
        <v>35.710131355242808</v>
      </c>
      <c r="N28" s="214">
        <f t="shared" si="8"/>
        <v>216.22341235215464</v>
      </c>
      <c r="O28" s="225" t="str">
        <f t="shared" si="9"/>
        <v>6-7 years</v>
      </c>
      <c r="P28" s="226">
        <f t="shared" si="10"/>
        <v>1</v>
      </c>
      <c r="Q28" s="227">
        <f>$D28*P28*_xlfn.XLOOKUP($O28,'Sample Size cal and results'!$B$26:$B$27,'Sample Size cal and results'!$I$26:$I$27)</f>
        <v>192.01042503730955</v>
      </c>
      <c r="R28" s="330"/>
      <c r="S28" s="99" t="s">
        <v>62</v>
      </c>
      <c r="T28" s="6">
        <f t="shared" si="15"/>
        <v>0</v>
      </c>
      <c r="U28" s="6">
        <f t="shared" si="15"/>
        <v>4793</v>
      </c>
      <c r="V28" s="168">
        <f t="shared" si="14"/>
        <v>3946</v>
      </c>
      <c r="W28" s="7">
        <f t="shared" si="16"/>
        <v>0</v>
      </c>
      <c r="X28" s="7">
        <f t="shared" si="16"/>
        <v>4793</v>
      </c>
      <c r="Y28" s="281">
        <f t="shared" si="13"/>
        <v>3011</v>
      </c>
      <c r="Z28" s="329"/>
      <c r="AE28" s="101" t="s">
        <v>65</v>
      </c>
      <c r="AF28" s="104">
        <v>42078</v>
      </c>
    </row>
    <row r="29" spans="1:32" ht="12.75">
      <c r="A29" s="99" t="s">
        <v>73</v>
      </c>
      <c r="B29" s="100">
        <v>42160</v>
      </c>
      <c r="C29" s="100">
        <f t="shared" si="0"/>
        <v>44716</v>
      </c>
      <c r="D29" s="209">
        <v>259</v>
      </c>
      <c r="E29" s="217">
        <f t="shared" si="1"/>
        <v>4.7300000000000004</v>
      </c>
      <c r="F29" s="218">
        <f t="shared" si="2"/>
        <v>5.73</v>
      </c>
      <c r="G29" s="219">
        <f t="shared" si="3"/>
        <v>5.73</v>
      </c>
      <c r="H29" s="220">
        <f t="shared" si="4"/>
        <v>6.73</v>
      </c>
      <c r="I29" s="257" t="str">
        <f t="shared" si="5"/>
        <v>5-6 years</v>
      </c>
      <c r="J29" s="211">
        <f t="shared" si="6"/>
        <v>0.83835616438356164</v>
      </c>
      <c r="K29" s="258">
        <f>$D29*J29*_xlfn.XLOOKUP($I29,'Sample Size cal and results'!$B$24:$B$25,'Sample Size cal and results'!$H$24:$H$25)</f>
        <v>201.52129214741453</v>
      </c>
      <c r="L29" s="211">
        <f t="shared" si="7"/>
        <v>0.16164383561643836</v>
      </c>
      <c r="M29" s="211">
        <f>$D29*L29*_xlfn.XLOOKUP($I29,'Sample Size cal and results'!$B$24:$B$25,'Sample Size cal and results'!$I$24:$I$25)</f>
        <v>39.866051814689172</v>
      </c>
      <c r="N29" s="214">
        <f t="shared" si="8"/>
        <v>241.3873439621037</v>
      </c>
      <c r="O29" s="225" t="str">
        <f t="shared" si="9"/>
        <v>6-7 years</v>
      </c>
      <c r="P29" s="226">
        <f t="shared" si="10"/>
        <v>1</v>
      </c>
      <c r="Q29" s="227">
        <f>$D29*P29*_xlfn.XLOOKUP($O29,'Sample Size cal and results'!$B$26:$B$27,'Sample Size cal and results'!$I$26:$I$27)</f>
        <v>214.35646588216883</v>
      </c>
      <c r="R29" s="330"/>
      <c r="S29" s="99" t="s">
        <v>63</v>
      </c>
      <c r="T29" s="6">
        <f t="shared" si="15"/>
        <v>0</v>
      </c>
      <c r="U29" s="6">
        <f t="shared" si="15"/>
        <v>619</v>
      </c>
      <c r="V29" s="168">
        <f t="shared" si="14"/>
        <v>509</v>
      </c>
      <c r="W29" s="7">
        <f t="shared" si="16"/>
        <v>0</v>
      </c>
      <c r="X29" s="7">
        <f t="shared" si="16"/>
        <v>619</v>
      </c>
      <c r="Y29" s="281">
        <f t="shared" si="13"/>
        <v>393</v>
      </c>
      <c r="Z29" s="329"/>
      <c r="AE29" s="101" t="s">
        <v>66</v>
      </c>
      <c r="AF29" s="104">
        <v>42078</v>
      </c>
    </row>
    <row r="30" spans="1:32" ht="12.75">
      <c r="A30" s="99" t="s">
        <v>73</v>
      </c>
      <c r="B30" s="100">
        <v>42159</v>
      </c>
      <c r="C30" s="100">
        <f t="shared" si="0"/>
        <v>44715</v>
      </c>
      <c r="D30" s="209">
        <v>174</v>
      </c>
      <c r="E30" s="217">
        <f t="shared" si="1"/>
        <v>4.74</v>
      </c>
      <c r="F30" s="218">
        <f t="shared" si="2"/>
        <v>5.73</v>
      </c>
      <c r="G30" s="219">
        <f t="shared" si="3"/>
        <v>5.74</v>
      </c>
      <c r="H30" s="220">
        <f t="shared" si="4"/>
        <v>6.73</v>
      </c>
      <c r="I30" s="257" t="str">
        <f t="shared" si="5"/>
        <v>5-6 years</v>
      </c>
      <c r="J30" s="211">
        <f t="shared" si="6"/>
        <v>0.83835616438356164</v>
      </c>
      <c r="K30" s="258">
        <f>$D30*J30*_xlfn.XLOOKUP($I30,'Sample Size cal and results'!$B$24:$B$25,'Sample Size cal and results'!$H$24:$H$25)</f>
        <v>135.38496074768386</v>
      </c>
      <c r="L30" s="211">
        <f t="shared" si="7"/>
        <v>0.16164383561643836</v>
      </c>
      <c r="M30" s="211">
        <f>$D30*L30*_xlfn.XLOOKUP($I30,'Sample Size cal and results'!$B$24:$B$25,'Sample Size cal and results'!$I$24:$I$25)</f>
        <v>26.782598516432106</v>
      </c>
      <c r="N30" s="214">
        <f t="shared" si="8"/>
        <v>162.16755926411597</v>
      </c>
      <c r="O30" s="225" t="str">
        <f t="shared" si="9"/>
        <v>6-7 years</v>
      </c>
      <c r="P30" s="226">
        <f t="shared" si="10"/>
        <v>1</v>
      </c>
      <c r="Q30" s="227">
        <f>$D30*P30*_xlfn.XLOOKUP($O30,'Sample Size cal and results'!$B$26:$B$27,'Sample Size cal and results'!$I$26:$I$27)</f>
        <v>144.00781877798215</v>
      </c>
      <c r="R30" s="330"/>
      <c r="S30" s="99" t="s">
        <v>64</v>
      </c>
      <c r="T30" s="6">
        <f t="shared" si="15"/>
        <v>3573</v>
      </c>
      <c r="U30" s="6">
        <f t="shared" si="15"/>
        <v>2395</v>
      </c>
      <c r="V30" s="168">
        <f t="shared" si="14"/>
        <v>5301</v>
      </c>
      <c r="W30" s="7">
        <f t="shared" si="16"/>
        <v>3573</v>
      </c>
      <c r="X30" s="7">
        <f t="shared" si="16"/>
        <v>2395</v>
      </c>
      <c r="Y30" s="281">
        <f t="shared" si="13"/>
        <v>4495</v>
      </c>
      <c r="Z30" s="329"/>
      <c r="AE30" s="101" t="s">
        <v>67</v>
      </c>
      <c r="AF30" s="104">
        <v>42087</v>
      </c>
    </row>
    <row r="31" spans="1:32" ht="12.75">
      <c r="A31" s="99" t="s">
        <v>73</v>
      </c>
      <c r="B31" s="100">
        <v>42158</v>
      </c>
      <c r="C31" s="100">
        <f t="shared" si="0"/>
        <v>44714</v>
      </c>
      <c r="D31" s="209">
        <v>164</v>
      </c>
      <c r="E31" s="217">
        <f t="shared" si="1"/>
        <v>4.74</v>
      </c>
      <c r="F31" s="218">
        <f t="shared" si="2"/>
        <v>5.74</v>
      </c>
      <c r="G31" s="219">
        <f t="shared" si="3"/>
        <v>5.74</v>
      </c>
      <c r="H31" s="220">
        <f t="shared" si="4"/>
        <v>6.74</v>
      </c>
      <c r="I31" s="257" t="str">
        <f t="shared" si="5"/>
        <v>5-6 years</v>
      </c>
      <c r="J31" s="211">
        <f t="shared" si="6"/>
        <v>0.83835616438356164</v>
      </c>
      <c r="K31" s="258">
        <f>$D31*J31*_xlfn.XLOOKUP($I31,'Sample Size cal and results'!$B$24:$B$25,'Sample Size cal and results'!$H$24:$H$25)</f>
        <v>127.60421587712733</v>
      </c>
      <c r="L31" s="211">
        <f t="shared" si="7"/>
        <v>0.16164383561643836</v>
      </c>
      <c r="M31" s="211">
        <f>$D31*L31*_xlfn.XLOOKUP($I31,'Sample Size cal and results'!$B$24:$B$25,'Sample Size cal and results'!$I$24:$I$25)</f>
        <v>25.243368716637157</v>
      </c>
      <c r="N31" s="214">
        <f t="shared" si="8"/>
        <v>152.84758459376448</v>
      </c>
      <c r="O31" s="225" t="str">
        <f t="shared" si="9"/>
        <v>6-7 years</v>
      </c>
      <c r="P31" s="226">
        <f t="shared" si="10"/>
        <v>1</v>
      </c>
      <c r="Q31" s="227">
        <f>$D31*P31*_xlfn.XLOOKUP($O31,'Sample Size cal and results'!$B$26:$B$27,'Sample Size cal and results'!$I$26:$I$27)</f>
        <v>135.73150735396018</v>
      </c>
      <c r="R31" s="330"/>
      <c r="S31" s="99" t="s">
        <v>65</v>
      </c>
      <c r="T31" s="6">
        <f t="shared" si="15"/>
        <v>1642</v>
      </c>
      <c r="U31" s="6">
        <f t="shared" si="15"/>
        <v>0</v>
      </c>
      <c r="V31" s="168">
        <f t="shared" si="14"/>
        <v>1530</v>
      </c>
      <c r="W31" s="7">
        <f t="shared" si="16"/>
        <v>1642</v>
      </c>
      <c r="X31" s="7">
        <f t="shared" si="16"/>
        <v>0</v>
      </c>
      <c r="Y31" s="281">
        <f t="shared" si="13"/>
        <v>1358</v>
      </c>
      <c r="Z31" s="329"/>
      <c r="AE31" s="101" t="s">
        <v>68</v>
      </c>
      <c r="AF31" s="104">
        <v>42109</v>
      </c>
    </row>
    <row r="32" spans="1:32" ht="12.75">
      <c r="A32" s="99" t="s">
        <v>73</v>
      </c>
      <c r="B32" s="100">
        <v>42157</v>
      </c>
      <c r="C32" s="100">
        <f t="shared" si="0"/>
        <v>44713</v>
      </c>
      <c r="D32" s="209">
        <v>182</v>
      </c>
      <c r="E32" s="217">
        <f t="shared" si="1"/>
        <v>4.74</v>
      </c>
      <c r="F32" s="218">
        <f t="shared" si="2"/>
        <v>5.74</v>
      </c>
      <c r="G32" s="219">
        <f t="shared" si="3"/>
        <v>5.74</v>
      </c>
      <c r="H32" s="220">
        <f t="shared" si="4"/>
        <v>6.74</v>
      </c>
      <c r="I32" s="257" t="str">
        <f t="shared" si="5"/>
        <v>5-6 years</v>
      </c>
      <c r="J32" s="211">
        <f t="shared" si="6"/>
        <v>0.83835616438356164</v>
      </c>
      <c r="K32" s="258">
        <f>$D32*J32*_xlfn.XLOOKUP($I32,'Sample Size cal and results'!$B$24:$B$25,'Sample Size cal and results'!$H$24:$H$25)</f>
        <v>141.6095566441291</v>
      </c>
      <c r="L32" s="211">
        <f t="shared" si="7"/>
        <v>0.16164383561643836</v>
      </c>
      <c r="M32" s="211">
        <f>$D32*L32*_xlfn.XLOOKUP($I32,'Sample Size cal and results'!$B$24:$B$25,'Sample Size cal and results'!$I$24:$I$25)</f>
        <v>28.013982356268066</v>
      </c>
      <c r="N32" s="214">
        <f t="shared" si="8"/>
        <v>169.62353900039716</v>
      </c>
      <c r="O32" s="225" t="str">
        <f t="shared" si="9"/>
        <v>6-7 years</v>
      </c>
      <c r="P32" s="226">
        <f t="shared" si="10"/>
        <v>1</v>
      </c>
      <c r="Q32" s="227">
        <f>$D32*P32*_xlfn.XLOOKUP($O32,'Sample Size cal and results'!$B$26:$B$27,'Sample Size cal and results'!$I$26:$I$27)</f>
        <v>150.62886791719973</v>
      </c>
      <c r="R32" s="330"/>
      <c r="S32" s="99" t="s">
        <v>66</v>
      </c>
      <c r="T32" s="6">
        <f t="shared" si="15"/>
        <v>3966</v>
      </c>
      <c r="U32" s="6">
        <f t="shared" si="15"/>
        <v>0</v>
      </c>
      <c r="V32" s="168">
        <f t="shared" si="14"/>
        <v>3696</v>
      </c>
      <c r="W32" s="7">
        <f t="shared" si="16"/>
        <v>3966</v>
      </c>
      <c r="X32" s="7">
        <f t="shared" si="16"/>
        <v>0</v>
      </c>
      <c r="Y32" s="281">
        <f t="shared" si="13"/>
        <v>3282</v>
      </c>
      <c r="Z32" s="329"/>
      <c r="AE32" s="101" t="s">
        <v>69</v>
      </c>
      <c r="AF32" s="104">
        <v>42120</v>
      </c>
    </row>
    <row r="33" spans="1:32" ht="12.75">
      <c r="A33" s="99" t="s">
        <v>73</v>
      </c>
      <c r="B33" s="100">
        <v>42156</v>
      </c>
      <c r="C33" s="100">
        <f t="shared" si="0"/>
        <v>44712</v>
      </c>
      <c r="D33" s="209">
        <v>136</v>
      </c>
      <c r="E33" s="217">
        <f t="shared" si="1"/>
        <v>4.74</v>
      </c>
      <c r="F33" s="218">
        <f t="shared" si="2"/>
        <v>5.74</v>
      </c>
      <c r="G33" s="219">
        <f t="shared" si="3"/>
        <v>5.74</v>
      </c>
      <c r="H33" s="220">
        <f t="shared" si="4"/>
        <v>6.74</v>
      </c>
      <c r="I33" s="257" t="str">
        <f t="shared" si="5"/>
        <v>5-6 years</v>
      </c>
      <c r="J33" s="211">
        <f t="shared" si="6"/>
        <v>0.83835616438356164</v>
      </c>
      <c r="K33" s="258">
        <f>$D33*J33*_xlfn.XLOOKUP($I33,'Sample Size cal and results'!$B$24:$B$25,'Sample Size cal and results'!$H$24:$H$25)</f>
        <v>105.81813023956902</v>
      </c>
      <c r="L33" s="211">
        <f t="shared" si="7"/>
        <v>0.16164383561643836</v>
      </c>
      <c r="M33" s="211">
        <f>$D33*L33*_xlfn.XLOOKUP($I33,'Sample Size cal and results'!$B$24:$B$25,'Sample Size cal and results'!$I$24:$I$25)</f>
        <v>20.933525277211302</v>
      </c>
      <c r="N33" s="214">
        <f t="shared" si="8"/>
        <v>126.75165551678032</v>
      </c>
      <c r="O33" s="225" t="str">
        <f t="shared" si="9"/>
        <v>6-7 years</v>
      </c>
      <c r="P33" s="226">
        <f t="shared" si="10"/>
        <v>1</v>
      </c>
      <c r="Q33" s="227">
        <f>$D33*P33*_xlfn.XLOOKUP($O33,'Sample Size cal and results'!$B$26:$B$27,'Sample Size cal and results'!$I$26:$I$27)</f>
        <v>112.5578353666987</v>
      </c>
      <c r="R33" s="330"/>
      <c r="S33" s="99" t="s">
        <v>67</v>
      </c>
      <c r="T33" s="6">
        <f t="shared" si="15"/>
        <v>8834</v>
      </c>
      <c r="U33" s="6">
        <f t="shared" si="15"/>
        <v>0</v>
      </c>
      <c r="V33" s="168">
        <f t="shared" si="14"/>
        <v>8233</v>
      </c>
      <c r="W33" s="7">
        <f t="shared" si="16"/>
        <v>8834</v>
      </c>
      <c r="X33" s="7">
        <f t="shared" si="16"/>
        <v>0</v>
      </c>
      <c r="Y33" s="281">
        <f t="shared" si="13"/>
        <v>7311</v>
      </c>
      <c r="Z33" s="329"/>
      <c r="AE33" s="101" t="s">
        <v>70</v>
      </c>
      <c r="AF33" s="104">
        <v>42124</v>
      </c>
    </row>
    <row r="34" spans="1:32" ht="12.75">
      <c r="A34" s="99" t="s">
        <v>73</v>
      </c>
      <c r="B34" s="100">
        <v>42155</v>
      </c>
      <c r="C34" s="100">
        <f t="shared" si="0"/>
        <v>44711</v>
      </c>
      <c r="D34" s="209">
        <v>260</v>
      </c>
      <c r="E34" s="217">
        <f t="shared" si="1"/>
        <v>4.75</v>
      </c>
      <c r="F34" s="218">
        <f t="shared" si="2"/>
        <v>5.74</v>
      </c>
      <c r="G34" s="219">
        <f t="shared" si="3"/>
        <v>5.75</v>
      </c>
      <c r="H34" s="220">
        <f t="shared" si="4"/>
        <v>6.74</v>
      </c>
      <c r="I34" s="257" t="str">
        <f t="shared" si="5"/>
        <v>5-6 years</v>
      </c>
      <c r="J34" s="211">
        <f t="shared" si="6"/>
        <v>0.83835616438356164</v>
      </c>
      <c r="K34" s="258">
        <f>$D34*J34*_xlfn.XLOOKUP($I34,'Sample Size cal and results'!$B$24:$B$25,'Sample Size cal and results'!$H$24:$H$25)</f>
        <v>202.29936663447018</v>
      </c>
      <c r="L34" s="211">
        <f t="shared" si="7"/>
        <v>0.16164383561643836</v>
      </c>
      <c r="M34" s="211">
        <f>$D34*L34*_xlfn.XLOOKUP($I34,'Sample Size cal and results'!$B$24:$B$25,'Sample Size cal and results'!$I$24:$I$25)</f>
        <v>40.019974794668663</v>
      </c>
      <c r="N34" s="214">
        <f t="shared" si="8"/>
        <v>242.31934142913883</v>
      </c>
      <c r="O34" s="225" t="str">
        <f t="shared" si="9"/>
        <v>6-7 years</v>
      </c>
      <c r="P34" s="226">
        <f t="shared" si="10"/>
        <v>1</v>
      </c>
      <c r="Q34" s="227">
        <f>$D34*P34*_xlfn.XLOOKUP($O34,'Sample Size cal and results'!$B$26:$B$27,'Sample Size cal and results'!$I$26:$I$27)</f>
        <v>215.18409702457103</v>
      </c>
      <c r="R34" s="330"/>
      <c r="S34" s="99" t="s">
        <v>68</v>
      </c>
      <c r="T34" s="6">
        <f t="shared" si="15"/>
        <v>5211</v>
      </c>
      <c r="U34" s="6">
        <f t="shared" si="15"/>
        <v>0</v>
      </c>
      <c r="V34" s="168">
        <f t="shared" si="14"/>
        <v>4856</v>
      </c>
      <c r="W34" s="7">
        <f t="shared" si="16"/>
        <v>5211</v>
      </c>
      <c r="X34" s="7">
        <f t="shared" si="16"/>
        <v>0</v>
      </c>
      <c r="Y34" s="281">
        <f t="shared" si="13"/>
        <v>4312</v>
      </c>
      <c r="Z34" s="329"/>
      <c r="AE34" s="101" t="s">
        <v>71</v>
      </c>
      <c r="AF34" s="104">
        <v>42147</v>
      </c>
    </row>
    <row r="35" spans="1:32" ht="12.75">
      <c r="A35" s="99" t="s">
        <v>72</v>
      </c>
      <c r="B35" s="100">
        <v>42154</v>
      </c>
      <c r="C35" s="100">
        <f t="shared" si="0"/>
        <v>44710</v>
      </c>
      <c r="D35" s="209">
        <v>287</v>
      </c>
      <c r="E35" s="217">
        <f t="shared" si="1"/>
        <v>4.75</v>
      </c>
      <c r="F35" s="218">
        <f t="shared" si="2"/>
        <v>5.75</v>
      </c>
      <c r="G35" s="219">
        <f t="shared" si="3"/>
        <v>5.75</v>
      </c>
      <c r="H35" s="220">
        <f t="shared" si="4"/>
        <v>6.75</v>
      </c>
      <c r="I35" s="257" t="str">
        <f t="shared" si="5"/>
        <v>5-6 years</v>
      </c>
      <c r="J35" s="211">
        <f t="shared" si="6"/>
        <v>0.83835616438356164</v>
      </c>
      <c r="K35" s="258">
        <f>$D35*J35*_xlfn.XLOOKUP($I35,'Sample Size cal and results'!$B$24:$B$25,'Sample Size cal and results'!$H$24:$H$25)</f>
        <v>223.30737778497283</v>
      </c>
      <c r="L35" s="211">
        <f t="shared" si="7"/>
        <v>0.16164383561643836</v>
      </c>
      <c r="M35" s="211">
        <f>$D35*L35*_xlfn.XLOOKUP($I35,'Sample Size cal and results'!$B$24:$B$25,'Sample Size cal and results'!$I$24:$I$25)</f>
        <v>44.175895254115019</v>
      </c>
      <c r="N35" s="214">
        <f t="shared" si="8"/>
        <v>267.48327303908786</v>
      </c>
      <c r="O35" s="225" t="str">
        <f t="shared" si="9"/>
        <v>6-7 years</v>
      </c>
      <c r="P35" s="226">
        <f t="shared" si="10"/>
        <v>1</v>
      </c>
      <c r="Q35" s="227">
        <f>$D35*P35*_xlfn.XLOOKUP($O35,'Sample Size cal and results'!$B$26:$B$27,'Sample Size cal and results'!$I$26:$I$27)</f>
        <v>237.53013786943032</v>
      </c>
      <c r="R35" s="330"/>
      <c r="S35" s="99" t="s">
        <v>69</v>
      </c>
      <c r="T35" s="6">
        <f t="shared" si="15"/>
        <v>6449</v>
      </c>
      <c r="U35" s="6">
        <f t="shared" si="15"/>
        <v>0</v>
      </c>
      <c r="V35" s="168">
        <f t="shared" si="14"/>
        <v>6010</v>
      </c>
      <c r="W35" s="7">
        <f t="shared" si="16"/>
        <v>6449</v>
      </c>
      <c r="X35" s="7">
        <f t="shared" si="16"/>
        <v>0</v>
      </c>
      <c r="Y35" s="281">
        <f t="shared" si="13"/>
        <v>5337</v>
      </c>
      <c r="Z35" s="329"/>
      <c r="AE35" s="101" t="s">
        <v>72</v>
      </c>
      <c r="AF35" s="104">
        <v>42154</v>
      </c>
    </row>
    <row r="36" spans="1:32" ht="12.75">
      <c r="A36" s="99" t="s">
        <v>71</v>
      </c>
      <c r="B36" s="100">
        <v>42154</v>
      </c>
      <c r="C36" s="100">
        <f t="shared" si="0"/>
        <v>44710</v>
      </c>
      <c r="D36" s="209">
        <v>237</v>
      </c>
      <c r="E36" s="217">
        <f t="shared" si="1"/>
        <v>4.75</v>
      </c>
      <c r="F36" s="218">
        <f t="shared" si="2"/>
        <v>5.75</v>
      </c>
      <c r="G36" s="219">
        <f t="shared" si="3"/>
        <v>5.75</v>
      </c>
      <c r="H36" s="220">
        <f t="shared" si="4"/>
        <v>6.75</v>
      </c>
      <c r="I36" s="257" t="str">
        <f t="shared" si="5"/>
        <v>5-6 years</v>
      </c>
      <c r="J36" s="211">
        <f t="shared" si="6"/>
        <v>0.83835616438356164</v>
      </c>
      <c r="K36" s="258">
        <f>$D36*J36*_xlfn.XLOOKUP($I36,'Sample Size cal and results'!$B$24:$B$25,'Sample Size cal and results'!$H$24:$H$25)</f>
        <v>184.40365343219008</v>
      </c>
      <c r="L36" s="211">
        <f t="shared" si="7"/>
        <v>0.16164383561643836</v>
      </c>
      <c r="M36" s="211">
        <f>$D36*L36*_xlfn.XLOOKUP($I36,'Sample Size cal and results'!$B$24:$B$25,'Sample Size cal and results'!$I$24:$I$25)</f>
        <v>36.479746255140284</v>
      </c>
      <c r="N36" s="214">
        <f t="shared" si="8"/>
        <v>220.88339968733038</v>
      </c>
      <c r="O36" s="225" t="str">
        <f t="shared" si="9"/>
        <v>6-7 years</v>
      </c>
      <c r="P36" s="226">
        <f t="shared" si="10"/>
        <v>1</v>
      </c>
      <c r="Q36" s="227">
        <f>$D36*P36*_xlfn.XLOOKUP($O36,'Sample Size cal and results'!$B$26:$B$27,'Sample Size cal and results'!$I$26:$I$27)</f>
        <v>196.1485807493205</v>
      </c>
      <c r="R36" s="330"/>
      <c r="S36" s="99" t="s">
        <v>70</v>
      </c>
      <c r="T36" s="6">
        <f t="shared" si="15"/>
        <v>9038</v>
      </c>
      <c r="U36" s="6">
        <f t="shared" si="15"/>
        <v>0</v>
      </c>
      <c r="V36" s="168">
        <f t="shared" si="14"/>
        <v>8423</v>
      </c>
      <c r="W36" s="7">
        <f t="shared" si="16"/>
        <v>9038</v>
      </c>
      <c r="X36" s="7">
        <f t="shared" si="16"/>
        <v>0</v>
      </c>
      <c r="Y36" s="281">
        <f t="shared" si="13"/>
        <v>7480</v>
      </c>
      <c r="Z36" s="329"/>
      <c r="AE36" s="101" t="s">
        <v>73</v>
      </c>
      <c r="AF36" s="104">
        <v>42154</v>
      </c>
    </row>
    <row r="37" spans="1:32" ht="13.5" thickBot="1">
      <c r="A37" s="99" t="s">
        <v>73</v>
      </c>
      <c r="B37" s="100">
        <v>42154</v>
      </c>
      <c r="C37" s="100">
        <f t="shared" si="0"/>
        <v>44710</v>
      </c>
      <c r="D37" s="209">
        <v>3</v>
      </c>
      <c r="E37" s="217">
        <f t="shared" si="1"/>
        <v>4.75</v>
      </c>
      <c r="F37" s="218">
        <f t="shared" si="2"/>
        <v>5.75</v>
      </c>
      <c r="G37" s="219">
        <f t="shared" si="3"/>
        <v>5.75</v>
      </c>
      <c r="H37" s="220">
        <f t="shared" si="4"/>
        <v>6.75</v>
      </c>
      <c r="I37" s="257" t="str">
        <f t="shared" si="5"/>
        <v>5-6 years</v>
      </c>
      <c r="J37" s="211">
        <f t="shared" si="6"/>
        <v>0.83835616438356164</v>
      </c>
      <c r="K37" s="258">
        <f>$D37*J37*_xlfn.XLOOKUP($I37,'Sample Size cal and results'!$B$24:$B$25,'Sample Size cal and results'!$H$24:$H$25)</f>
        <v>2.3342234611669634</v>
      </c>
      <c r="L37" s="211">
        <f t="shared" si="7"/>
        <v>0.16164383561643836</v>
      </c>
      <c r="M37" s="211">
        <f>$D37*L37*_xlfn.XLOOKUP($I37,'Sample Size cal and results'!$B$24:$B$25,'Sample Size cal and results'!$I$24:$I$25)</f>
        <v>0.46176893993848461</v>
      </c>
      <c r="N37" s="214">
        <f t="shared" si="8"/>
        <v>2.795992401105448</v>
      </c>
      <c r="O37" s="225" t="str">
        <f t="shared" si="9"/>
        <v>6-7 years</v>
      </c>
      <c r="P37" s="226">
        <f t="shared" si="10"/>
        <v>1</v>
      </c>
      <c r="Q37" s="227">
        <f>$D37*P37*_xlfn.XLOOKUP($O37,'Sample Size cal and results'!$B$26:$B$27,'Sample Size cal and results'!$I$26:$I$27)</f>
        <v>2.482893427206589</v>
      </c>
      <c r="R37" s="330"/>
      <c r="S37" s="99" t="s">
        <v>71</v>
      </c>
      <c r="T37" s="6">
        <f t="shared" si="15"/>
        <v>2027</v>
      </c>
      <c r="U37" s="6">
        <f t="shared" si="15"/>
        <v>0</v>
      </c>
      <c r="V37" s="168">
        <f t="shared" si="14"/>
        <v>1889</v>
      </c>
      <c r="W37" s="7">
        <f t="shared" si="16"/>
        <v>2027</v>
      </c>
      <c r="X37" s="7">
        <f t="shared" si="16"/>
        <v>0</v>
      </c>
      <c r="Y37" s="281">
        <f t="shared" si="13"/>
        <v>1677</v>
      </c>
      <c r="Z37" s="329"/>
      <c r="AE37" s="105" t="s">
        <v>74</v>
      </c>
      <c r="AF37" s="106">
        <v>42178</v>
      </c>
    </row>
    <row r="38" spans="1:32" ht="12.75">
      <c r="A38" s="99" t="s">
        <v>71</v>
      </c>
      <c r="B38" s="100">
        <v>42153</v>
      </c>
      <c r="C38" s="100">
        <f t="shared" si="0"/>
        <v>44709</v>
      </c>
      <c r="D38" s="209">
        <v>355</v>
      </c>
      <c r="E38" s="217">
        <f t="shared" si="1"/>
        <v>4.75</v>
      </c>
      <c r="F38" s="218">
        <f t="shared" si="2"/>
        <v>5.75</v>
      </c>
      <c r="G38" s="219">
        <f t="shared" si="3"/>
        <v>5.75</v>
      </c>
      <c r="H38" s="220">
        <f t="shared" si="4"/>
        <v>6.75</v>
      </c>
      <c r="I38" s="257" t="str">
        <f t="shared" si="5"/>
        <v>5-6 years</v>
      </c>
      <c r="J38" s="211">
        <f t="shared" si="6"/>
        <v>0.83835616438356164</v>
      </c>
      <c r="K38" s="258">
        <f>$D38*J38*_xlfn.XLOOKUP($I38,'Sample Size cal and results'!$B$24:$B$25,'Sample Size cal and results'!$H$24:$H$25)</f>
        <v>276.21644290475734</v>
      </c>
      <c r="L38" s="211">
        <f t="shared" si="7"/>
        <v>0.16164383561643836</v>
      </c>
      <c r="M38" s="211">
        <f>$D38*L38*_xlfn.XLOOKUP($I38,'Sample Size cal and results'!$B$24:$B$25,'Sample Size cal and results'!$I$24:$I$25)</f>
        <v>54.642657892720678</v>
      </c>
      <c r="N38" s="214">
        <f t="shared" si="8"/>
        <v>330.85910079747805</v>
      </c>
      <c r="O38" s="225" t="str">
        <f t="shared" si="9"/>
        <v>6-7 years</v>
      </c>
      <c r="P38" s="226">
        <f t="shared" si="10"/>
        <v>1</v>
      </c>
      <c r="Q38" s="227">
        <f>$D38*P38*_xlfn.XLOOKUP($O38,'Sample Size cal and results'!$B$26:$B$27,'Sample Size cal and results'!$I$26:$I$27)</f>
        <v>293.80905555277968</v>
      </c>
      <c r="R38" s="330"/>
      <c r="S38" s="99" t="s">
        <v>72</v>
      </c>
      <c r="T38" s="6">
        <f t="shared" si="15"/>
        <v>287</v>
      </c>
      <c r="U38" s="6">
        <f t="shared" si="15"/>
        <v>0</v>
      </c>
      <c r="V38" s="168">
        <f t="shared" si="14"/>
        <v>267</v>
      </c>
      <c r="W38" s="7">
        <f t="shared" si="16"/>
        <v>287</v>
      </c>
      <c r="X38" s="7">
        <f t="shared" si="16"/>
        <v>0</v>
      </c>
      <c r="Y38" s="281">
        <f t="shared" si="13"/>
        <v>237</v>
      </c>
      <c r="Z38" s="329"/>
    </row>
    <row r="39" spans="1:32" ht="12.75">
      <c r="A39" s="99" t="s">
        <v>71</v>
      </c>
      <c r="B39" s="100">
        <v>42152</v>
      </c>
      <c r="C39" s="100">
        <f t="shared" si="0"/>
        <v>44708</v>
      </c>
      <c r="D39" s="209">
        <v>250</v>
      </c>
      <c r="E39" s="217">
        <f t="shared" si="1"/>
        <v>4.76</v>
      </c>
      <c r="F39" s="218">
        <f t="shared" si="2"/>
        <v>5.75</v>
      </c>
      <c r="G39" s="219">
        <f t="shared" si="3"/>
        <v>5.75</v>
      </c>
      <c r="H39" s="220">
        <f t="shared" si="4"/>
        <v>6.75</v>
      </c>
      <c r="I39" s="257" t="str">
        <f t="shared" si="5"/>
        <v>5-6 years</v>
      </c>
      <c r="J39" s="211">
        <f t="shared" si="6"/>
        <v>0.83835616438356164</v>
      </c>
      <c r="K39" s="258">
        <f>$D39*J39*_xlfn.XLOOKUP($I39,'Sample Size cal and results'!$B$24:$B$25,'Sample Size cal and results'!$H$24:$H$25)</f>
        <v>194.51862176391361</v>
      </c>
      <c r="L39" s="211">
        <f t="shared" si="7"/>
        <v>0.16164383561643836</v>
      </c>
      <c r="M39" s="211">
        <f>$D39*L39*_xlfn.XLOOKUP($I39,'Sample Size cal and results'!$B$24:$B$25,'Sample Size cal and results'!$I$24:$I$25)</f>
        <v>38.480744994873717</v>
      </c>
      <c r="N39" s="214">
        <f t="shared" si="8"/>
        <v>232.99936675878735</v>
      </c>
      <c r="O39" s="225" t="str">
        <f t="shared" si="9"/>
        <v>6-7 years</v>
      </c>
      <c r="P39" s="226">
        <f t="shared" si="10"/>
        <v>1</v>
      </c>
      <c r="Q39" s="227">
        <f>$D39*P39*_xlfn.XLOOKUP($O39,'Sample Size cal and results'!$B$26:$B$27,'Sample Size cal and results'!$I$26:$I$27)</f>
        <v>206.90778560054906</v>
      </c>
      <c r="R39" s="330"/>
      <c r="S39" s="99" t="s">
        <v>73</v>
      </c>
      <c r="T39" s="6">
        <f t="shared" si="15"/>
        <v>9192</v>
      </c>
      <c r="U39" s="6">
        <f t="shared" si="15"/>
        <v>0</v>
      </c>
      <c r="V39" s="168">
        <f t="shared" si="14"/>
        <v>8566</v>
      </c>
      <c r="W39" s="7">
        <f t="shared" si="16"/>
        <v>9192</v>
      </c>
      <c r="X39" s="7">
        <f t="shared" si="16"/>
        <v>0</v>
      </c>
      <c r="Y39" s="281">
        <f t="shared" si="13"/>
        <v>7607</v>
      </c>
      <c r="Z39" s="329"/>
    </row>
    <row r="40" spans="1:32" ht="12.75">
      <c r="A40" s="99" t="s">
        <v>71</v>
      </c>
      <c r="B40" s="100">
        <v>42151</v>
      </c>
      <c r="C40" s="100">
        <f t="shared" si="0"/>
        <v>44707</v>
      </c>
      <c r="D40" s="209">
        <v>247</v>
      </c>
      <c r="E40" s="217">
        <f t="shared" si="1"/>
        <v>4.76</v>
      </c>
      <c r="F40" s="218">
        <f t="shared" si="2"/>
        <v>5.75</v>
      </c>
      <c r="G40" s="219">
        <f t="shared" si="3"/>
        <v>5.76</v>
      </c>
      <c r="H40" s="220">
        <f t="shared" si="4"/>
        <v>6.75</v>
      </c>
      <c r="I40" s="257" t="str">
        <f t="shared" si="5"/>
        <v>5-6 years</v>
      </c>
      <c r="J40" s="211">
        <f t="shared" si="6"/>
        <v>0.83835616438356164</v>
      </c>
      <c r="K40" s="258">
        <f>$D40*J40*_xlfn.XLOOKUP($I40,'Sample Size cal and results'!$B$24:$B$25,'Sample Size cal and results'!$H$24:$H$25)</f>
        <v>192.18439830274664</v>
      </c>
      <c r="L40" s="211">
        <f t="shared" si="7"/>
        <v>0.16164383561643836</v>
      </c>
      <c r="M40" s="211">
        <f>$D40*L40*_xlfn.XLOOKUP($I40,'Sample Size cal and results'!$B$24:$B$25,'Sample Size cal and results'!$I$24:$I$25)</f>
        <v>38.018976054935237</v>
      </c>
      <c r="N40" s="214">
        <f t="shared" si="8"/>
        <v>230.20337435768187</v>
      </c>
      <c r="O40" s="225" t="str">
        <f t="shared" si="9"/>
        <v>6-7 years</v>
      </c>
      <c r="P40" s="226">
        <f t="shared" si="10"/>
        <v>1</v>
      </c>
      <c r="Q40" s="227">
        <f>$D40*P40*_xlfn.XLOOKUP($O40,'Sample Size cal and results'!$B$26:$B$27,'Sample Size cal and results'!$I$26:$I$27)</f>
        <v>204.42489217334247</v>
      </c>
      <c r="R40" s="330"/>
      <c r="S40" s="99" t="s">
        <v>74</v>
      </c>
      <c r="T40" s="6">
        <f t="shared" si="15"/>
        <v>9219</v>
      </c>
      <c r="U40" s="6">
        <f t="shared" si="15"/>
        <v>0</v>
      </c>
      <c r="V40" s="168">
        <f t="shared" si="14"/>
        <v>8592</v>
      </c>
      <c r="W40" s="7">
        <f t="shared" si="16"/>
        <v>9219</v>
      </c>
      <c r="X40" s="7">
        <f t="shared" si="16"/>
        <v>0</v>
      </c>
      <c r="Y40" s="281">
        <f t="shared" si="13"/>
        <v>7629</v>
      </c>
      <c r="Z40" s="329"/>
    </row>
    <row r="41" spans="1:32" ht="13.5" thickBot="1">
      <c r="A41" s="99" t="s">
        <v>71</v>
      </c>
      <c r="B41" s="100">
        <v>42150</v>
      </c>
      <c r="C41" s="100">
        <f t="shared" si="0"/>
        <v>44706</v>
      </c>
      <c r="D41" s="209">
        <v>233</v>
      </c>
      <c r="E41" s="217">
        <f t="shared" si="1"/>
        <v>4.76</v>
      </c>
      <c r="F41" s="218">
        <f t="shared" si="2"/>
        <v>5.76</v>
      </c>
      <c r="G41" s="219">
        <f t="shared" si="3"/>
        <v>5.76</v>
      </c>
      <c r="H41" s="220">
        <f t="shared" si="4"/>
        <v>6.76</v>
      </c>
      <c r="I41" s="257" t="str">
        <f t="shared" si="5"/>
        <v>5-6 years</v>
      </c>
      <c r="J41" s="211">
        <f t="shared" si="6"/>
        <v>0.83835616438356164</v>
      </c>
      <c r="K41" s="258">
        <f>$D41*J41*_xlfn.XLOOKUP($I41,'Sample Size cal and results'!$B$24:$B$25,'Sample Size cal and results'!$H$24:$H$25)</f>
        <v>181.29135548396749</v>
      </c>
      <c r="L41" s="211">
        <f t="shared" si="7"/>
        <v>0.16164383561643836</v>
      </c>
      <c r="M41" s="211">
        <f>$D41*L41*_xlfn.XLOOKUP($I41,'Sample Size cal and results'!$B$24:$B$25,'Sample Size cal and results'!$I$24:$I$25)</f>
        <v>35.864054335222306</v>
      </c>
      <c r="N41" s="214">
        <f t="shared" si="8"/>
        <v>217.1554098191898</v>
      </c>
      <c r="O41" s="225" t="str">
        <f t="shared" si="9"/>
        <v>6-7 years</v>
      </c>
      <c r="P41" s="226">
        <f t="shared" si="10"/>
        <v>1</v>
      </c>
      <c r="Q41" s="227">
        <f>$D41*P41*_xlfn.XLOOKUP($O41,'Sample Size cal and results'!$B$26:$B$27,'Sample Size cal and results'!$I$26:$I$27)</f>
        <v>192.83805617971174</v>
      </c>
      <c r="R41" s="330"/>
      <c r="S41" s="107" t="s">
        <v>5</v>
      </c>
      <c r="T41" s="108">
        <f>SUM(T5:T40)</f>
        <v>59438</v>
      </c>
      <c r="U41" s="108">
        <f t="shared" ref="U41" si="17">ROUNDDOWN(SUM(U5:U40),0)</f>
        <v>124444</v>
      </c>
      <c r="V41" s="108">
        <f>SUM(V5:V40)</f>
        <v>157839</v>
      </c>
      <c r="W41" s="109">
        <f>ROUNDDOWN(SUM(W5:W40),0)</f>
        <v>59438</v>
      </c>
      <c r="X41" s="109">
        <f>SUM(X5:X40)</f>
        <v>124444</v>
      </c>
      <c r="Y41" s="282">
        <f>SUM(Y5:Y40)</f>
        <v>104346</v>
      </c>
    </row>
    <row r="42" spans="1:32" ht="12.75">
      <c r="A42" s="99" t="s">
        <v>71</v>
      </c>
      <c r="B42" s="100">
        <v>42149</v>
      </c>
      <c r="C42" s="100">
        <f t="shared" si="0"/>
        <v>44705</v>
      </c>
      <c r="D42" s="209">
        <v>375</v>
      </c>
      <c r="E42" s="217">
        <f t="shared" si="1"/>
        <v>4.76</v>
      </c>
      <c r="F42" s="218">
        <f t="shared" si="2"/>
        <v>5.76</v>
      </c>
      <c r="G42" s="219">
        <f t="shared" si="3"/>
        <v>5.76</v>
      </c>
      <c r="H42" s="220">
        <f t="shared" si="4"/>
        <v>6.76</v>
      </c>
      <c r="I42" s="257" t="str">
        <f t="shared" si="5"/>
        <v>5-6 years</v>
      </c>
      <c r="J42" s="211">
        <f t="shared" si="6"/>
        <v>0.83835616438356164</v>
      </c>
      <c r="K42" s="258">
        <f>$D42*J42*_xlfn.XLOOKUP($I42,'Sample Size cal and results'!$B$24:$B$25,'Sample Size cal and results'!$H$24:$H$25)</f>
        <v>291.77793264587041</v>
      </c>
      <c r="L42" s="211">
        <f t="shared" si="7"/>
        <v>0.16164383561643836</v>
      </c>
      <c r="M42" s="211">
        <f>$D42*L42*_xlfn.XLOOKUP($I42,'Sample Size cal and results'!$B$24:$B$25,'Sample Size cal and results'!$I$24:$I$25)</f>
        <v>57.721117492310576</v>
      </c>
      <c r="N42" s="214">
        <f t="shared" si="8"/>
        <v>349.49905013818096</v>
      </c>
      <c r="O42" s="225" t="str">
        <f t="shared" si="9"/>
        <v>6-7 years</v>
      </c>
      <c r="P42" s="226">
        <f t="shared" si="10"/>
        <v>1</v>
      </c>
      <c r="Q42" s="227">
        <f>$D42*P42*_xlfn.XLOOKUP($O42,'Sample Size cal and results'!$B$26:$B$27,'Sample Size cal and results'!$I$26:$I$27)</f>
        <v>310.36167840082362</v>
      </c>
      <c r="R42" s="330"/>
    </row>
    <row r="43" spans="1:32" ht="12.75">
      <c r="A43" s="99" t="s">
        <v>71</v>
      </c>
      <c r="B43" s="100">
        <v>42148</v>
      </c>
      <c r="C43" s="100">
        <f t="shared" si="0"/>
        <v>44704</v>
      </c>
      <c r="D43" s="209">
        <v>227</v>
      </c>
      <c r="E43" s="217">
        <f t="shared" si="1"/>
        <v>4.7699999999999996</v>
      </c>
      <c r="F43" s="218">
        <f t="shared" si="2"/>
        <v>5.76</v>
      </c>
      <c r="G43" s="219">
        <f t="shared" si="3"/>
        <v>5.77</v>
      </c>
      <c r="H43" s="220">
        <f t="shared" si="4"/>
        <v>6.76</v>
      </c>
      <c r="I43" s="257" t="str">
        <f t="shared" si="5"/>
        <v>5-6 years</v>
      </c>
      <c r="J43" s="211">
        <f t="shared" si="6"/>
        <v>0.83835616438356164</v>
      </c>
      <c r="K43" s="258">
        <f>$D43*J43*_xlfn.XLOOKUP($I43,'Sample Size cal and results'!$B$24:$B$25,'Sample Size cal and results'!$H$24:$H$25)</f>
        <v>176.62290856163355</v>
      </c>
      <c r="L43" s="211">
        <f t="shared" si="7"/>
        <v>0.16164383561643836</v>
      </c>
      <c r="M43" s="211">
        <f>$D43*L43*_xlfn.XLOOKUP($I43,'Sample Size cal and results'!$B$24:$B$25,'Sample Size cal and results'!$I$24:$I$25)</f>
        <v>34.940516455345339</v>
      </c>
      <c r="N43" s="214">
        <f t="shared" si="8"/>
        <v>211.5634250169789</v>
      </c>
      <c r="O43" s="225" t="str">
        <f t="shared" si="9"/>
        <v>6-7 years</v>
      </c>
      <c r="P43" s="226">
        <f t="shared" si="10"/>
        <v>1</v>
      </c>
      <c r="Q43" s="227">
        <f>$D43*P43*_xlfn.XLOOKUP($O43,'Sample Size cal and results'!$B$26:$B$27,'Sample Size cal and results'!$I$26:$I$27)</f>
        <v>187.87226932529856</v>
      </c>
      <c r="R43" s="330"/>
    </row>
    <row r="44" spans="1:32" ht="12.75">
      <c r="A44" s="99" t="s">
        <v>70</v>
      </c>
      <c r="B44" s="100">
        <v>42147</v>
      </c>
      <c r="C44" s="100">
        <f t="shared" si="0"/>
        <v>44703</v>
      </c>
      <c r="D44" s="209">
        <v>142</v>
      </c>
      <c r="E44" s="217">
        <f t="shared" si="1"/>
        <v>4.7699999999999996</v>
      </c>
      <c r="F44" s="218">
        <f t="shared" si="2"/>
        <v>5.77</v>
      </c>
      <c r="G44" s="219">
        <f t="shared" si="3"/>
        <v>5.77</v>
      </c>
      <c r="H44" s="220">
        <f t="shared" si="4"/>
        <v>6.77</v>
      </c>
      <c r="I44" s="257" t="str">
        <f t="shared" si="5"/>
        <v>5-6 years</v>
      </c>
      <c r="J44" s="211">
        <f t="shared" si="6"/>
        <v>0.83835616438356164</v>
      </c>
      <c r="K44" s="258">
        <f>$D44*J44*_xlfn.XLOOKUP($I44,'Sample Size cal and results'!$B$24:$B$25,'Sample Size cal and results'!$H$24:$H$25)</f>
        <v>110.48657716190294</v>
      </c>
      <c r="L44" s="211">
        <f t="shared" si="7"/>
        <v>0.16164383561643836</v>
      </c>
      <c r="M44" s="211">
        <f>$D44*L44*_xlfn.XLOOKUP($I44,'Sample Size cal and results'!$B$24:$B$25,'Sample Size cal and results'!$I$24:$I$25)</f>
        <v>21.85706315708827</v>
      </c>
      <c r="N44" s="214">
        <f t="shared" si="8"/>
        <v>132.34364031899122</v>
      </c>
      <c r="O44" s="225" t="str">
        <f t="shared" si="9"/>
        <v>6-7 years</v>
      </c>
      <c r="P44" s="226">
        <f t="shared" si="10"/>
        <v>1</v>
      </c>
      <c r="Q44" s="227">
        <f>$D44*P44*_xlfn.XLOOKUP($O44,'Sample Size cal and results'!$B$26:$B$27,'Sample Size cal and results'!$I$26:$I$27)</f>
        <v>117.52362222111186</v>
      </c>
      <c r="R44" s="330"/>
      <c r="V44" s="110"/>
    </row>
    <row r="45" spans="1:32" ht="12.75">
      <c r="A45" s="99" t="s">
        <v>71</v>
      </c>
      <c r="B45" s="100">
        <v>42147</v>
      </c>
      <c r="C45" s="100">
        <f t="shared" si="0"/>
        <v>44703</v>
      </c>
      <c r="D45" s="209">
        <v>103</v>
      </c>
      <c r="E45" s="217">
        <f t="shared" si="1"/>
        <v>4.7699999999999996</v>
      </c>
      <c r="F45" s="218">
        <f t="shared" si="2"/>
        <v>5.77</v>
      </c>
      <c r="G45" s="219">
        <f t="shared" si="3"/>
        <v>5.77</v>
      </c>
      <c r="H45" s="220">
        <f t="shared" si="4"/>
        <v>6.77</v>
      </c>
      <c r="I45" s="257" t="str">
        <f t="shared" si="5"/>
        <v>5-6 years</v>
      </c>
      <c r="J45" s="211">
        <f t="shared" si="6"/>
        <v>0.83835616438356164</v>
      </c>
      <c r="K45" s="258">
        <f>$D45*J45*_xlfn.XLOOKUP($I45,'Sample Size cal and results'!$B$24:$B$25,'Sample Size cal and results'!$H$24:$H$25)</f>
        <v>80.141672166732405</v>
      </c>
      <c r="L45" s="211">
        <f t="shared" si="7"/>
        <v>0.16164383561643836</v>
      </c>
      <c r="M45" s="211">
        <f>$D45*L45*_xlfn.XLOOKUP($I45,'Sample Size cal and results'!$B$24:$B$25,'Sample Size cal and results'!$I$24:$I$25)</f>
        <v>15.854066937887971</v>
      </c>
      <c r="N45" s="214">
        <f t="shared" si="8"/>
        <v>95.995739104620384</v>
      </c>
      <c r="O45" s="225" t="str">
        <f t="shared" si="9"/>
        <v>6-7 years</v>
      </c>
      <c r="P45" s="226">
        <f t="shared" si="10"/>
        <v>1</v>
      </c>
      <c r="Q45" s="227">
        <f>$D45*P45*_xlfn.XLOOKUP($O45,'Sample Size cal and results'!$B$26:$B$27,'Sample Size cal and results'!$I$26:$I$27)</f>
        <v>85.246007667426213</v>
      </c>
      <c r="R45" s="330"/>
      <c r="V45" s="110"/>
    </row>
    <row r="46" spans="1:32" ht="12.75">
      <c r="A46" s="99" t="s">
        <v>70</v>
      </c>
      <c r="B46" s="100">
        <v>42146</v>
      </c>
      <c r="C46" s="100">
        <f t="shared" si="0"/>
        <v>44702</v>
      </c>
      <c r="D46" s="209">
        <v>259</v>
      </c>
      <c r="E46" s="217">
        <f t="shared" si="1"/>
        <v>4.7699999999999996</v>
      </c>
      <c r="F46" s="218">
        <f t="shared" si="2"/>
        <v>5.77</v>
      </c>
      <c r="G46" s="219">
        <f t="shared" si="3"/>
        <v>5.77</v>
      </c>
      <c r="H46" s="220">
        <f t="shared" si="4"/>
        <v>6.77</v>
      </c>
      <c r="I46" s="257" t="str">
        <f t="shared" si="5"/>
        <v>5-6 years</v>
      </c>
      <c r="J46" s="211">
        <f t="shared" si="6"/>
        <v>0.83835616438356164</v>
      </c>
      <c r="K46" s="258">
        <f>$D46*J46*_xlfn.XLOOKUP($I46,'Sample Size cal and results'!$B$24:$B$25,'Sample Size cal and results'!$H$24:$H$25)</f>
        <v>201.52129214741453</v>
      </c>
      <c r="L46" s="211">
        <f t="shared" si="7"/>
        <v>0.16164383561643836</v>
      </c>
      <c r="M46" s="211">
        <f>$D46*L46*_xlfn.XLOOKUP($I46,'Sample Size cal and results'!$B$24:$B$25,'Sample Size cal and results'!$I$24:$I$25)</f>
        <v>39.866051814689172</v>
      </c>
      <c r="N46" s="214">
        <f t="shared" si="8"/>
        <v>241.3873439621037</v>
      </c>
      <c r="O46" s="225" t="str">
        <f t="shared" si="9"/>
        <v>6-7 years</v>
      </c>
      <c r="P46" s="226">
        <f t="shared" si="10"/>
        <v>1</v>
      </c>
      <c r="Q46" s="227">
        <f>$D46*P46*_xlfn.XLOOKUP($O46,'Sample Size cal and results'!$B$26:$B$27,'Sample Size cal and results'!$I$26:$I$27)</f>
        <v>214.35646588216883</v>
      </c>
      <c r="R46" s="330"/>
    </row>
    <row r="47" spans="1:32" ht="12.75">
      <c r="A47" s="99" t="s">
        <v>70</v>
      </c>
      <c r="B47" s="100">
        <v>42145</v>
      </c>
      <c r="C47" s="100">
        <f t="shared" si="0"/>
        <v>44701</v>
      </c>
      <c r="D47" s="209">
        <v>250</v>
      </c>
      <c r="E47" s="217">
        <f t="shared" si="1"/>
        <v>4.7699999999999996</v>
      </c>
      <c r="F47" s="218">
        <f t="shared" si="2"/>
        <v>5.77</v>
      </c>
      <c r="G47" s="219">
        <f t="shared" si="3"/>
        <v>5.77</v>
      </c>
      <c r="H47" s="220">
        <f t="shared" si="4"/>
        <v>6.77</v>
      </c>
      <c r="I47" s="257" t="str">
        <f t="shared" si="5"/>
        <v>5-6 years</v>
      </c>
      <c r="J47" s="211">
        <f t="shared" si="6"/>
        <v>0.83835616438356164</v>
      </c>
      <c r="K47" s="258">
        <f>$D47*J47*_xlfn.XLOOKUP($I47,'Sample Size cal and results'!$B$24:$B$25,'Sample Size cal and results'!$H$24:$H$25)</f>
        <v>194.51862176391361</v>
      </c>
      <c r="L47" s="211">
        <f t="shared" si="7"/>
        <v>0.16164383561643836</v>
      </c>
      <c r="M47" s="211">
        <f>$D47*L47*_xlfn.XLOOKUP($I47,'Sample Size cal and results'!$B$24:$B$25,'Sample Size cal and results'!$I$24:$I$25)</f>
        <v>38.480744994873717</v>
      </c>
      <c r="N47" s="214">
        <f t="shared" si="8"/>
        <v>232.99936675878735</v>
      </c>
      <c r="O47" s="225" t="str">
        <f t="shared" si="9"/>
        <v>6-7 years</v>
      </c>
      <c r="P47" s="226">
        <f t="shared" si="10"/>
        <v>1</v>
      </c>
      <c r="Q47" s="227">
        <f>$D47*P47*_xlfn.XLOOKUP($O47,'Sample Size cal and results'!$B$26:$B$27,'Sample Size cal and results'!$I$26:$I$27)</f>
        <v>206.90778560054906</v>
      </c>
      <c r="R47" s="330"/>
    </row>
    <row r="48" spans="1:32" ht="12.75">
      <c r="A48" s="99" t="s">
        <v>70</v>
      </c>
      <c r="B48" s="100">
        <v>42144</v>
      </c>
      <c r="C48" s="100">
        <f t="shared" si="0"/>
        <v>44700</v>
      </c>
      <c r="D48" s="209">
        <v>312</v>
      </c>
      <c r="E48" s="217">
        <f t="shared" si="1"/>
        <v>4.78</v>
      </c>
      <c r="F48" s="218">
        <f t="shared" si="2"/>
        <v>5.77</v>
      </c>
      <c r="G48" s="219">
        <f t="shared" si="3"/>
        <v>5.78</v>
      </c>
      <c r="H48" s="220">
        <f t="shared" si="4"/>
        <v>6.77</v>
      </c>
      <c r="I48" s="257" t="str">
        <f t="shared" si="5"/>
        <v>5-6 years</v>
      </c>
      <c r="J48" s="211">
        <f t="shared" si="6"/>
        <v>0.83835616438356164</v>
      </c>
      <c r="K48" s="258">
        <f>$D48*J48*_xlfn.XLOOKUP($I48,'Sample Size cal and results'!$B$24:$B$25,'Sample Size cal and results'!$H$24:$H$25)</f>
        <v>242.75923996136419</v>
      </c>
      <c r="L48" s="211">
        <f t="shared" si="7"/>
        <v>0.16164383561643836</v>
      </c>
      <c r="M48" s="211">
        <f>$D48*L48*_xlfn.XLOOKUP($I48,'Sample Size cal and results'!$B$24:$B$25,'Sample Size cal and results'!$I$24:$I$25)</f>
        <v>48.023969753602401</v>
      </c>
      <c r="N48" s="214">
        <f t="shared" si="8"/>
        <v>290.78320971496657</v>
      </c>
      <c r="O48" s="225" t="str">
        <f t="shared" si="9"/>
        <v>6-7 years</v>
      </c>
      <c r="P48" s="226">
        <f t="shared" si="10"/>
        <v>1</v>
      </c>
      <c r="Q48" s="227">
        <f>$D48*P48*_xlfn.XLOOKUP($O48,'Sample Size cal and results'!$B$26:$B$27,'Sample Size cal and results'!$I$26:$I$27)</f>
        <v>258.22091642948521</v>
      </c>
      <c r="R48" s="330"/>
    </row>
    <row r="49" spans="1:18" ht="12.75">
      <c r="A49" s="99" t="s">
        <v>70</v>
      </c>
      <c r="B49" s="100">
        <v>42143</v>
      </c>
      <c r="C49" s="100">
        <f t="shared" si="0"/>
        <v>44699</v>
      </c>
      <c r="D49" s="209">
        <v>274</v>
      </c>
      <c r="E49" s="217">
        <f t="shared" si="1"/>
        <v>4.78</v>
      </c>
      <c r="F49" s="218">
        <f t="shared" si="2"/>
        <v>5.78</v>
      </c>
      <c r="G49" s="219">
        <f t="shared" si="3"/>
        <v>5.78</v>
      </c>
      <c r="H49" s="220">
        <f t="shared" si="4"/>
        <v>6.78</v>
      </c>
      <c r="I49" s="257" t="str">
        <f t="shared" si="5"/>
        <v>5-6 years</v>
      </c>
      <c r="J49" s="211">
        <f t="shared" si="6"/>
        <v>0.83835616438356164</v>
      </c>
      <c r="K49" s="258">
        <f>$D49*J49*_xlfn.XLOOKUP($I49,'Sample Size cal and results'!$B$24:$B$25,'Sample Size cal and results'!$H$24:$H$25)</f>
        <v>213.19240945324933</v>
      </c>
      <c r="L49" s="211">
        <f t="shared" si="7"/>
        <v>0.16164383561643836</v>
      </c>
      <c r="M49" s="211">
        <f>$D49*L49*_xlfn.XLOOKUP($I49,'Sample Size cal and results'!$B$24:$B$25,'Sample Size cal and results'!$I$24:$I$25)</f>
        <v>42.174896514381594</v>
      </c>
      <c r="N49" s="214">
        <f t="shared" si="8"/>
        <v>255.36730596763093</v>
      </c>
      <c r="O49" s="225" t="str">
        <f t="shared" si="9"/>
        <v>6-7 years</v>
      </c>
      <c r="P49" s="226">
        <f t="shared" si="10"/>
        <v>1</v>
      </c>
      <c r="Q49" s="227">
        <f>$D49*P49*_xlfn.XLOOKUP($O49,'Sample Size cal and results'!$B$26:$B$27,'Sample Size cal and results'!$I$26:$I$27)</f>
        <v>226.77093301820179</v>
      </c>
      <c r="R49" s="330"/>
    </row>
    <row r="50" spans="1:18" ht="12.75">
      <c r="A50" s="99" t="s">
        <v>70</v>
      </c>
      <c r="B50" s="100">
        <v>42142</v>
      </c>
      <c r="C50" s="100">
        <f t="shared" si="0"/>
        <v>44698</v>
      </c>
      <c r="D50" s="209">
        <v>305</v>
      </c>
      <c r="E50" s="217">
        <f t="shared" si="1"/>
        <v>4.78</v>
      </c>
      <c r="F50" s="218">
        <f t="shared" si="2"/>
        <v>5.78</v>
      </c>
      <c r="G50" s="219">
        <f t="shared" si="3"/>
        <v>5.78</v>
      </c>
      <c r="H50" s="220">
        <f t="shared" si="4"/>
        <v>6.78</v>
      </c>
      <c r="I50" s="257" t="str">
        <f t="shared" si="5"/>
        <v>5-6 years</v>
      </c>
      <c r="J50" s="211">
        <f t="shared" si="6"/>
        <v>0.83835616438356164</v>
      </c>
      <c r="K50" s="258">
        <f>$D50*J50*_xlfn.XLOOKUP($I50,'Sample Size cal and results'!$B$24:$B$25,'Sample Size cal and results'!$H$24:$H$25)</f>
        <v>237.31271855197463</v>
      </c>
      <c r="L50" s="211">
        <f t="shared" si="7"/>
        <v>0.16164383561643836</v>
      </c>
      <c r="M50" s="211">
        <f>$D50*L50*_xlfn.XLOOKUP($I50,'Sample Size cal and results'!$B$24:$B$25,'Sample Size cal and results'!$I$24:$I$25)</f>
        <v>46.946508893745929</v>
      </c>
      <c r="N50" s="214">
        <f t="shared" si="8"/>
        <v>284.25922744572057</v>
      </c>
      <c r="O50" s="225" t="str">
        <f t="shared" si="9"/>
        <v>6-7 years</v>
      </c>
      <c r="P50" s="226">
        <f t="shared" si="10"/>
        <v>1</v>
      </c>
      <c r="Q50" s="227">
        <f>$D50*P50*_xlfn.XLOOKUP($O50,'Sample Size cal and results'!$B$26:$B$27,'Sample Size cal and results'!$I$26:$I$27)</f>
        <v>252.42749843266986</v>
      </c>
      <c r="R50" s="330"/>
    </row>
    <row r="51" spans="1:18" ht="12.75">
      <c r="A51" s="99" t="s">
        <v>70</v>
      </c>
      <c r="B51" s="100">
        <v>42141</v>
      </c>
      <c r="C51" s="100">
        <f t="shared" si="0"/>
        <v>44697</v>
      </c>
      <c r="D51" s="209">
        <v>310</v>
      </c>
      <c r="E51" s="217">
        <f t="shared" si="1"/>
        <v>4.79</v>
      </c>
      <c r="F51" s="218">
        <f t="shared" si="2"/>
        <v>5.78</v>
      </c>
      <c r="G51" s="219">
        <f t="shared" si="3"/>
        <v>5.78</v>
      </c>
      <c r="H51" s="220">
        <f t="shared" si="4"/>
        <v>6.78</v>
      </c>
      <c r="I51" s="257" t="str">
        <f t="shared" si="5"/>
        <v>5-6 years</v>
      </c>
      <c r="J51" s="211">
        <f t="shared" si="6"/>
        <v>0.83835616438356164</v>
      </c>
      <c r="K51" s="258">
        <f>$D51*J51*_xlfn.XLOOKUP($I51,'Sample Size cal and results'!$B$24:$B$25,'Sample Size cal and results'!$H$24:$H$25)</f>
        <v>241.20309098725289</v>
      </c>
      <c r="L51" s="211">
        <f t="shared" si="7"/>
        <v>0.16164383561643836</v>
      </c>
      <c r="M51" s="211">
        <f>$D51*L51*_xlfn.XLOOKUP($I51,'Sample Size cal and results'!$B$24:$B$25,'Sample Size cal and results'!$I$24:$I$25)</f>
        <v>47.716123793643412</v>
      </c>
      <c r="N51" s="214">
        <f t="shared" si="8"/>
        <v>288.91921478089631</v>
      </c>
      <c r="O51" s="225" t="str">
        <f t="shared" si="9"/>
        <v>6-7 years</v>
      </c>
      <c r="P51" s="226">
        <f t="shared" si="10"/>
        <v>1</v>
      </c>
      <c r="Q51" s="227">
        <f>$D51*P51*_xlfn.XLOOKUP($O51,'Sample Size cal and results'!$B$26:$B$27,'Sample Size cal and results'!$I$26:$I$27)</f>
        <v>256.56565414468082</v>
      </c>
      <c r="R51" s="330"/>
    </row>
    <row r="52" spans="1:18" ht="12.75">
      <c r="A52" s="99" t="s">
        <v>70</v>
      </c>
      <c r="B52" s="100">
        <v>42140</v>
      </c>
      <c r="C52" s="100">
        <f t="shared" si="0"/>
        <v>44696</v>
      </c>
      <c r="D52" s="209">
        <v>315</v>
      </c>
      <c r="E52" s="217">
        <f t="shared" si="1"/>
        <v>4.79</v>
      </c>
      <c r="F52" s="218">
        <f t="shared" si="2"/>
        <v>5.78</v>
      </c>
      <c r="G52" s="219">
        <f t="shared" si="3"/>
        <v>5.79</v>
      </c>
      <c r="H52" s="220">
        <f t="shared" si="4"/>
        <v>6.78</v>
      </c>
      <c r="I52" s="257" t="str">
        <f t="shared" si="5"/>
        <v>5-6 years</v>
      </c>
      <c r="J52" s="211">
        <f t="shared" si="6"/>
        <v>0.83835616438356164</v>
      </c>
      <c r="K52" s="258">
        <f>$D52*J52*_xlfn.XLOOKUP($I52,'Sample Size cal and results'!$B$24:$B$25,'Sample Size cal and results'!$H$24:$H$25)</f>
        <v>245.09346342253116</v>
      </c>
      <c r="L52" s="211">
        <f t="shared" si="7"/>
        <v>0.16164383561643836</v>
      </c>
      <c r="M52" s="211">
        <f>$D52*L52*_xlfn.XLOOKUP($I52,'Sample Size cal and results'!$B$24:$B$25,'Sample Size cal and results'!$I$24:$I$25)</f>
        <v>48.485738693540881</v>
      </c>
      <c r="N52" s="214">
        <f t="shared" si="8"/>
        <v>293.57920211607205</v>
      </c>
      <c r="O52" s="225" t="str">
        <f t="shared" si="9"/>
        <v>6-7 years</v>
      </c>
      <c r="P52" s="226">
        <f t="shared" si="10"/>
        <v>1</v>
      </c>
      <c r="Q52" s="227">
        <f>$D52*P52*_xlfn.XLOOKUP($O52,'Sample Size cal and results'!$B$26:$B$27,'Sample Size cal and results'!$I$26:$I$27)</f>
        <v>260.70380985669181</v>
      </c>
      <c r="R52" s="330"/>
    </row>
    <row r="53" spans="1:18" ht="12.75">
      <c r="A53" s="99" t="s">
        <v>70</v>
      </c>
      <c r="B53" s="100">
        <v>42139</v>
      </c>
      <c r="C53" s="100">
        <f t="shared" si="0"/>
        <v>44695</v>
      </c>
      <c r="D53" s="209">
        <v>3081</v>
      </c>
      <c r="E53" s="217">
        <f t="shared" si="1"/>
        <v>4.79</v>
      </c>
      <c r="F53" s="218">
        <f t="shared" si="2"/>
        <v>5.79</v>
      </c>
      <c r="G53" s="219">
        <f t="shared" si="3"/>
        <v>5.79</v>
      </c>
      <c r="H53" s="220">
        <f t="shared" si="4"/>
        <v>6.79</v>
      </c>
      <c r="I53" s="257" t="str">
        <f t="shared" si="5"/>
        <v>5-6 years</v>
      </c>
      <c r="J53" s="211">
        <f t="shared" si="6"/>
        <v>0.83835616438356164</v>
      </c>
      <c r="K53" s="258">
        <f>$D53*J53*_xlfn.XLOOKUP($I53,'Sample Size cal and results'!$B$24:$B$25,'Sample Size cal and results'!$H$24:$H$25)</f>
        <v>2397.2474946184711</v>
      </c>
      <c r="L53" s="211">
        <f t="shared" si="7"/>
        <v>0.16164383561643836</v>
      </c>
      <c r="M53" s="211">
        <f>$D53*L53*_xlfn.XLOOKUP($I53,'Sample Size cal and results'!$B$24:$B$25,'Sample Size cal and results'!$I$24:$I$25)</f>
        <v>474.23670131682366</v>
      </c>
      <c r="N53" s="214">
        <f t="shared" si="8"/>
        <v>2871.4841959352948</v>
      </c>
      <c r="O53" s="225" t="str">
        <f t="shared" si="9"/>
        <v>6-7 years</v>
      </c>
      <c r="P53" s="226">
        <f t="shared" si="10"/>
        <v>1</v>
      </c>
      <c r="Q53" s="227">
        <f>$D53*P53*_xlfn.XLOOKUP($O53,'Sample Size cal and results'!$B$26:$B$27,'Sample Size cal and results'!$I$26:$I$27)</f>
        <v>2549.9315497411667</v>
      </c>
      <c r="R53" s="330"/>
    </row>
    <row r="54" spans="1:18" ht="12.75">
      <c r="A54" s="99" t="s">
        <v>70</v>
      </c>
      <c r="B54" s="100">
        <v>42138</v>
      </c>
      <c r="C54" s="100">
        <f t="shared" si="0"/>
        <v>44694</v>
      </c>
      <c r="D54" s="209">
        <v>297</v>
      </c>
      <c r="E54" s="217">
        <f t="shared" si="1"/>
        <v>4.79</v>
      </c>
      <c r="F54" s="218">
        <f t="shared" si="2"/>
        <v>5.79</v>
      </c>
      <c r="G54" s="219">
        <f t="shared" si="3"/>
        <v>5.79</v>
      </c>
      <c r="H54" s="220">
        <f t="shared" si="4"/>
        <v>6.79</v>
      </c>
      <c r="I54" s="257" t="str">
        <f t="shared" si="5"/>
        <v>5-6 years</v>
      </c>
      <c r="J54" s="211">
        <f t="shared" si="6"/>
        <v>0.83835616438356164</v>
      </c>
      <c r="K54" s="258">
        <f>$D54*J54*_xlfn.XLOOKUP($I54,'Sample Size cal and results'!$B$24:$B$25,'Sample Size cal and results'!$H$24:$H$25)</f>
        <v>231.08812265552939</v>
      </c>
      <c r="L54" s="211">
        <f t="shared" si="7"/>
        <v>0.16164383561643836</v>
      </c>
      <c r="M54" s="211">
        <f>$D54*L54*_xlfn.XLOOKUP($I54,'Sample Size cal and results'!$B$24:$B$25,'Sample Size cal and results'!$I$24:$I$25)</f>
        <v>45.715125053909972</v>
      </c>
      <c r="N54" s="214">
        <f t="shared" si="8"/>
        <v>276.80324770943935</v>
      </c>
      <c r="O54" s="225" t="str">
        <f t="shared" si="9"/>
        <v>6-7 years</v>
      </c>
      <c r="P54" s="226">
        <f t="shared" si="10"/>
        <v>1</v>
      </c>
      <c r="Q54" s="227">
        <f>$D54*P54*_xlfn.XLOOKUP($O54,'Sample Size cal and results'!$B$26:$B$27,'Sample Size cal and results'!$I$26:$I$27)</f>
        <v>245.80644929345229</v>
      </c>
      <c r="R54" s="330"/>
    </row>
    <row r="55" spans="1:18" ht="12.75">
      <c r="A55" s="99" t="s">
        <v>70</v>
      </c>
      <c r="B55" s="100">
        <v>42137</v>
      </c>
      <c r="C55" s="100">
        <f t="shared" si="0"/>
        <v>44693</v>
      </c>
      <c r="D55" s="209">
        <v>270</v>
      </c>
      <c r="E55" s="217">
        <f t="shared" si="1"/>
        <v>4.8</v>
      </c>
      <c r="F55" s="218">
        <f t="shared" si="2"/>
        <v>5.79</v>
      </c>
      <c r="G55" s="219">
        <f t="shared" si="3"/>
        <v>5.8</v>
      </c>
      <c r="H55" s="220">
        <f t="shared" si="4"/>
        <v>6.79</v>
      </c>
      <c r="I55" s="257" t="str">
        <f t="shared" si="5"/>
        <v>5-6 years</v>
      </c>
      <c r="J55" s="211">
        <f t="shared" si="6"/>
        <v>0.83835616438356164</v>
      </c>
      <c r="K55" s="258">
        <f>$D55*J55*_xlfn.XLOOKUP($I55,'Sample Size cal and results'!$B$24:$B$25,'Sample Size cal and results'!$H$24:$H$25)</f>
        <v>210.08011150502671</v>
      </c>
      <c r="L55" s="211">
        <f t="shared" si="7"/>
        <v>0.16164383561643836</v>
      </c>
      <c r="M55" s="211">
        <f>$D55*L55*_xlfn.XLOOKUP($I55,'Sample Size cal and results'!$B$24:$B$25,'Sample Size cal and results'!$I$24:$I$25)</f>
        <v>41.559204594463615</v>
      </c>
      <c r="N55" s="214">
        <f t="shared" si="8"/>
        <v>251.63931609949032</v>
      </c>
      <c r="O55" s="225" t="str">
        <f t="shared" si="9"/>
        <v>6-7 years</v>
      </c>
      <c r="P55" s="226">
        <f t="shared" si="10"/>
        <v>1</v>
      </c>
      <c r="Q55" s="227">
        <f>$D55*P55*_xlfn.XLOOKUP($O55,'Sample Size cal and results'!$B$26:$B$27,'Sample Size cal and results'!$I$26:$I$27)</f>
        <v>223.460408448593</v>
      </c>
      <c r="R55" s="330"/>
    </row>
    <row r="56" spans="1:18" ht="12.75">
      <c r="A56" s="99" t="s">
        <v>70</v>
      </c>
      <c r="B56" s="100">
        <v>42136</v>
      </c>
      <c r="C56" s="100">
        <f t="shared" si="0"/>
        <v>44692</v>
      </c>
      <c r="D56" s="209">
        <v>322</v>
      </c>
      <c r="E56" s="217">
        <f t="shared" si="1"/>
        <v>4.8</v>
      </c>
      <c r="F56" s="218">
        <f t="shared" si="2"/>
        <v>5.8</v>
      </c>
      <c r="G56" s="219">
        <f t="shared" si="3"/>
        <v>5.8</v>
      </c>
      <c r="H56" s="220">
        <f t="shared" si="4"/>
        <v>6.8</v>
      </c>
      <c r="I56" s="257" t="str">
        <f t="shared" si="5"/>
        <v>5-6 years</v>
      </c>
      <c r="J56" s="211">
        <f t="shared" si="6"/>
        <v>0.83835616438356164</v>
      </c>
      <c r="K56" s="258">
        <f>$D56*J56*_xlfn.XLOOKUP($I56,'Sample Size cal and results'!$B$24:$B$25,'Sample Size cal and results'!$H$24:$H$25)</f>
        <v>250.53998483192072</v>
      </c>
      <c r="L56" s="211">
        <f t="shared" si="7"/>
        <v>0.16164383561643836</v>
      </c>
      <c r="M56" s="211">
        <f>$D56*L56*_xlfn.XLOOKUP($I56,'Sample Size cal and results'!$B$24:$B$25,'Sample Size cal and results'!$I$24:$I$25)</f>
        <v>49.563199553397347</v>
      </c>
      <c r="N56" s="214">
        <f t="shared" si="8"/>
        <v>300.10318438531806</v>
      </c>
      <c r="O56" s="225" t="str">
        <f t="shared" si="9"/>
        <v>6-7 years</v>
      </c>
      <c r="P56" s="226">
        <f t="shared" si="10"/>
        <v>1</v>
      </c>
      <c r="Q56" s="227">
        <f>$D56*P56*_xlfn.XLOOKUP($O56,'Sample Size cal and results'!$B$26:$B$27,'Sample Size cal and results'!$I$26:$I$27)</f>
        <v>266.49722785350718</v>
      </c>
      <c r="R56" s="330"/>
    </row>
    <row r="57" spans="1:18" ht="12.75">
      <c r="A57" s="99" t="s">
        <v>70</v>
      </c>
      <c r="B57" s="100">
        <v>42135</v>
      </c>
      <c r="C57" s="100">
        <f t="shared" si="0"/>
        <v>44691</v>
      </c>
      <c r="D57" s="209">
        <v>252</v>
      </c>
      <c r="E57" s="217">
        <f t="shared" si="1"/>
        <v>4.8</v>
      </c>
      <c r="F57" s="218">
        <f t="shared" si="2"/>
        <v>5.8</v>
      </c>
      <c r="G57" s="219">
        <f t="shared" si="3"/>
        <v>5.8</v>
      </c>
      <c r="H57" s="220">
        <f t="shared" si="4"/>
        <v>6.8</v>
      </c>
      <c r="I57" s="257" t="str">
        <f t="shared" si="5"/>
        <v>5-6 years</v>
      </c>
      <c r="J57" s="211">
        <f t="shared" si="6"/>
        <v>0.83835616438356164</v>
      </c>
      <c r="K57" s="258">
        <f>$D57*J57*_xlfn.XLOOKUP($I57,'Sample Size cal and results'!$B$24:$B$25,'Sample Size cal and results'!$H$24:$H$25)</f>
        <v>196.07477073802494</v>
      </c>
      <c r="L57" s="211">
        <f t="shared" si="7"/>
        <v>0.16164383561643836</v>
      </c>
      <c r="M57" s="211">
        <f>$D57*L57*_xlfn.XLOOKUP($I57,'Sample Size cal and results'!$B$24:$B$25,'Sample Size cal and results'!$I$24:$I$25)</f>
        <v>38.788590954832706</v>
      </c>
      <c r="N57" s="214">
        <f t="shared" si="8"/>
        <v>234.86336169285764</v>
      </c>
      <c r="O57" s="225" t="str">
        <f t="shared" si="9"/>
        <v>6-7 years</v>
      </c>
      <c r="P57" s="226">
        <f t="shared" si="10"/>
        <v>1</v>
      </c>
      <c r="Q57" s="227">
        <f>$D57*P57*_xlfn.XLOOKUP($O57,'Sample Size cal and results'!$B$26:$B$27,'Sample Size cal and results'!$I$26:$I$27)</f>
        <v>208.56304788535346</v>
      </c>
      <c r="R57" s="330"/>
    </row>
    <row r="58" spans="1:18" ht="12.75">
      <c r="A58" s="99" t="s">
        <v>70</v>
      </c>
      <c r="B58" s="100">
        <v>42134</v>
      </c>
      <c r="C58" s="100">
        <f t="shared" si="0"/>
        <v>44690</v>
      </c>
      <c r="D58" s="209">
        <v>323</v>
      </c>
      <c r="E58" s="217">
        <f t="shared" si="1"/>
        <v>4.8</v>
      </c>
      <c r="F58" s="218">
        <f t="shared" si="2"/>
        <v>5.8</v>
      </c>
      <c r="G58" s="219">
        <f t="shared" si="3"/>
        <v>5.8</v>
      </c>
      <c r="H58" s="220">
        <f t="shared" si="4"/>
        <v>6.8</v>
      </c>
      <c r="I58" s="257" t="str">
        <f t="shared" si="5"/>
        <v>5-6 years</v>
      </c>
      <c r="J58" s="211">
        <f t="shared" si="6"/>
        <v>0.83835616438356164</v>
      </c>
      <c r="K58" s="258">
        <f>$D58*J58*_xlfn.XLOOKUP($I58,'Sample Size cal and results'!$B$24:$B$25,'Sample Size cal and results'!$H$24:$H$25)</f>
        <v>251.3180593189764</v>
      </c>
      <c r="L58" s="211">
        <f t="shared" si="7"/>
        <v>0.16164383561643836</v>
      </c>
      <c r="M58" s="211">
        <f>$D58*L58*_xlfn.XLOOKUP($I58,'Sample Size cal and results'!$B$24:$B$25,'Sample Size cal and results'!$I$24:$I$25)</f>
        <v>49.717122533376838</v>
      </c>
      <c r="N58" s="214">
        <f t="shared" si="8"/>
        <v>301.03518185235322</v>
      </c>
      <c r="O58" s="225" t="str">
        <f t="shared" si="9"/>
        <v>6-7 years</v>
      </c>
      <c r="P58" s="226">
        <f t="shared" si="10"/>
        <v>1</v>
      </c>
      <c r="Q58" s="227">
        <f>$D58*P58*_xlfn.XLOOKUP($O58,'Sample Size cal and results'!$B$26:$B$27,'Sample Size cal and results'!$I$26:$I$27)</f>
        <v>267.32485899590938</v>
      </c>
      <c r="R58" s="330"/>
    </row>
    <row r="59" spans="1:18" ht="12.75">
      <c r="A59" s="99" t="s">
        <v>70</v>
      </c>
      <c r="B59" s="100">
        <v>42133</v>
      </c>
      <c r="C59" s="100">
        <f t="shared" si="0"/>
        <v>44689</v>
      </c>
      <c r="D59" s="209">
        <v>279</v>
      </c>
      <c r="E59" s="217">
        <f t="shared" si="1"/>
        <v>4.8099999999999996</v>
      </c>
      <c r="F59" s="218">
        <f t="shared" si="2"/>
        <v>5.8</v>
      </c>
      <c r="G59" s="219">
        <f t="shared" si="3"/>
        <v>5.81</v>
      </c>
      <c r="H59" s="220">
        <f t="shared" si="4"/>
        <v>6.8</v>
      </c>
      <c r="I59" s="257" t="str">
        <f t="shared" si="5"/>
        <v>5-6 years</v>
      </c>
      <c r="J59" s="211">
        <f t="shared" si="6"/>
        <v>0.83835616438356164</v>
      </c>
      <c r="K59" s="258">
        <f>$D59*J59*_xlfn.XLOOKUP($I59,'Sample Size cal and results'!$B$24:$B$25,'Sample Size cal and results'!$H$24:$H$25)</f>
        <v>217.08278188852759</v>
      </c>
      <c r="L59" s="211">
        <f t="shared" si="7"/>
        <v>0.16164383561643836</v>
      </c>
      <c r="M59" s="211">
        <f>$D59*L59*_xlfn.XLOOKUP($I59,'Sample Size cal and results'!$B$24:$B$25,'Sample Size cal and results'!$I$24:$I$25)</f>
        <v>42.944511414279063</v>
      </c>
      <c r="N59" s="214">
        <f t="shared" si="8"/>
        <v>260.02729330280664</v>
      </c>
      <c r="O59" s="225" t="str">
        <f t="shared" si="9"/>
        <v>6-7 years</v>
      </c>
      <c r="P59" s="226">
        <f t="shared" si="10"/>
        <v>1</v>
      </c>
      <c r="Q59" s="227">
        <f>$D59*P59*_xlfn.XLOOKUP($O59,'Sample Size cal and results'!$B$26:$B$27,'Sample Size cal and results'!$I$26:$I$27)</f>
        <v>230.90908873021274</v>
      </c>
      <c r="R59" s="330"/>
    </row>
    <row r="60" spans="1:18" ht="12.75">
      <c r="A60" s="99" t="s">
        <v>70</v>
      </c>
      <c r="B60" s="100">
        <v>42132</v>
      </c>
      <c r="C60" s="100">
        <f t="shared" si="0"/>
        <v>44688</v>
      </c>
      <c r="D60" s="209">
        <v>242</v>
      </c>
      <c r="E60" s="217">
        <f t="shared" si="1"/>
        <v>4.8099999999999996</v>
      </c>
      <c r="F60" s="218">
        <f t="shared" si="2"/>
        <v>5.81</v>
      </c>
      <c r="G60" s="219">
        <f t="shared" si="3"/>
        <v>5.81</v>
      </c>
      <c r="H60" s="220">
        <f t="shared" si="4"/>
        <v>6.81</v>
      </c>
      <c r="I60" s="257" t="str">
        <f t="shared" si="5"/>
        <v>5-6 years</v>
      </c>
      <c r="J60" s="211">
        <f t="shared" si="6"/>
        <v>0.83835616438356164</v>
      </c>
      <c r="K60" s="258">
        <f>$D60*J60*_xlfn.XLOOKUP($I60,'Sample Size cal and results'!$B$24:$B$25,'Sample Size cal and results'!$H$24:$H$25)</f>
        <v>188.29402586746838</v>
      </c>
      <c r="L60" s="211">
        <f t="shared" si="7"/>
        <v>0.16164383561643836</v>
      </c>
      <c r="M60" s="211">
        <f>$D60*L60*_xlfn.XLOOKUP($I60,'Sample Size cal and results'!$B$24:$B$25,'Sample Size cal and results'!$I$24:$I$25)</f>
        <v>37.249361155037754</v>
      </c>
      <c r="N60" s="214">
        <f t="shared" si="8"/>
        <v>225.54338702250612</v>
      </c>
      <c r="O60" s="225" t="str">
        <f t="shared" si="9"/>
        <v>6-7 years</v>
      </c>
      <c r="P60" s="226">
        <f t="shared" si="10"/>
        <v>1</v>
      </c>
      <c r="Q60" s="227">
        <f>$D60*P60*_xlfn.XLOOKUP($O60,'Sample Size cal and results'!$B$26:$B$27,'Sample Size cal and results'!$I$26:$I$27)</f>
        <v>200.28673646133149</v>
      </c>
      <c r="R60" s="330"/>
    </row>
    <row r="61" spans="1:18" ht="12.75">
      <c r="A61" s="99" t="s">
        <v>70</v>
      </c>
      <c r="B61" s="100">
        <v>42131</v>
      </c>
      <c r="C61" s="100">
        <f t="shared" si="0"/>
        <v>44687</v>
      </c>
      <c r="D61" s="209">
        <v>280</v>
      </c>
      <c r="E61" s="217">
        <f t="shared" si="1"/>
        <v>4.8099999999999996</v>
      </c>
      <c r="F61" s="218">
        <f t="shared" si="2"/>
        <v>5.81</v>
      </c>
      <c r="G61" s="219">
        <f t="shared" si="3"/>
        <v>5.81</v>
      </c>
      <c r="H61" s="220">
        <f t="shared" si="4"/>
        <v>6.81</v>
      </c>
      <c r="I61" s="257" t="str">
        <f t="shared" si="5"/>
        <v>5-6 years</v>
      </c>
      <c r="J61" s="211">
        <f t="shared" si="6"/>
        <v>0.83835616438356164</v>
      </c>
      <c r="K61" s="258">
        <f>$D61*J61*_xlfn.XLOOKUP($I61,'Sample Size cal and results'!$B$24:$B$25,'Sample Size cal and results'!$H$24:$H$25)</f>
        <v>217.86085637558327</v>
      </c>
      <c r="L61" s="211">
        <f t="shared" si="7"/>
        <v>0.16164383561643836</v>
      </c>
      <c r="M61" s="211">
        <f>$D61*L61*_xlfn.XLOOKUP($I61,'Sample Size cal and results'!$B$24:$B$25,'Sample Size cal and results'!$I$24:$I$25)</f>
        <v>43.098434394258561</v>
      </c>
      <c r="N61" s="214">
        <f t="shared" si="8"/>
        <v>260.9592907698418</v>
      </c>
      <c r="O61" s="225" t="str">
        <f t="shared" si="9"/>
        <v>6-7 years</v>
      </c>
      <c r="P61" s="226">
        <f t="shared" si="10"/>
        <v>1</v>
      </c>
      <c r="Q61" s="227">
        <f>$D61*P61*_xlfn.XLOOKUP($O61,'Sample Size cal and results'!$B$26:$B$27,'Sample Size cal and results'!$I$26:$I$27)</f>
        <v>231.73671987261494</v>
      </c>
      <c r="R61" s="330"/>
    </row>
    <row r="62" spans="1:18" ht="12.75">
      <c r="A62" s="99" t="s">
        <v>70</v>
      </c>
      <c r="B62" s="100">
        <v>42130</v>
      </c>
      <c r="C62" s="100">
        <f t="shared" si="0"/>
        <v>44686</v>
      </c>
      <c r="D62" s="209">
        <v>262</v>
      </c>
      <c r="E62" s="217">
        <f t="shared" si="1"/>
        <v>4.82</v>
      </c>
      <c r="F62" s="218">
        <f t="shared" si="2"/>
        <v>5.81</v>
      </c>
      <c r="G62" s="219">
        <f t="shared" si="3"/>
        <v>5.82</v>
      </c>
      <c r="H62" s="220">
        <f t="shared" si="4"/>
        <v>6.81</v>
      </c>
      <c r="I62" s="257" t="str">
        <f t="shared" si="5"/>
        <v>5-6 years</v>
      </c>
      <c r="J62" s="211">
        <f t="shared" si="6"/>
        <v>0.83835616438356164</v>
      </c>
      <c r="K62" s="258">
        <f>$D62*J62*_xlfn.XLOOKUP($I62,'Sample Size cal and results'!$B$24:$B$25,'Sample Size cal and results'!$H$24:$H$25)</f>
        <v>203.85551560858147</v>
      </c>
      <c r="L62" s="211">
        <f t="shared" si="7"/>
        <v>0.16164383561643836</v>
      </c>
      <c r="M62" s="211">
        <f>$D62*L62*_xlfn.XLOOKUP($I62,'Sample Size cal and results'!$B$24:$B$25,'Sample Size cal and results'!$I$24:$I$25)</f>
        <v>40.327820754627652</v>
      </c>
      <c r="N62" s="214">
        <f t="shared" si="8"/>
        <v>244.18333636320912</v>
      </c>
      <c r="O62" s="225" t="str">
        <f t="shared" si="9"/>
        <v>6-7 years</v>
      </c>
      <c r="P62" s="226">
        <f t="shared" si="10"/>
        <v>1</v>
      </c>
      <c r="Q62" s="227">
        <f>$D62*P62*_xlfn.XLOOKUP($O62,'Sample Size cal and results'!$B$26:$B$27,'Sample Size cal and results'!$I$26:$I$27)</f>
        <v>216.83935930937542</v>
      </c>
      <c r="R62" s="330"/>
    </row>
    <row r="63" spans="1:18" ht="12.75">
      <c r="A63" s="99" t="s">
        <v>70</v>
      </c>
      <c r="B63" s="100">
        <v>42129</v>
      </c>
      <c r="C63" s="100">
        <f t="shared" si="0"/>
        <v>44685</v>
      </c>
      <c r="D63" s="209">
        <v>301</v>
      </c>
      <c r="E63" s="217">
        <f t="shared" si="1"/>
        <v>4.82</v>
      </c>
      <c r="F63" s="218">
        <f t="shared" si="2"/>
        <v>5.82</v>
      </c>
      <c r="G63" s="219">
        <f t="shared" si="3"/>
        <v>5.82</v>
      </c>
      <c r="H63" s="220">
        <f t="shared" si="4"/>
        <v>6.81</v>
      </c>
      <c r="I63" s="257" t="str">
        <f t="shared" si="5"/>
        <v>5-6 years</v>
      </c>
      <c r="J63" s="211">
        <f t="shared" si="6"/>
        <v>0.83835616438356164</v>
      </c>
      <c r="K63" s="258">
        <f>$D63*J63*_xlfn.XLOOKUP($I63,'Sample Size cal and results'!$B$24:$B$25,'Sample Size cal and results'!$H$24:$H$25)</f>
        <v>234.20042060375201</v>
      </c>
      <c r="L63" s="211">
        <f t="shared" si="7"/>
        <v>0.16164383561643836</v>
      </c>
      <c r="M63" s="211">
        <f>$D63*L63*_xlfn.XLOOKUP($I63,'Sample Size cal and results'!$B$24:$B$25,'Sample Size cal and results'!$I$24:$I$25)</f>
        <v>46.33081697382795</v>
      </c>
      <c r="N63" s="214">
        <f t="shared" si="8"/>
        <v>280.53123757757999</v>
      </c>
      <c r="O63" s="225" t="str">
        <f t="shared" si="9"/>
        <v>6-7 years</v>
      </c>
      <c r="P63" s="226">
        <f t="shared" si="10"/>
        <v>1</v>
      </c>
      <c r="Q63" s="227">
        <f>$D63*P63*_xlfn.XLOOKUP($O63,'Sample Size cal and results'!$B$26:$B$27,'Sample Size cal and results'!$I$26:$I$27)</f>
        <v>249.11697386306108</v>
      </c>
      <c r="R63" s="330"/>
    </row>
    <row r="64" spans="1:18" ht="12.75">
      <c r="A64" s="99" t="s">
        <v>70</v>
      </c>
      <c r="B64" s="100">
        <v>42128</v>
      </c>
      <c r="C64" s="100">
        <f t="shared" si="0"/>
        <v>44684</v>
      </c>
      <c r="D64" s="209">
        <v>234</v>
      </c>
      <c r="E64" s="217">
        <f t="shared" si="1"/>
        <v>4.82</v>
      </c>
      <c r="F64" s="218">
        <f t="shared" si="2"/>
        <v>5.82</v>
      </c>
      <c r="G64" s="219">
        <f t="shared" si="3"/>
        <v>5.82</v>
      </c>
      <c r="H64" s="220">
        <f t="shared" si="4"/>
        <v>6.82</v>
      </c>
      <c r="I64" s="257" t="str">
        <f t="shared" si="5"/>
        <v>5-6 years</v>
      </c>
      <c r="J64" s="211">
        <f t="shared" si="6"/>
        <v>0.83835616438356164</v>
      </c>
      <c r="K64" s="258">
        <f>$D64*J64*_xlfn.XLOOKUP($I64,'Sample Size cal and results'!$B$24:$B$25,'Sample Size cal and results'!$H$24:$H$25)</f>
        <v>182.06942997102314</v>
      </c>
      <c r="L64" s="211">
        <f t="shared" si="7"/>
        <v>0.16164383561643836</v>
      </c>
      <c r="M64" s="211">
        <f>$D64*L64*_xlfn.XLOOKUP($I64,'Sample Size cal and results'!$B$24:$B$25,'Sample Size cal and results'!$I$24:$I$25)</f>
        <v>36.017977315201797</v>
      </c>
      <c r="N64" s="214">
        <f t="shared" si="8"/>
        <v>218.08740728622493</v>
      </c>
      <c r="O64" s="225" t="str">
        <f t="shared" si="9"/>
        <v>6-7 years</v>
      </c>
      <c r="P64" s="226">
        <f t="shared" si="10"/>
        <v>1</v>
      </c>
      <c r="Q64" s="227">
        <f>$D64*P64*_xlfn.XLOOKUP($O64,'Sample Size cal and results'!$B$26:$B$27,'Sample Size cal and results'!$I$26:$I$27)</f>
        <v>193.66568732211394</v>
      </c>
      <c r="R64" s="330"/>
    </row>
    <row r="65" spans="1:18" ht="12.75">
      <c r="A65" s="99" t="s">
        <v>70</v>
      </c>
      <c r="B65" s="100">
        <v>42127</v>
      </c>
      <c r="C65" s="100">
        <f t="shared" si="0"/>
        <v>44683</v>
      </c>
      <c r="D65" s="209">
        <v>227</v>
      </c>
      <c r="E65" s="217">
        <f t="shared" si="1"/>
        <v>4.82</v>
      </c>
      <c r="F65" s="218">
        <f t="shared" si="2"/>
        <v>5.82</v>
      </c>
      <c r="G65" s="219">
        <f t="shared" si="3"/>
        <v>5.82</v>
      </c>
      <c r="H65" s="220">
        <f t="shared" si="4"/>
        <v>6.82</v>
      </c>
      <c r="I65" s="257" t="str">
        <f t="shared" si="5"/>
        <v>5-6 years</v>
      </c>
      <c r="J65" s="211">
        <f t="shared" si="6"/>
        <v>0.83835616438356164</v>
      </c>
      <c r="K65" s="258">
        <f>$D65*J65*_xlfn.XLOOKUP($I65,'Sample Size cal and results'!$B$24:$B$25,'Sample Size cal and results'!$H$24:$H$25)</f>
        <v>176.62290856163355</v>
      </c>
      <c r="L65" s="211">
        <f t="shared" si="7"/>
        <v>0.16164383561643836</v>
      </c>
      <c r="M65" s="211">
        <f>$D65*L65*_xlfn.XLOOKUP($I65,'Sample Size cal and results'!$B$24:$B$25,'Sample Size cal and results'!$I$24:$I$25)</f>
        <v>34.940516455345339</v>
      </c>
      <c r="N65" s="214">
        <f t="shared" si="8"/>
        <v>211.5634250169789</v>
      </c>
      <c r="O65" s="225" t="str">
        <f t="shared" si="9"/>
        <v>6-7 years</v>
      </c>
      <c r="P65" s="226">
        <f t="shared" si="10"/>
        <v>1</v>
      </c>
      <c r="Q65" s="227">
        <f>$D65*P65*_xlfn.XLOOKUP($O65,'Sample Size cal and results'!$B$26:$B$27,'Sample Size cal and results'!$I$26:$I$27)</f>
        <v>187.87226932529856</v>
      </c>
      <c r="R65" s="330"/>
    </row>
    <row r="66" spans="1:18" ht="12.75">
      <c r="A66" s="99" t="s">
        <v>70</v>
      </c>
      <c r="B66" s="100">
        <v>42126</v>
      </c>
      <c r="C66" s="100">
        <f t="shared" si="0"/>
        <v>44682</v>
      </c>
      <c r="D66" s="209">
        <v>234</v>
      </c>
      <c r="E66" s="217">
        <f t="shared" si="1"/>
        <v>4.83</v>
      </c>
      <c r="F66" s="218">
        <f t="shared" si="2"/>
        <v>5.82</v>
      </c>
      <c r="G66" s="219">
        <f t="shared" si="3"/>
        <v>5.83</v>
      </c>
      <c r="H66" s="220">
        <f t="shared" si="4"/>
        <v>6.82</v>
      </c>
      <c r="I66" s="257" t="str">
        <f t="shared" si="5"/>
        <v>5-6 years</v>
      </c>
      <c r="J66" s="211">
        <f t="shared" si="6"/>
        <v>0.83835616438356164</v>
      </c>
      <c r="K66" s="258">
        <f>$D66*J66*_xlfn.XLOOKUP($I66,'Sample Size cal and results'!$B$24:$B$25,'Sample Size cal and results'!$H$24:$H$25)</f>
        <v>182.06942997102314</v>
      </c>
      <c r="L66" s="211">
        <f t="shared" si="7"/>
        <v>0.16164383561643836</v>
      </c>
      <c r="M66" s="211">
        <f>$D66*L66*_xlfn.XLOOKUP($I66,'Sample Size cal and results'!$B$24:$B$25,'Sample Size cal and results'!$I$24:$I$25)</f>
        <v>36.017977315201797</v>
      </c>
      <c r="N66" s="214">
        <f t="shared" si="8"/>
        <v>218.08740728622493</v>
      </c>
      <c r="O66" s="225" t="str">
        <f t="shared" si="9"/>
        <v>6-7 years</v>
      </c>
      <c r="P66" s="226">
        <f t="shared" si="10"/>
        <v>1</v>
      </c>
      <c r="Q66" s="227">
        <f>$D66*P66*_xlfn.XLOOKUP($O66,'Sample Size cal and results'!$B$26:$B$27,'Sample Size cal and results'!$I$26:$I$27)</f>
        <v>193.66568732211394</v>
      </c>
      <c r="R66" s="330"/>
    </row>
    <row r="67" spans="1:18" ht="12.75">
      <c r="A67" s="99" t="s">
        <v>70</v>
      </c>
      <c r="B67" s="100">
        <v>42125</v>
      </c>
      <c r="C67" s="100">
        <f t="shared" ref="C67:C130" si="18">EDATE(B67,84)-1</f>
        <v>44681</v>
      </c>
      <c r="D67" s="209">
        <v>144</v>
      </c>
      <c r="E67" s="217">
        <f t="shared" ref="E67:E130" si="19">ROUNDDOWN(YEARFRAC($B67,$AB$4,1),2)</f>
        <v>4.83</v>
      </c>
      <c r="F67" s="218">
        <f t="shared" ref="F67:F130" si="20">ROUNDDOWN(YEARFRAC($B67,$AB$5,1),2)</f>
        <v>5.83</v>
      </c>
      <c r="G67" s="219">
        <f t="shared" ref="G67:G130" si="21">ROUNDDOWN(YEARFRAC($B67,$AC$4,1),2)</f>
        <v>5.83</v>
      </c>
      <c r="H67" s="220">
        <f t="shared" ref="H67:H130" si="22">ROUNDDOWN(YEARFRAC($B67,$AC$5,1),2)</f>
        <v>6.83</v>
      </c>
      <c r="I67" s="257" t="str">
        <f t="shared" ref="I67:I130" si="23">IF(DATEDIF($B67,$AB$5,"y")=5,"5-6 years","6-7 years")</f>
        <v>5-6 years</v>
      </c>
      <c r="J67" s="211">
        <f t="shared" ref="J67:J130" si="24">MAX(MIN($AC$7,C67)-MAX($AB$4,$B67,_xlfn.XLOOKUP($A67,$AE$3:$AE$37,$AF$3:$AF$37))+1,0)/365</f>
        <v>0.83835616438356164</v>
      </c>
      <c r="K67" s="258">
        <f>$D67*J67*_xlfn.XLOOKUP($I67,'Sample Size cal and results'!$B$24:$B$25,'Sample Size cal and results'!$H$24:$H$25)</f>
        <v>112.04272613601425</v>
      </c>
      <c r="L67" s="211">
        <f t="shared" ref="L67:L130" si="25">MAX(MIN($AB$5,C67)-MAX($AC$8,$B67,_xlfn.XLOOKUP($A67,$AE$3:$AE$37,$AF$3:$AF$37))+1,0)/365</f>
        <v>0.16164383561643836</v>
      </c>
      <c r="M67" s="211">
        <f>$D67*L67*_xlfn.XLOOKUP($I67,'Sample Size cal and results'!$B$24:$B$25,'Sample Size cal and results'!$I$24:$I$25)</f>
        <v>22.164909117047262</v>
      </c>
      <c r="N67" s="214">
        <f t="shared" ref="N67:N130" si="26">M67+K67</f>
        <v>134.20763525306151</v>
      </c>
      <c r="O67" s="225" t="str">
        <f t="shared" ref="O67:O130" si="27">IF(DATEDIF($B67,$AC$5,"y")=6,"6-7 years","7-8 years")</f>
        <v>6-7 years</v>
      </c>
      <c r="P67" s="226">
        <f t="shared" ref="P67:P130" si="28">MAX(MIN($AC$5,C67)-MAX($AC$4,$B67,_xlfn.XLOOKUP($A67,$AE$3:$AE$37,$AF$3:$AF$37))+1,0)/365</f>
        <v>1</v>
      </c>
      <c r="Q67" s="227">
        <f>$D67*P67*_xlfn.XLOOKUP($O67,'Sample Size cal and results'!$B$26:$B$27,'Sample Size cal and results'!$I$26:$I$27)</f>
        <v>119.17888450591626</v>
      </c>
      <c r="R67" s="330"/>
    </row>
    <row r="68" spans="1:18" ht="12.75">
      <c r="A68" s="99" t="s">
        <v>69</v>
      </c>
      <c r="B68" s="100">
        <v>42124</v>
      </c>
      <c r="C68" s="100">
        <f t="shared" si="18"/>
        <v>44680</v>
      </c>
      <c r="D68" s="209">
        <v>1505</v>
      </c>
      <c r="E68" s="217">
        <f t="shared" si="19"/>
        <v>4.83</v>
      </c>
      <c r="F68" s="218">
        <f t="shared" si="20"/>
        <v>5.83</v>
      </c>
      <c r="G68" s="219">
        <f t="shared" si="21"/>
        <v>5.83</v>
      </c>
      <c r="H68" s="220">
        <f t="shared" si="22"/>
        <v>6.83</v>
      </c>
      <c r="I68" s="257" t="str">
        <f t="shared" si="23"/>
        <v>5-6 years</v>
      </c>
      <c r="J68" s="211">
        <f t="shared" si="24"/>
        <v>0.83835616438356164</v>
      </c>
      <c r="K68" s="258">
        <f>$D68*J68*_xlfn.XLOOKUP($I68,'Sample Size cal and results'!$B$24:$B$25,'Sample Size cal and results'!$H$24:$H$25)</f>
        <v>1171.00210301876</v>
      </c>
      <c r="L68" s="211">
        <f t="shared" si="25"/>
        <v>0.16164383561643836</v>
      </c>
      <c r="M68" s="211">
        <f>$D68*L68*_xlfn.XLOOKUP($I68,'Sample Size cal and results'!$B$24:$B$25,'Sample Size cal and results'!$I$24:$I$25)</f>
        <v>231.65408486913975</v>
      </c>
      <c r="N68" s="214">
        <f t="shared" si="26"/>
        <v>1402.6561878878997</v>
      </c>
      <c r="O68" s="225" t="str">
        <f t="shared" si="27"/>
        <v>6-7 years</v>
      </c>
      <c r="P68" s="226">
        <f t="shared" si="28"/>
        <v>1</v>
      </c>
      <c r="Q68" s="227">
        <f>$D68*P68*_xlfn.XLOOKUP($O68,'Sample Size cal and results'!$B$26:$B$27,'Sample Size cal and results'!$I$26:$I$27)</f>
        <v>1245.5848693153055</v>
      </c>
      <c r="R68" s="330"/>
    </row>
    <row r="69" spans="1:18" ht="12.75">
      <c r="A69" s="99" t="s">
        <v>70</v>
      </c>
      <c r="B69" s="100">
        <v>42124</v>
      </c>
      <c r="C69" s="100">
        <f t="shared" si="18"/>
        <v>44680</v>
      </c>
      <c r="D69" s="209">
        <v>123</v>
      </c>
      <c r="E69" s="217">
        <f t="shared" si="19"/>
        <v>4.83</v>
      </c>
      <c r="F69" s="218">
        <f t="shared" si="20"/>
        <v>5.83</v>
      </c>
      <c r="G69" s="219">
        <f t="shared" si="21"/>
        <v>5.83</v>
      </c>
      <c r="H69" s="220">
        <f t="shared" si="22"/>
        <v>6.83</v>
      </c>
      <c r="I69" s="257" t="str">
        <f t="shared" si="23"/>
        <v>5-6 years</v>
      </c>
      <c r="J69" s="211">
        <f t="shared" si="24"/>
        <v>0.83835616438356164</v>
      </c>
      <c r="K69" s="258">
        <f>$D69*J69*_xlfn.XLOOKUP($I69,'Sample Size cal and results'!$B$24:$B$25,'Sample Size cal and results'!$H$24:$H$25)</f>
        <v>95.703161907845498</v>
      </c>
      <c r="L69" s="211">
        <f t="shared" si="25"/>
        <v>0.16164383561643836</v>
      </c>
      <c r="M69" s="211">
        <f>$D69*L69*_xlfn.XLOOKUP($I69,'Sample Size cal and results'!$B$24:$B$25,'Sample Size cal and results'!$I$24:$I$25)</f>
        <v>18.93252653747787</v>
      </c>
      <c r="N69" s="214">
        <f t="shared" si="26"/>
        <v>114.63568844532337</v>
      </c>
      <c r="O69" s="225" t="str">
        <f t="shared" si="27"/>
        <v>6-7 years</v>
      </c>
      <c r="P69" s="226">
        <f t="shared" si="28"/>
        <v>1</v>
      </c>
      <c r="Q69" s="227">
        <f>$D69*P69*_xlfn.XLOOKUP($O69,'Sample Size cal and results'!$B$26:$B$27,'Sample Size cal and results'!$I$26:$I$27)</f>
        <v>101.79863051547014</v>
      </c>
      <c r="R69" s="330"/>
    </row>
    <row r="70" spans="1:18" ht="12.75">
      <c r="A70" s="99" t="s">
        <v>69</v>
      </c>
      <c r="B70" s="100">
        <v>42123</v>
      </c>
      <c r="C70" s="100">
        <f t="shared" si="18"/>
        <v>44679</v>
      </c>
      <c r="D70" s="209">
        <v>2831</v>
      </c>
      <c r="E70" s="217">
        <f t="shared" si="19"/>
        <v>4.83</v>
      </c>
      <c r="F70" s="218">
        <f t="shared" si="20"/>
        <v>5.83</v>
      </c>
      <c r="G70" s="219">
        <f t="shared" si="21"/>
        <v>5.83</v>
      </c>
      <c r="H70" s="220">
        <f t="shared" si="22"/>
        <v>6.83</v>
      </c>
      <c r="I70" s="257" t="str">
        <f t="shared" si="23"/>
        <v>5-6 years</v>
      </c>
      <c r="J70" s="211">
        <f t="shared" si="24"/>
        <v>0.83835616438356164</v>
      </c>
      <c r="K70" s="258">
        <f>$D70*J70*_xlfn.XLOOKUP($I70,'Sample Size cal and results'!$B$24:$B$25,'Sample Size cal and results'!$H$24:$H$25)</f>
        <v>2202.7288728545577</v>
      </c>
      <c r="L70" s="211">
        <f t="shared" si="25"/>
        <v>0.16164383561643836</v>
      </c>
      <c r="M70" s="211">
        <f>$D70*L70*_xlfn.XLOOKUP($I70,'Sample Size cal and results'!$B$24:$B$25,'Sample Size cal and results'!$I$24:$I$25)</f>
        <v>435.75595632194995</v>
      </c>
      <c r="N70" s="214">
        <f t="shared" si="26"/>
        <v>2638.4848291765074</v>
      </c>
      <c r="O70" s="225" t="str">
        <f t="shared" si="27"/>
        <v>6-7 years</v>
      </c>
      <c r="P70" s="226">
        <f t="shared" si="28"/>
        <v>1</v>
      </c>
      <c r="Q70" s="227">
        <f>$D70*P70*_xlfn.XLOOKUP($O70,'Sample Size cal and results'!$B$26:$B$27,'Sample Size cal and results'!$I$26:$I$27)</f>
        <v>2343.0237641406175</v>
      </c>
      <c r="R70" s="330"/>
    </row>
    <row r="71" spans="1:18" ht="12.75">
      <c r="A71" s="99" t="s">
        <v>69</v>
      </c>
      <c r="B71" s="100">
        <v>42122</v>
      </c>
      <c r="C71" s="100">
        <f t="shared" si="18"/>
        <v>44678</v>
      </c>
      <c r="D71" s="209">
        <v>1285</v>
      </c>
      <c r="E71" s="217">
        <f t="shared" si="19"/>
        <v>4.84</v>
      </c>
      <c r="F71" s="218">
        <f t="shared" si="20"/>
        <v>5.83</v>
      </c>
      <c r="G71" s="219">
        <f t="shared" si="21"/>
        <v>5.84</v>
      </c>
      <c r="H71" s="220">
        <f t="shared" si="22"/>
        <v>6.83</v>
      </c>
      <c r="I71" s="257" t="str">
        <f t="shared" si="23"/>
        <v>5-6 years</v>
      </c>
      <c r="J71" s="211">
        <f t="shared" si="24"/>
        <v>0.83835616438356164</v>
      </c>
      <c r="K71" s="258">
        <f>$D71*J71*_xlfn.XLOOKUP($I71,'Sample Size cal and results'!$B$24:$B$25,'Sample Size cal and results'!$H$24:$H$25)</f>
        <v>999.82571586651591</v>
      </c>
      <c r="L71" s="211">
        <f t="shared" si="25"/>
        <v>0.16164383561643836</v>
      </c>
      <c r="M71" s="211">
        <f>$D71*L71*_xlfn.XLOOKUP($I71,'Sample Size cal and results'!$B$24:$B$25,'Sample Size cal and results'!$I$24:$I$25)</f>
        <v>197.79102927365091</v>
      </c>
      <c r="N71" s="214">
        <f t="shared" si="26"/>
        <v>1197.6167451401668</v>
      </c>
      <c r="O71" s="225" t="str">
        <f t="shared" si="27"/>
        <v>6-7 years</v>
      </c>
      <c r="P71" s="226">
        <f t="shared" si="28"/>
        <v>1</v>
      </c>
      <c r="Q71" s="227">
        <f>$D71*P71*_xlfn.XLOOKUP($O71,'Sample Size cal and results'!$B$26:$B$27,'Sample Size cal and results'!$I$26:$I$27)</f>
        <v>1063.5060179868221</v>
      </c>
      <c r="R71" s="330"/>
    </row>
    <row r="72" spans="1:18" ht="12.75">
      <c r="A72" s="99" t="s">
        <v>69</v>
      </c>
      <c r="B72" s="100">
        <v>42121</v>
      </c>
      <c r="C72" s="100">
        <f t="shared" si="18"/>
        <v>44677</v>
      </c>
      <c r="D72" s="209">
        <v>367</v>
      </c>
      <c r="E72" s="217">
        <f t="shared" si="19"/>
        <v>4.84</v>
      </c>
      <c r="F72" s="218">
        <f t="shared" si="20"/>
        <v>5.84</v>
      </c>
      <c r="G72" s="219">
        <f t="shared" si="21"/>
        <v>5.84</v>
      </c>
      <c r="H72" s="220">
        <f t="shared" si="22"/>
        <v>6.84</v>
      </c>
      <c r="I72" s="257" t="str">
        <f t="shared" si="23"/>
        <v>5-6 years</v>
      </c>
      <c r="J72" s="211">
        <f t="shared" si="24"/>
        <v>0.83835616438356164</v>
      </c>
      <c r="K72" s="258">
        <f>$D72*J72*_xlfn.XLOOKUP($I72,'Sample Size cal and results'!$B$24:$B$25,'Sample Size cal and results'!$H$24:$H$25)</f>
        <v>285.55333674942517</v>
      </c>
      <c r="L72" s="211">
        <f t="shared" si="25"/>
        <v>0.16164383561643836</v>
      </c>
      <c r="M72" s="211">
        <f>$D72*L72*_xlfn.XLOOKUP($I72,'Sample Size cal and results'!$B$24:$B$25,'Sample Size cal and results'!$I$24:$I$25)</f>
        <v>56.489733652474612</v>
      </c>
      <c r="N72" s="214">
        <f t="shared" si="26"/>
        <v>342.0430704018998</v>
      </c>
      <c r="O72" s="225" t="str">
        <f t="shared" si="27"/>
        <v>6-7 years</v>
      </c>
      <c r="P72" s="226">
        <f t="shared" si="28"/>
        <v>1</v>
      </c>
      <c r="Q72" s="227">
        <f>$D72*P72*_xlfn.XLOOKUP($O72,'Sample Size cal and results'!$B$26:$B$27,'Sample Size cal and results'!$I$26:$I$27)</f>
        <v>303.74062926160605</v>
      </c>
      <c r="R72" s="330"/>
    </row>
    <row r="73" spans="1:18" ht="12.75">
      <c r="A73" s="99" t="s">
        <v>69</v>
      </c>
      <c r="B73" s="100">
        <v>42120</v>
      </c>
      <c r="C73" s="100">
        <f t="shared" si="18"/>
        <v>44676</v>
      </c>
      <c r="D73" s="209">
        <v>461</v>
      </c>
      <c r="E73" s="217">
        <f t="shared" si="19"/>
        <v>4.84</v>
      </c>
      <c r="F73" s="218">
        <f t="shared" si="20"/>
        <v>5.84</v>
      </c>
      <c r="G73" s="219">
        <f t="shared" si="21"/>
        <v>5.84</v>
      </c>
      <c r="H73" s="220">
        <f t="shared" si="22"/>
        <v>6.84</v>
      </c>
      <c r="I73" s="257" t="str">
        <f t="shared" si="23"/>
        <v>5-6 years</v>
      </c>
      <c r="J73" s="211">
        <f t="shared" si="24"/>
        <v>0.83835616438356164</v>
      </c>
      <c r="K73" s="258">
        <f>$D73*J73*_xlfn.XLOOKUP($I73,'Sample Size cal and results'!$B$24:$B$25,'Sample Size cal and results'!$H$24:$H$25)</f>
        <v>358.69233853265666</v>
      </c>
      <c r="L73" s="211">
        <f t="shared" si="25"/>
        <v>0.16164383561643836</v>
      </c>
      <c r="M73" s="211">
        <f>$D73*L73*_xlfn.XLOOKUP($I73,'Sample Size cal and results'!$B$24:$B$25,'Sample Size cal and results'!$I$24:$I$25)</f>
        <v>70.958493770547122</v>
      </c>
      <c r="N73" s="214">
        <f t="shared" si="26"/>
        <v>429.6508323032038</v>
      </c>
      <c r="O73" s="225" t="str">
        <f t="shared" si="27"/>
        <v>6-7 years</v>
      </c>
      <c r="P73" s="226">
        <f t="shared" si="28"/>
        <v>1</v>
      </c>
      <c r="Q73" s="227">
        <f>$D73*P73*_xlfn.XLOOKUP($O73,'Sample Size cal and results'!$B$26:$B$27,'Sample Size cal and results'!$I$26:$I$27)</f>
        <v>381.5379566474125</v>
      </c>
      <c r="R73" s="330"/>
    </row>
    <row r="74" spans="1:18" ht="12.75">
      <c r="A74" s="99" t="s">
        <v>68</v>
      </c>
      <c r="B74" s="100">
        <v>42120</v>
      </c>
      <c r="C74" s="100">
        <f t="shared" si="18"/>
        <v>44676</v>
      </c>
      <c r="D74" s="209">
        <v>448</v>
      </c>
      <c r="E74" s="217">
        <f t="shared" si="19"/>
        <v>4.84</v>
      </c>
      <c r="F74" s="218">
        <f t="shared" si="20"/>
        <v>5.84</v>
      </c>
      <c r="G74" s="219">
        <f t="shared" si="21"/>
        <v>5.84</v>
      </c>
      <c r="H74" s="220">
        <f t="shared" si="22"/>
        <v>6.84</v>
      </c>
      <c r="I74" s="257" t="str">
        <f t="shared" si="23"/>
        <v>5-6 years</v>
      </c>
      <c r="J74" s="211">
        <f t="shared" si="24"/>
        <v>0.83835616438356164</v>
      </c>
      <c r="K74" s="258">
        <f>$D74*J74*_xlfn.XLOOKUP($I74,'Sample Size cal and results'!$B$24:$B$25,'Sample Size cal and results'!$H$24:$H$25)</f>
        <v>348.57737020093316</v>
      </c>
      <c r="L74" s="211">
        <f t="shared" si="25"/>
        <v>0.16164383561643836</v>
      </c>
      <c r="M74" s="211">
        <f>$D74*L74*_xlfn.XLOOKUP($I74,'Sample Size cal and results'!$B$24:$B$25,'Sample Size cal and results'!$I$24:$I$25)</f>
        <v>68.957495030813689</v>
      </c>
      <c r="N74" s="214">
        <f t="shared" si="26"/>
        <v>417.53486523174683</v>
      </c>
      <c r="O74" s="225" t="str">
        <f t="shared" si="27"/>
        <v>6-7 years</v>
      </c>
      <c r="P74" s="226">
        <f t="shared" si="28"/>
        <v>1</v>
      </c>
      <c r="Q74" s="227">
        <f>$D74*P74*_xlfn.XLOOKUP($O74,'Sample Size cal and results'!$B$26:$B$27,'Sample Size cal and results'!$I$26:$I$27)</f>
        <v>370.77875179618394</v>
      </c>
      <c r="R74" s="330"/>
    </row>
    <row r="75" spans="1:18" ht="12.75">
      <c r="A75" s="99" t="s">
        <v>68</v>
      </c>
      <c r="B75" s="100">
        <v>42119</v>
      </c>
      <c r="C75" s="100">
        <f t="shared" si="18"/>
        <v>44675</v>
      </c>
      <c r="D75" s="209">
        <v>490</v>
      </c>
      <c r="E75" s="217">
        <f t="shared" si="19"/>
        <v>4.8499999999999996</v>
      </c>
      <c r="F75" s="218">
        <f t="shared" si="20"/>
        <v>5.84</v>
      </c>
      <c r="G75" s="219">
        <f t="shared" si="21"/>
        <v>5.85</v>
      </c>
      <c r="H75" s="220">
        <f t="shared" si="22"/>
        <v>6.84</v>
      </c>
      <c r="I75" s="257" t="str">
        <f t="shared" si="23"/>
        <v>5-6 years</v>
      </c>
      <c r="J75" s="211">
        <f t="shared" si="24"/>
        <v>0.83835616438356164</v>
      </c>
      <c r="K75" s="258">
        <f>$D75*J75*_xlfn.XLOOKUP($I75,'Sample Size cal and results'!$B$24:$B$25,'Sample Size cal and results'!$H$24:$H$25)</f>
        <v>381.25649865727064</v>
      </c>
      <c r="L75" s="211">
        <f t="shared" si="25"/>
        <v>0.16164383561643836</v>
      </c>
      <c r="M75" s="211">
        <f>$D75*L75*_xlfn.XLOOKUP($I75,'Sample Size cal and results'!$B$24:$B$25,'Sample Size cal and results'!$I$24:$I$25)</f>
        <v>75.422260189952482</v>
      </c>
      <c r="N75" s="214">
        <f t="shared" si="26"/>
        <v>456.67875884722309</v>
      </c>
      <c r="O75" s="225" t="str">
        <f t="shared" si="27"/>
        <v>6-7 years</v>
      </c>
      <c r="P75" s="226">
        <f t="shared" si="28"/>
        <v>1</v>
      </c>
      <c r="Q75" s="227">
        <f>$D75*P75*_xlfn.XLOOKUP($O75,'Sample Size cal and results'!$B$26:$B$27,'Sample Size cal and results'!$I$26:$I$27)</f>
        <v>405.53925977707615</v>
      </c>
      <c r="R75" s="330"/>
    </row>
    <row r="76" spans="1:18" ht="12.75">
      <c r="A76" s="99" t="s">
        <v>68</v>
      </c>
      <c r="B76" s="100">
        <v>42118</v>
      </c>
      <c r="C76" s="100">
        <f t="shared" si="18"/>
        <v>44674</v>
      </c>
      <c r="D76" s="209">
        <v>293</v>
      </c>
      <c r="E76" s="217">
        <f t="shared" si="19"/>
        <v>4.8499999999999996</v>
      </c>
      <c r="F76" s="218">
        <f t="shared" si="20"/>
        <v>5.85</v>
      </c>
      <c r="G76" s="219">
        <f t="shared" si="21"/>
        <v>5.85</v>
      </c>
      <c r="H76" s="220">
        <f t="shared" si="22"/>
        <v>6.85</v>
      </c>
      <c r="I76" s="257" t="str">
        <f t="shared" si="23"/>
        <v>5-6 years</v>
      </c>
      <c r="J76" s="211">
        <f t="shared" si="24"/>
        <v>0.83835616438356164</v>
      </c>
      <c r="K76" s="258">
        <f>$D76*J76*_xlfn.XLOOKUP($I76,'Sample Size cal and results'!$B$24:$B$25,'Sample Size cal and results'!$H$24:$H$25)</f>
        <v>227.97582470730677</v>
      </c>
      <c r="L76" s="211">
        <f t="shared" si="25"/>
        <v>0.16164383561643836</v>
      </c>
      <c r="M76" s="211">
        <f>$D76*L76*_xlfn.XLOOKUP($I76,'Sample Size cal and results'!$B$24:$B$25,'Sample Size cal and results'!$I$24:$I$25)</f>
        <v>45.099433133991994</v>
      </c>
      <c r="N76" s="214">
        <f t="shared" si="26"/>
        <v>273.07525784129876</v>
      </c>
      <c r="O76" s="225" t="str">
        <f t="shared" si="27"/>
        <v>6-7 years</v>
      </c>
      <c r="P76" s="226">
        <f t="shared" si="28"/>
        <v>1</v>
      </c>
      <c r="Q76" s="227">
        <f>$D76*P76*_xlfn.XLOOKUP($O76,'Sample Size cal and results'!$B$26:$B$27,'Sample Size cal and results'!$I$26:$I$27)</f>
        <v>242.4959247238435</v>
      </c>
      <c r="R76" s="330"/>
    </row>
    <row r="77" spans="1:18" ht="12.75">
      <c r="A77" s="99" t="s">
        <v>68</v>
      </c>
      <c r="B77" s="100">
        <v>42117</v>
      </c>
      <c r="C77" s="100">
        <f t="shared" si="18"/>
        <v>44673</v>
      </c>
      <c r="D77" s="209">
        <v>342</v>
      </c>
      <c r="E77" s="217">
        <f t="shared" si="19"/>
        <v>4.8499999999999996</v>
      </c>
      <c r="F77" s="218">
        <f t="shared" si="20"/>
        <v>5.85</v>
      </c>
      <c r="G77" s="219">
        <f t="shared" si="21"/>
        <v>5.85</v>
      </c>
      <c r="H77" s="220">
        <f t="shared" si="22"/>
        <v>6.85</v>
      </c>
      <c r="I77" s="257" t="str">
        <f t="shared" si="23"/>
        <v>5-6 years</v>
      </c>
      <c r="J77" s="211">
        <f t="shared" si="24"/>
        <v>0.83835616438356164</v>
      </c>
      <c r="K77" s="258">
        <f>$D77*J77*_xlfn.XLOOKUP($I77,'Sample Size cal and results'!$B$24:$B$25,'Sample Size cal and results'!$H$24:$H$25)</f>
        <v>266.10147457303384</v>
      </c>
      <c r="L77" s="211">
        <f t="shared" si="25"/>
        <v>0.16164383561643836</v>
      </c>
      <c r="M77" s="211">
        <f>$D77*L77*_xlfn.XLOOKUP($I77,'Sample Size cal and results'!$B$24:$B$25,'Sample Size cal and results'!$I$24:$I$25)</f>
        <v>52.641659152987245</v>
      </c>
      <c r="N77" s="214">
        <f t="shared" si="26"/>
        <v>318.74313372602109</v>
      </c>
      <c r="O77" s="225" t="str">
        <f t="shared" si="27"/>
        <v>6-7 years</v>
      </c>
      <c r="P77" s="226">
        <f t="shared" si="28"/>
        <v>1</v>
      </c>
      <c r="Q77" s="227">
        <f>$D77*P77*_xlfn.XLOOKUP($O77,'Sample Size cal and results'!$B$26:$B$27,'Sample Size cal and results'!$I$26:$I$27)</f>
        <v>283.04985070155112</v>
      </c>
      <c r="R77" s="330"/>
    </row>
    <row r="78" spans="1:18" ht="12.75">
      <c r="A78" s="99" t="s">
        <v>68</v>
      </c>
      <c r="B78" s="100">
        <v>42116</v>
      </c>
      <c r="C78" s="100">
        <f t="shared" si="18"/>
        <v>44672</v>
      </c>
      <c r="D78" s="209">
        <v>397</v>
      </c>
      <c r="E78" s="217">
        <f t="shared" si="19"/>
        <v>4.8499999999999996</v>
      </c>
      <c r="F78" s="218">
        <f t="shared" si="20"/>
        <v>5.85</v>
      </c>
      <c r="G78" s="219">
        <f t="shared" si="21"/>
        <v>5.85</v>
      </c>
      <c r="H78" s="220">
        <f t="shared" si="22"/>
        <v>6.85</v>
      </c>
      <c r="I78" s="257" t="str">
        <f t="shared" si="23"/>
        <v>5-6 years</v>
      </c>
      <c r="J78" s="211">
        <f t="shared" si="24"/>
        <v>0.83835616438356164</v>
      </c>
      <c r="K78" s="258">
        <f>$D78*J78*_xlfn.XLOOKUP($I78,'Sample Size cal and results'!$B$24:$B$25,'Sample Size cal and results'!$H$24:$H$25)</f>
        <v>308.89557136109482</v>
      </c>
      <c r="L78" s="211">
        <f t="shared" si="25"/>
        <v>0.16164383561643836</v>
      </c>
      <c r="M78" s="211">
        <f>$D78*L78*_xlfn.XLOOKUP($I78,'Sample Size cal and results'!$B$24:$B$25,'Sample Size cal and results'!$I$24:$I$25)</f>
        <v>61.107423051859463</v>
      </c>
      <c r="N78" s="214">
        <f t="shared" si="26"/>
        <v>370.00299441295431</v>
      </c>
      <c r="O78" s="225" t="str">
        <f t="shared" si="27"/>
        <v>6-7 years</v>
      </c>
      <c r="P78" s="226">
        <f t="shared" si="28"/>
        <v>1</v>
      </c>
      <c r="Q78" s="227">
        <f>$D78*P78*_xlfn.XLOOKUP($O78,'Sample Size cal and results'!$B$26:$B$27,'Sample Size cal and results'!$I$26:$I$27)</f>
        <v>328.5695635336719</v>
      </c>
      <c r="R78" s="330"/>
    </row>
    <row r="79" spans="1:18" ht="12.75">
      <c r="A79" s="99" t="s">
        <v>68</v>
      </c>
      <c r="B79" s="100">
        <v>42115</v>
      </c>
      <c r="C79" s="100">
        <f t="shared" si="18"/>
        <v>44671</v>
      </c>
      <c r="D79" s="209">
        <v>346</v>
      </c>
      <c r="E79" s="217">
        <f t="shared" si="19"/>
        <v>4.8600000000000003</v>
      </c>
      <c r="F79" s="218">
        <f t="shared" si="20"/>
        <v>5.85</v>
      </c>
      <c r="G79" s="219">
        <f t="shared" si="21"/>
        <v>5.86</v>
      </c>
      <c r="H79" s="220">
        <f t="shared" si="22"/>
        <v>6.85</v>
      </c>
      <c r="I79" s="257" t="str">
        <f t="shared" si="23"/>
        <v>5-6 years</v>
      </c>
      <c r="J79" s="211">
        <f t="shared" si="24"/>
        <v>0.83835616438356164</v>
      </c>
      <c r="K79" s="258">
        <f>$D79*J79*_xlfn.XLOOKUP($I79,'Sample Size cal and results'!$B$24:$B$25,'Sample Size cal and results'!$H$24:$H$25)</f>
        <v>269.21377252125643</v>
      </c>
      <c r="L79" s="211">
        <f t="shared" si="25"/>
        <v>0.16164383561643836</v>
      </c>
      <c r="M79" s="211">
        <f>$D79*L79*_xlfn.XLOOKUP($I79,'Sample Size cal and results'!$B$24:$B$25,'Sample Size cal and results'!$I$24:$I$25)</f>
        <v>53.257351072905223</v>
      </c>
      <c r="N79" s="214">
        <f t="shared" si="26"/>
        <v>322.47112359416167</v>
      </c>
      <c r="O79" s="225" t="str">
        <f t="shared" si="27"/>
        <v>6-7 years</v>
      </c>
      <c r="P79" s="226">
        <f t="shared" si="28"/>
        <v>1</v>
      </c>
      <c r="Q79" s="227">
        <f>$D79*P79*_xlfn.XLOOKUP($O79,'Sample Size cal and results'!$B$26:$B$27,'Sample Size cal and results'!$I$26:$I$27)</f>
        <v>286.36037527115991</v>
      </c>
      <c r="R79" s="330"/>
    </row>
    <row r="80" spans="1:18" ht="12.75">
      <c r="A80" s="99" t="s">
        <v>68</v>
      </c>
      <c r="B80" s="100">
        <v>42114</v>
      </c>
      <c r="C80" s="100">
        <f t="shared" si="18"/>
        <v>44670</v>
      </c>
      <c r="D80" s="209">
        <v>423</v>
      </c>
      <c r="E80" s="217">
        <f t="shared" si="19"/>
        <v>4.8600000000000003</v>
      </c>
      <c r="F80" s="218">
        <f t="shared" si="20"/>
        <v>5.86</v>
      </c>
      <c r="G80" s="219">
        <f t="shared" si="21"/>
        <v>5.86</v>
      </c>
      <c r="H80" s="220">
        <f t="shared" si="22"/>
        <v>6.86</v>
      </c>
      <c r="I80" s="257" t="str">
        <f t="shared" si="23"/>
        <v>5-6 years</v>
      </c>
      <c r="J80" s="211">
        <f t="shared" si="24"/>
        <v>0.83835616438356164</v>
      </c>
      <c r="K80" s="258">
        <f>$D80*J80*_xlfn.XLOOKUP($I80,'Sample Size cal and results'!$B$24:$B$25,'Sample Size cal and results'!$H$24:$H$25)</f>
        <v>329.12550802454183</v>
      </c>
      <c r="L80" s="211">
        <f t="shared" si="25"/>
        <v>0.16164383561643836</v>
      </c>
      <c r="M80" s="211">
        <f>$D80*L80*_xlfn.XLOOKUP($I80,'Sample Size cal and results'!$B$24:$B$25,'Sample Size cal and results'!$I$24:$I$25)</f>
        <v>65.109420531326322</v>
      </c>
      <c r="N80" s="214">
        <f t="shared" si="26"/>
        <v>394.23492855586812</v>
      </c>
      <c r="O80" s="225" t="str">
        <f t="shared" si="27"/>
        <v>6-7 years</v>
      </c>
      <c r="P80" s="226">
        <f t="shared" si="28"/>
        <v>1</v>
      </c>
      <c r="Q80" s="227">
        <f>$D80*P80*_xlfn.XLOOKUP($O80,'Sample Size cal and results'!$B$26:$B$27,'Sample Size cal and results'!$I$26:$I$27)</f>
        <v>350.08797323612902</v>
      </c>
      <c r="R80" s="330"/>
    </row>
    <row r="81" spans="1:18" ht="12.75">
      <c r="A81" s="99" t="s">
        <v>68</v>
      </c>
      <c r="B81" s="100">
        <v>42113</v>
      </c>
      <c r="C81" s="100">
        <f t="shared" si="18"/>
        <v>44669</v>
      </c>
      <c r="D81" s="209">
        <v>369</v>
      </c>
      <c r="E81" s="217">
        <f t="shared" si="19"/>
        <v>4.8600000000000003</v>
      </c>
      <c r="F81" s="218">
        <f t="shared" si="20"/>
        <v>5.86</v>
      </c>
      <c r="G81" s="219">
        <f t="shared" si="21"/>
        <v>5.86</v>
      </c>
      <c r="H81" s="220">
        <f t="shared" si="22"/>
        <v>6.86</v>
      </c>
      <c r="I81" s="257" t="str">
        <f t="shared" si="23"/>
        <v>5-6 years</v>
      </c>
      <c r="J81" s="211">
        <f t="shared" si="24"/>
        <v>0.83835616438356164</v>
      </c>
      <c r="K81" s="258">
        <f>$D81*J81*_xlfn.XLOOKUP($I81,'Sample Size cal and results'!$B$24:$B$25,'Sample Size cal and results'!$H$24:$H$25)</f>
        <v>287.10948572353647</v>
      </c>
      <c r="L81" s="211">
        <f t="shared" si="25"/>
        <v>0.16164383561643836</v>
      </c>
      <c r="M81" s="211">
        <f>$D81*L81*_xlfn.XLOOKUP($I81,'Sample Size cal and results'!$B$24:$B$25,'Sample Size cal and results'!$I$24:$I$25)</f>
        <v>56.797579612433601</v>
      </c>
      <c r="N81" s="214">
        <f t="shared" si="26"/>
        <v>343.90706533597006</v>
      </c>
      <c r="O81" s="225" t="str">
        <f t="shared" si="27"/>
        <v>6-7 years</v>
      </c>
      <c r="P81" s="226">
        <f t="shared" si="28"/>
        <v>1</v>
      </c>
      <c r="Q81" s="227">
        <f>$D81*P81*_xlfn.XLOOKUP($O81,'Sample Size cal and results'!$B$26:$B$27,'Sample Size cal and results'!$I$26:$I$27)</f>
        <v>305.39589154641044</v>
      </c>
      <c r="R81" s="330"/>
    </row>
    <row r="82" spans="1:18" ht="12.75">
      <c r="A82" s="99" t="s">
        <v>68</v>
      </c>
      <c r="B82" s="100">
        <v>42112</v>
      </c>
      <c r="C82" s="100">
        <f t="shared" si="18"/>
        <v>44668</v>
      </c>
      <c r="D82" s="209">
        <v>410</v>
      </c>
      <c r="E82" s="217">
        <f t="shared" si="19"/>
        <v>4.8600000000000003</v>
      </c>
      <c r="F82" s="218">
        <f t="shared" si="20"/>
        <v>5.86</v>
      </c>
      <c r="G82" s="219">
        <f t="shared" si="21"/>
        <v>5.86</v>
      </c>
      <c r="H82" s="220">
        <f t="shared" si="22"/>
        <v>6.86</v>
      </c>
      <c r="I82" s="257" t="str">
        <f t="shared" si="23"/>
        <v>5-6 years</v>
      </c>
      <c r="J82" s="211">
        <f t="shared" si="24"/>
        <v>0.83835616438356164</v>
      </c>
      <c r="K82" s="258">
        <f>$D82*J82*_xlfn.XLOOKUP($I82,'Sample Size cal and results'!$B$24:$B$25,'Sample Size cal and results'!$H$24:$H$25)</f>
        <v>319.01053969281833</v>
      </c>
      <c r="L82" s="211">
        <f t="shared" si="25"/>
        <v>0.16164383561643836</v>
      </c>
      <c r="M82" s="211">
        <f>$D82*L82*_xlfn.XLOOKUP($I82,'Sample Size cal and results'!$B$24:$B$25,'Sample Size cal and results'!$I$24:$I$25)</f>
        <v>63.108421791592896</v>
      </c>
      <c r="N82" s="214">
        <f t="shared" si="26"/>
        <v>382.11896148441122</v>
      </c>
      <c r="O82" s="225" t="str">
        <f t="shared" si="27"/>
        <v>6-7 years</v>
      </c>
      <c r="P82" s="226">
        <f t="shared" si="28"/>
        <v>1</v>
      </c>
      <c r="Q82" s="227">
        <f>$D82*P82*_xlfn.XLOOKUP($O82,'Sample Size cal and results'!$B$26:$B$27,'Sample Size cal and results'!$I$26:$I$27)</f>
        <v>339.32876838490046</v>
      </c>
      <c r="R82" s="330"/>
    </row>
    <row r="83" spans="1:18" ht="12.75">
      <c r="A83" s="99" t="s">
        <v>68</v>
      </c>
      <c r="B83" s="100">
        <v>42111</v>
      </c>
      <c r="C83" s="100">
        <f t="shared" si="18"/>
        <v>44667</v>
      </c>
      <c r="D83" s="209">
        <v>344</v>
      </c>
      <c r="E83" s="217">
        <f t="shared" si="19"/>
        <v>4.87</v>
      </c>
      <c r="F83" s="218">
        <f t="shared" si="20"/>
        <v>5.86</v>
      </c>
      <c r="G83" s="219">
        <f t="shared" si="21"/>
        <v>5.87</v>
      </c>
      <c r="H83" s="220">
        <f t="shared" si="22"/>
        <v>6.86</v>
      </c>
      <c r="I83" s="257" t="str">
        <f t="shared" si="23"/>
        <v>5-6 years</v>
      </c>
      <c r="J83" s="211">
        <f t="shared" si="24"/>
        <v>0.83835616438356164</v>
      </c>
      <c r="K83" s="258">
        <f>$D83*J83*_xlfn.XLOOKUP($I83,'Sample Size cal and results'!$B$24:$B$25,'Sample Size cal and results'!$H$24:$H$25)</f>
        <v>267.65762354714514</v>
      </c>
      <c r="L83" s="211">
        <f t="shared" si="25"/>
        <v>0.16164383561643836</v>
      </c>
      <c r="M83" s="211">
        <f>$D83*L83*_xlfn.XLOOKUP($I83,'Sample Size cal and results'!$B$24:$B$25,'Sample Size cal and results'!$I$24:$I$25)</f>
        <v>52.949505112946234</v>
      </c>
      <c r="N83" s="214">
        <f t="shared" si="26"/>
        <v>320.60712866009135</v>
      </c>
      <c r="O83" s="225" t="str">
        <f t="shared" si="27"/>
        <v>6-7 years</v>
      </c>
      <c r="P83" s="226">
        <f t="shared" si="28"/>
        <v>1</v>
      </c>
      <c r="Q83" s="227">
        <f>$D83*P83*_xlfn.XLOOKUP($O83,'Sample Size cal and results'!$B$26:$B$27,'Sample Size cal and results'!$I$26:$I$27)</f>
        <v>284.70511298635552</v>
      </c>
      <c r="R83" s="330"/>
    </row>
    <row r="84" spans="1:18" ht="12.75">
      <c r="A84" s="99" t="s">
        <v>68</v>
      </c>
      <c r="B84" s="100">
        <v>42110</v>
      </c>
      <c r="C84" s="100">
        <f t="shared" si="18"/>
        <v>44666</v>
      </c>
      <c r="D84" s="209">
        <v>368</v>
      </c>
      <c r="E84" s="217">
        <f t="shared" si="19"/>
        <v>4.87</v>
      </c>
      <c r="F84" s="218">
        <f t="shared" si="20"/>
        <v>5.87</v>
      </c>
      <c r="G84" s="219">
        <f t="shared" si="21"/>
        <v>5.87</v>
      </c>
      <c r="H84" s="220">
        <f t="shared" si="22"/>
        <v>6.87</v>
      </c>
      <c r="I84" s="257" t="str">
        <f t="shared" si="23"/>
        <v>5-6 years</v>
      </c>
      <c r="J84" s="211">
        <f t="shared" si="24"/>
        <v>0.83835616438356164</v>
      </c>
      <c r="K84" s="258">
        <f>$D84*J84*_xlfn.XLOOKUP($I84,'Sample Size cal and results'!$B$24:$B$25,'Sample Size cal and results'!$H$24:$H$25)</f>
        <v>286.33141123648085</v>
      </c>
      <c r="L84" s="211">
        <f t="shared" si="25"/>
        <v>0.16164383561643836</v>
      </c>
      <c r="M84" s="211">
        <f>$D84*L84*_xlfn.XLOOKUP($I84,'Sample Size cal and results'!$B$24:$B$25,'Sample Size cal and results'!$I$24:$I$25)</f>
        <v>56.64365663245411</v>
      </c>
      <c r="N84" s="214">
        <f t="shared" si="26"/>
        <v>342.97506786893496</v>
      </c>
      <c r="O84" s="225" t="str">
        <f t="shared" si="27"/>
        <v>6-7 years</v>
      </c>
      <c r="P84" s="226">
        <f t="shared" si="28"/>
        <v>1</v>
      </c>
      <c r="Q84" s="227">
        <f>$D84*P84*_xlfn.XLOOKUP($O84,'Sample Size cal and results'!$B$26:$B$27,'Sample Size cal and results'!$I$26:$I$27)</f>
        <v>304.56826040400824</v>
      </c>
      <c r="R84" s="330"/>
    </row>
    <row r="85" spans="1:18" ht="12.75">
      <c r="A85" s="99" t="s">
        <v>67</v>
      </c>
      <c r="B85" s="100">
        <v>42109</v>
      </c>
      <c r="C85" s="100">
        <f t="shared" si="18"/>
        <v>44665</v>
      </c>
      <c r="D85" s="209">
        <v>2332</v>
      </c>
      <c r="E85" s="217">
        <f t="shared" si="19"/>
        <v>4.87</v>
      </c>
      <c r="F85" s="218">
        <f t="shared" si="20"/>
        <v>5.87</v>
      </c>
      <c r="G85" s="219">
        <f t="shared" si="21"/>
        <v>5.87</v>
      </c>
      <c r="H85" s="220">
        <f t="shared" si="22"/>
        <v>6.87</v>
      </c>
      <c r="I85" s="257" t="str">
        <f t="shared" si="23"/>
        <v>5-6 years</v>
      </c>
      <c r="J85" s="211">
        <f t="shared" si="24"/>
        <v>0.83835616438356164</v>
      </c>
      <c r="K85" s="258">
        <f>$D85*J85*_xlfn.XLOOKUP($I85,'Sample Size cal and results'!$B$24:$B$25,'Sample Size cal and results'!$H$24:$H$25)</f>
        <v>1814.4697038137863</v>
      </c>
      <c r="L85" s="211">
        <f t="shared" si="25"/>
        <v>0.16164383561643836</v>
      </c>
      <c r="M85" s="211">
        <f>$D85*L85*_xlfn.XLOOKUP($I85,'Sample Size cal and results'!$B$24:$B$25,'Sample Size cal and results'!$I$24:$I$25)</f>
        <v>358.94838931218203</v>
      </c>
      <c r="N85" s="214">
        <f t="shared" si="26"/>
        <v>2173.4180931259684</v>
      </c>
      <c r="O85" s="225" t="str">
        <f t="shared" si="27"/>
        <v>6-7 years</v>
      </c>
      <c r="P85" s="226">
        <f t="shared" si="28"/>
        <v>1</v>
      </c>
      <c r="Q85" s="227">
        <f>$D85*P85*_xlfn.XLOOKUP($O85,'Sample Size cal and results'!$B$26:$B$27,'Sample Size cal and results'!$I$26:$I$27)</f>
        <v>1930.0358240819216</v>
      </c>
      <c r="R85" s="330"/>
    </row>
    <row r="86" spans="1:18" ht="12.75">
      <c r="A86" s="99" t="s">
        <v>68</v>
      </c>
      <c r="B86" s="100">
        <v>42109</v>
      </c>
      <c r="C86" s="100">
        <f t="shared" si="18"/>
        <v>44665</v>
      </c>
      <c r="D86" s="209">
        <v>981</v>
      </c>
      <c r="E86" s="217">
        <f t="shared" si="19"/>
        <v>4.87</v>
      </c>
      <c r="F86" s="218">
        <f t="shared" si="20"/>
        <v>5.87</v>
      </c>
      <c r="G86" s="219">
        <f t="shared" si="21"/>
        <v>5.87</v>
      </c>
      <c r="H86" s="220">
        <f t="shared" si="22"/>
        <v>6.87</v>
      </c>
      <c r="I86" s="257" t="str">
        <f t="shared" si="23"/>
        <v>5-6 years</v>
      </c>
      <c r="J86" s="211">
        <f t="shared" si="24"/>
        <v>0.83835616438356164</v>
      </c>
      <c r="K86" s="258">
        <f>$D86*J86*_xlfn.XLOOKUP($I86,'Sample Size cal and results'!$B$24:$B$25,'Sample Size cal and results'!$H$24:$H$25)</f>
        <v>763.29107180159701</v>
      </c>
      <c r="L86" s="211">
        <f t="shared" si="25"/>
        <v>0.16164383561643836</v>
      </c>
      <c r="M86" s="211">
        <f>$D86*L86*_xlfn.XLOOKUP($I86,'Sample Size cal and results'!$B$24:$B$25,'Sample Size cal and results'!$I$24:$I$25)</f>
        <v>150.99844335988445</v>
      </c>
      <c r="N86" s="214">
        <f t="shared" si="26"/>
        <v>914.2895151614814</v>
      </c>
      <c r="O86" s="225" t="str">
        <f t="shared" si="27"/>
        <v>6-7 years</v>
      </c>
      <c r="P86" s="226">
        <f t="shared" si="28"/>
        <v>1</v>
      </c>
      <c r="Q86" s="227">
        <f>$D86*P86*_xlfn.XLOOKUP($O86,'Sample Size cal and results'!$B$26:$B$27,'Sample Size cal and results'!$I$26:$I$27)</f>
        <v>811.9061506965545</v>
      </c>
      <c r="R86" s="330"/>
    </row>
    <row r="87" spans="1:18" ht="12.75">
      <c r="A87" s="99" t="s">
        <v>67</v>
      </c>
      <c r="B87" s="100">
        <v>42108</v>
      </c>
      <c r="C87" s="100">
        <f t="shared" si="18"/>
        <v>44664</v>
      </c>
      <c r="D87" s="209">
        <v>298</v>
      </c>
      <c r="E87" s="217">
        <f t="shared" si="19"/>
        <v>4.88</v>
      </c>
      <c r="F87" s="218">
        <f t="shared" si="20"/>
        <v>5.87</v>
      </c>
      <c r="G87" s="219">
        <f t="shared" si="21"/>
        <v>5.88</v>
      </c>
      <c r="H87" s="220">
        <f t="shared" si="22"/>
        <v>6.87</v>
      </c>
      <c r="I87" s="257" t="str">
        <f t="shared" si="23"/>
        <v>5-6 years</v>
      </c>
      <c r="J87" s="211">
        <f t="shared" si="24"/>
        <v>0.83835616438356164</v>
      </c>
      <c r="K87" s="258">
        <f>$D87*J87*_xlfn.XLOOKUP($I87,'Sample Size cal and results'!$B$24:$B$25,'Sample Size cal and results'!$H$24:$H$25)</f>
        <v>231.86619714258504</v>
      </c>
      <c r="L87" s="211">
        <f t="shared" si="25"/>
        <v>0.16164383561643836</v>
      </c>
      <c r="M87" s="211">
        <f>$D87*L87*_xlfn.XLOOKUP($I87,'Sample Size cal and results'!$B$24:$B$25,'Sample Size cal and results'!$I$24:$I$25)</f>
        <v>45.86904803388947</v>
      </c>
      <c r="N87" s="214">
        <f t="shared" si="26"/>
        <v>277.73524517647451</v>
      </c>
      <c r="O87" s="225" t="str">
        <f t="shared" si="27"/>
        <v>6-7 years</v>
      </c>
      <c r="P87" s="226">
        <f t="shared" si="28"/>
        <v>1</v>
      </c>
      <c r="Q87" s="227">
        <f>$D87*P87*_xlfn.XLOOKUP($O87,'Sample Size cal and results'!$B$26:$B$27,'Sample Size cal and results'!$I$26:$I$27)</f>
        <v>246.63408043585449</v>
      </c>
      <c r="R87" s="330"/>
    </row>
    <row r="88" spans="1:18" ht="12.75">
      <c r="A88" s="99" t="s">
        <v>67</v>
      </c>
      <c r="B88" s="100">
        <v>42107</v>
      </c>
      <c r="C88" s="100">
        <f t="shared" si="18"/>
        <v>44663</v>
      </c>
      <c r="D88" s="209">
        <v>293</v>
      </c>
      <c r="E88" s="217">
        <f t="shared" si="19"/>
        <v>4.88</v>
      </c>
      <c r="F88" s="218">
        <f t="shared" si="20"/>
        <v>5.88</v>
      </c>
      <c r="G88" s="219">
        <f t="shared" si="21"/>
        <v>5.88</v>
      </c>
      <c r="H88" s="220">
        <f t="shared" si="22"/>
        <v>6.88</v>
      </c>
      <c r="I88" s="257" t="str">
        <f t="shared" si="23"/>
        <v>5-6 years</v>
      </c>
      <c r="J88" s="211">
        <f t="shared" si="24"/>
        <v>0.83835616438356164</v>
      </c>
      <c r="K88" s="258">
        <f>$D88*J88*_xlfn.XLOOKUP($I88,'Sample Size cal and results'!$B$24:$B$25,'Sample Size cal and results'!$H$24:$H$25)</f>
        <v>227.97582470730677</v>
      </c>
      <c r="L88" s="211">
        <f t="shared" si="25"/>
        <v>0.16164383561643836</v>
      </c>
      <c r="M88" s="211">
        <f>$D88*L88*_xlfn.XLOOKUP($I88,'Sample Size cal and results'!$B$24:$B$25,'Sample Size cal and results'!$I$24:$I$25)</f>
        <v>45.099433133991994</v>
      </c>
      <c r="N88" s="214">
        <f t="shared" si="26"/>
        <v>273.07525784129876</v>
      </c>
      <c r="O88" s="225" t="str">
        <f t="shared" si="27"/>
        <v>6-7 years</v>
      </c>
      <c r="P88" s="226">
        <f t="shared" si="28"/>
        <v>1</v>
      </c>
      <c r="Q88" s="227">
        <f>$D88*P88*_xlfn.XLOOKUP($O88,'Sample Size cal and results'!$B$26:$B$27,'Sample Size cal and results'!$I$26:$I$27)</f>
        <v>242.4959247238435</v>
      </c>
      <c r="R88" s="330"/>
    </row>
    <row r="89" spans="1:18" ht="12.75">
      <c r="A89" s="99" t="s">
        <v>67</v>
      </c>
      <c r="B89" s="100">
        <v>42106</v>
      </c>
      <c r="C89" s="100">
        <f t="shared" si="18"/>
        <v>44662</v>
      </c>
      <c r="D89" s="209">
        <v>394</v>
      </c>
      <c r="E89" s="217">
        <f t="shared" si="19"/>
        <v>4.88</v>
      </c>
      <c r="F89" s="218">
        <f t="shared" si="20"/>
        <v>5.88</v>
      </c>
      <c r="G89" s="219">
        <f t="shared" si="21"/>
        <v>5.88</v>
      </c>
      <c r="H89" s="220">
        <f t="shared" si="22"/>
        <v>6.88</v>
      </c>
      <c r="I89" s="257" t="str">
        <f t="shared" si="23"/>
        <v>5-6 years</v>
      </c>
      <c r="J89" s="211">
        <f t="shared" si="24"/>
        <v>0.83835616438356164</v>
      </c>
      <c r="K89" s="258">
        <f>$D89*J89*_xlfn.XLOOKUP($I89,'Sample Size cal and results'!$B$24:$B$25,'Sample Size cal and results'!$H$24:$H$25)</f>
        <v>306.56134789992785</v>
      </c>
      <c r="L89" s="211">
        <f t="shared" si="25"/>
        <v>0.16164383561643836</v>
      </c>
      <c r="M89" s="211">
        <f>$D89*L89*_xlfn.XLOOKUP($I89,'Sample Size cal and results'!$B$24:$B$25,'Sample Size cal and results'!$I$24:$I$25)</f>
        <v>60.645654111920976</v>
      </c>
      <c r="N89" s="214">
        <f t="shared" si="26"/>
        <v>367.20700201184883</v>
      </c>
      <c r="O89" s="225" t="str">
        <f t="shared" si="27"/>
        <v>6-7 years</v>
      </c>
      <c r="P89" s="226">
        <f t="shared" si="28"/>
        <v>1</v>
      </c>
      <c r="Q89" s="227">
        <f>$D89*P89*_xlfn.XLOOKUP($O89,'Sample Size cal and results'!$B$26:$B$27,'Sample Size cal and results'!$I$26:$I$27)</f>
        <v>326.08667010646531</v>
      </c>
      <c r="R89" s="330"/>
    </row>
    <row r="90" spans="1:18" ht="12.75">
      <c r="A90" s="99" t="s">
        <v>67</v>
      </c>
      <c r="B90" s="100">
        <v>42105</v>
      </c>
      <c r="C90" s="100">
        <f t="shared" si="18"/>
        <v>44661</v>
      </c>
      <c r="D90" s="209">
        <v>280</v>
      </c>
      <c r="E90" s="217">
        <f t="shared" si="19"/>
        <v>4.88</v>
      </c>
      <c r="F90" s="218">
        <f t="shared" si="20"/>
        <v>5.88</v>
      </c>
      <c r="G90" s="219">
        <f t="shared" si="21"/>
        <v>5.88</v>
      </c>
      <c r="H90" s="220">
        <f t="shared" si="22"/>
        <v>6.88</v>
      </c>
      <c r="I90" s="257" t="str">
        <f t="shared" si="23"/>
        <v>5-6 years</v>
      </c>
      <c r="J90" s="211">
        <f t="shared" si="24"/>
        <v>0.83835616438356164</v>
      </c>
      <c r="K90" s="258">
        <f>$D90*J90*_xlfn.XLOOKUP($I90,'Sample Size cal and results'!$B$24:$B$25,'Sample Size cal and results'!$H$24:$H$25)</f>
        <v>217.86085637558327</v>
      </c>
      <c r="L90" s="211">
        <f t="shared" si="25"/>
        <v>0.16164383561643836</v>
      </c>
      <c r="M90" s="211">
        <f>$D90*L90*_xlfn.XLOOKUP($I90,'Sample Size cal and results'!$B$24:$B$25,'Sample Size cal and results'!$I$24:$I$25)</f>
        <v>43.098434394258561</v>
      </c>
      <c r="N90" s="214">
        <f t="shared" si="26"/>
        <v>260.9592907698418</v>
      </c>
      <c r="O90" s="225" t="str">
        <f t="shared" si="27"/>
        <v>6-7 years</v>
      </c>
      <c r="P90" s="226">
        <f t="shared" si="28"/>
        <v>1</v>
      </c>
      <c r="Q90" s="227">
        <f>$D90*P90*_xlfn.XLOOKUP($O90,'Sample Size cal and results'!$B$26:$B$27,'Sample Size cal and results'!$I$26:$I$27)</f>
        <v>231.73671987261494</v>
      </c>
      <c r="R90" s="330"/>
    </row>
    <row r="91" spans="1:18" ht="12.75">
      <c r="A91" s="99" t="s">
        <v>67</v>
      </c>
      <c r="B91" s="100">
        <v>42104</v>
      </c>
      <c r="C91" s="100">
        <f t="shared" si="18"/>
        <v>44660</v>
      </c>
      <c r="D91" s="209">
        <v>363</v>
      </c>
      <c r="E91" s="217">
        <f t="shared" si="19"/>
        <v>4.8899999999999997</v>
      </c>
      <c r="F91" s="218">
        <f t="shared" si="20"/>
        <v>5.88</v>
      </c>
      <c r="G91" s="219">
        <f t="shared" si="21"/>
        <v>5.89</v>
      </c>
      <c r="H91" s="220">
        <f t="shared" si="22"/>
        <v>6.88</v>
      </c>
      <c r="I91" s="257" t="str">
        <f t="shared" si="23"/>
        <v>5-6 years</v>
      </c>
      <c r="J91" s="211">
        <f t="shared" si="24"/>
        <v>0.83835616438356164</v>
      </c>
      <c r="K91" s="258">
        <f>$D91*J91*_xlfn.XLOOKUP($I91,'Sample Size cal and results'!$B$24:$B$25,'Sample Size cal and results'!$H$24:$H$25)</f>
        <v>282.44103880120258</v>
      </c>
      <c r="L91" s="211">
        <f t="shared" si="25"/>
        <v>0.16164383561643836</v>
      </c>
      <c r="M91" s="211">
        <f>$D91*L91*_xlfn.XLOOKUP($I91,'Sample Size cal and results'!$B$24:$B$25,'Sample Size cal and results'!$I$24:$I$25)</f>
        <v>55.874041732556634</v>
      </c>
      <c r="N91" s="214">
        <f t="shared" si="26"/>
        <v>338.31508053375921</v>
      </c>
      <c r="O91" s="225" t="str">
        <f t="shared" si="27"/>
        <v>6-7 years</v>
      </c>
      <c r="P91" s="226">
        <f t="shared" si="28"/>
        <v>1</v>
      </c>
      <c r="Q91" s="227">
        <f>$D91*P91*_xlfn.XLOOKUP($O91,'Sample Size cal and results'!$B$26:$B$27,'Sample Size cal and results'!$I$26:$I$27)</f>
        <v>300.43010469199726</v>
      </c>
      <c r="R91" s="330"/>
    </row>
    <row r="92" spans="1:18" ht="12.75">
      <c r="A92" s="99" t="s">
        <v>67</v>
      </c>
      <c r="B92" s="100">
        <v>42103</v>
      </c>
      <c r="C92" s="100">
        <f t="shared" si="18"/>
        <v>44659</v>
      </c>
      <c r="D92" s="209">
        <v>238</v>
      </c>
      <c r="E92" s="217">
        <f t="shared" si="19"/>
        <v>4.8899999999999997</v>
      </c>
      <c r="F92" s="218">
        <f t="shared" si="20"/>
        <v>5.89</v>
      </c>
      <c r="G92" s="219">
        <f t="shared" si="21"/>
        <v>5.89</v>
      </c>
      <c r="H92" s="220">
        <f t="shared" si="22"/>
        <v>6.89</v>
      </c>
      <c r="I92" s="257" t="str">
        <f t="shared" si="23"/>
        <v>5-6 years</v>
      </c>
      <c r="J92" s="211">
        <f t="shared" si="24"/>
        <v>0.83835616438356164</v>
      </c>
      <c r="K92" s="258">
        <f>$D92*J92*_xlfn.XLOOKUP($I92,'Sample Size cal and results'!$B$24:$B$25,'Sample Size cal and results'!$H$24:$H$25)</f>
        <v>185.18172791924576</v>
      </c>
      <c r="L92" s="211">
        <f t="shared" si="25"/>
        <v>0.16164383561643836</v>
      </c>
      <c r="M92" s="211">
        <f>$D92*L92*_xlfn.XLOOKUP($I92,'Sample Size cal and results'!$B$24:$B$25,'Sample Size cal and results'!$I$24:$I$25)</f>
        <v>36.633669235119775</v>
      </c>
      <c r="N92" s="214">
        <f t="shared" si="26"/>
        <v>221.81539715436554</v>
      </c>
      <c r="O92" s="225" t="str">
        <f t="shared" si="27"/>
        <v>6-7 years</v>
      </c>
      <c r="P92" s="226">
        <f t="shared" si="28"/>
        <v>1</v>
      </c>
      <c r="Q92" s="227">
        <f>$D92*P92*_xlfn.XLOOKUP($O92,'Sample Size cal and results'!$B$26:$B$27,'Sample Size cal and results'!$I$26:$I$27)</f>
        <v>196.9762118917227</v>
      </c>
      <c r="R92" s="330"/>
    </row>
    <row r="93" spans="1:18" ht="12.75">
      <c r="A93" s="99" t="s">
        <v>67</v>
      </c>
      <c r="B93" s="100">
        <v>42102</v>
      </c>
      <c r="C93" s="100">
        <f t="shared" si="18"/>
        <v>44658</v>
      </c>
      <c r="D93" s="209">
        <v>280</v>
      </c>
      <c r="E93" s="217">
        <f t="shared" si="19"/>
        <v>4.8899999999999997</v>
      </c>
      <c r="F93" s="218">
        <f t="shared" si="20"/>
        <v>5.89</v>
      </c>
      <c r="G93" s="219">
        <f t="shared" si="21"/>
        <v>5.89</v>
      </c>
      <c r="H93" s="220">
        <f t="shared" si="22"/>
        <v>6.89</v>
      </c>
      <c r="I93" s="257" t="str">
        <f t="shared" si="23"/>
        <v>5-6 years</v>
      </c>
      <c r="J93" s="211">
        <f t="shared" si="24"/>
        <v>0.83835616438356164</v>
      </c>
      <c r="K93" s="258">
        <f>$D93*J93*_xlfn.XLOOKUP($I93,'Sample Size cal and results'!$B$24:$B$25,'Sample Size cal and results'!$H$24:$H$25)</f>
        <v>217.86085637558327</v>
      </c>
      <c r="L93" s="211">
        <f t="shared" si="25"/>
        <v>0.16164383561643836</v>
      </c>
      <c r="M93" s="211">
        <f>$D93*L93*_xlfn.XLOOKUP($I93,'Sample Size cal and results'!$B$24:$B$25,'Sample Size cal and results'!$I$24:$I$25)</f>
        <v>43.098434394258561</v>
      </c>
      <c r="N93" s="214">
        <f t="shared" si="26"/>
        <v>260.9592907698418</v>
      </c>
      <c r="O93" s="225" t="str">
        <f t="shared" si="27"/>
        <v>6-7 years</v>
      </c>
      <c r="P93" s="226">
        <f t="shared" si="28"/>
        <v>1</v>
      </c>
      <c r="Q93" s="227">
        <f>$D93*P93*_xlfn.XLOOKUP($O93,'Sample Size cal and results'!$B$26:$B$27,'Sample Size cal and results'!$I$26:$I$27)</f>
        <v>231.73671987261494</v>
      </c>
      <c r="R93" s="330"/>
    </row>
    <row r="94" spans="1:18" ht="12.75">
      <c r="A94" s="99" t="s">
        <v>67</v>
      </c>
      <c r="B94" s="100">
        <v>42101</v>
      </c>
      <c r="C94" s="100">
        <f t="shared" si="18"/>
        <v>44657</v>
      </c>
      <c r="D94" s="209">
        <v>278</v>
      </c>
      <c r="E94" s="217">
        <f t="shared" si="19"/>
        <v>4.8899999999999997</v>
      </c>
      <c r="F94" s="218">
        <f t="shared" si="20"/>
        <v>5.89</v>
      </c>
      <c r="G94" s="219">
        <f t="shared" si="21"/>
        <v>5.89</v>
      </c>
      <c r="H94" s="220">
        <f t="shared" si="22"/>
        <v>6.89</v>
      </c>
      <c r="I94" s="257" t="str">
        <f t="shared" si="23"/>
        <v>5-6 years</v>
      </c>
      <c r="J94" s="211">
        <f t="shared" si="24"/>
        <v>0.83835616438356164</v>
      </c>
      <c r="K94" s="258">
        <f>$D94*J94*_xlfn.XLOOKUP($I94,'Sample Size cal and results'!$B$24:$B$25,'Sample Size cal and results'!$H$24:$H$25)</f>
        <v>216.30470740147194</v>
      </c>
      <c r="L94" s="211">
        <f t="shared" si="25"/>
        <v>0.16164383561643836</v>
      </c>
      <c r="M94" s="211">
        <f>$D94*L94*_xlfn.XLOOKUP($I94,'Sample Size cal and results'!$B$24:$B$25,'Sample Size cal and results'!$I$24:$I$25)</f>
        <v>42.790588434299572</v>
      </c>
      <c r="N94" s="214">
        <f t="shared" si="26"/>
        <v>259.09529583577154</v>
      </c>
      <c r="O94" s="225" t="str">
        <f t="shared" si="27"/>
        <v>6-7 years</v>
      </c>
      <c r="P94" s="226">
        <f t="shared" si="28"/>
        <v>1</v>
      </c>
      <c r="Q94" s="227">
        <f>$D94*P94*_xlfn.XLOOKUP($O94,'Sample Size cal and results'!$B$26:$B$27,'Sample Size cal and results'!$I$26:$I$27)</f>
        <v>230.08145758781055</v>
      </c>
      <c r="R94" s="330"/>
    </row>
    <row r="95" spans="1:18" ht="12.75">
      <c r="A95" s="99" t="s">
        <v>67</v>
      </c>
      <c r="B95" s="100">
        <v>42100</v>
      </c>
      <c r="C95" s="100">
        <f t="shared" si="18"/>
        <v>44656</v>
      </c>
      <c r="D95" s="209">
        <v>273</v>
      </c>
      <c r="E95" s="217">
        <f t="shared" si="19"/>
        <v>4.9000000000000004</v>
      </c>
      <c r="F95" s="218">
        <f t="shared" si="20"/>
        <v>5.89</v>
      </c>
      <c r="G95" s="219">
        <f t="shared" si="21"/>
        <v>5.9</v>
      </c>
      <c r="H95" s="220">
        <f t="shared" si="22"/>
        <v>6.89</v>
      </c>
      <c r="I95" s="257" t="str">
        <f t="shared" si="23"/>
        <v>5-6 years</v>
      </c>
      <c r="J95" s="211">
        <f t="shared" si="24"/>
        <v>0.83835616438356164</v>
      </c>
      <c r="K95" s="258">
        <f>$D95*J95*_xlfn.XLOOKUP($I95,'Sample Size cal and results'!$B$24:$B$25,'Sample Size cal and results'!$H$24:$H$25)</f>
        <v>212.41433496619368</v>
      </c>
      <c r="L95" s="211">
        <f t="shared" si="25"/>
        <v>0.16164383561643836</v>
      </c>
      <c r="M95" s="211">
        <f>$D95*L95*_xlfn.XLOOKUP($I95,'Sample Size cal and results'!$B$24:$B$25,'Sample Size cal and results'!$I$24:$I$25)</f>
        <v>42.020973534402096</v>
      </c>
      <c r="N95" s="214">
        <f t="shared" si="26"/>
        <v>254.43530850059577</v>
      </c>
      <c r="O95" s="225" t="str">
        <f t="shared" si="27"/>
        <v>6-7 years</v>
      </c>
      <c r="P95" s="226">
        <f t="shared" si="28"/>
        <v>1</v>
      </c>
      <c r="Q95" s="227">
        <f>$D95*P95*_xlfn.XLOOKUP($O95,'Sample Size cal and results'!$B$26:$B$27,'Sample Size cal and results'!$I$26:$I$27)</f>
        <v>225.94330187579959</v>
      </c>
      <c r="R95" s="330"/>
    </row>
    <row r="96" spans="1:18" ht="12.75">
      <c r="A96" s="99" t="s">
        <v>67</v>
      </c>
      <c r="B96" s="100">
        <v>42099</v>
      </c>
      <c r="C96" s="100">
        <f t="shared" si="18"/>
        <v>44655</v>
      </c>
      <c r="D96" s="209">
        <v>350</v>
      </c>
      <c r="E96" s="217">
        <f t="shared" si="19"/>
        <v>4.9000000000000004</v>
      </c>
      <c r="F96" s="218">
        <f t="shared" si="20"/>
        <v>5.9</v>
      </c>
      <c r="G96" s="219">
        <f t="shared" si="21"/>
        <v>5.9</v>
      </c>
      <c r="H96" s="220">
        <f t="shared" si="22"/>
        <v>6.9</v>
      </c>
      <c r="I96" s="257" t="str">
        <f t="shared" si="23"/>
        <v>5-6 years</v>
      </c>
      <c r="J96" s="211">
        <f t="shared" si="24"/>
        <v>0.83835616438356164</v>
      </c>
      <c r="K96" s="258">
        <f>$D96*J96*_xlfn.XLOOKUP($I96,'Sample Size cal and results'!$B$24:$B$25,'Sample Size cal and results'!$H$24:$H$25)</f>
        <v>272.32607046947908</v>
      </c>
      <c r="L96" s="211">
        <f t="shared" si="25"/>
        <v>0.16164383561643836</v>
      </c>
      <c r="M96" s="211">
        <f>$D96*L96*_xlfn.XLOOKUP($I96,'Sample Size cal and results'!$B$24:$B$25,'Sample Size cal and results'!$I$24:$I$25)</f>
        <v>53.873042992823201</v>
      </c>
      <c r="N96" s="214">
        <f t="shared" si="26"/>
        <v>326.19911346230231</v>
      </c>
      <c r="O96" s="225" t="str">
        <f t="shared" si="27"/>
        <v>6-7 years</v>
      </c>
      <c r="P96" s="226">
        <f t="shared" si="28"/>
        <v>1</v>
      </c>
      <c r="Q96" s="227">
        <f>$D96*P96*_xlfn.XLOOKUP($O96,'Sample Size cal and results'!$B$26:$B$27,'Sample Size cal and results'!$I$26:$I$27)</f>
        <v>289.6708998407687</v>
      </c>
      <c r="R96" s="330"/>
    </row>
    <row r="97" spans="1:18" ht="12.75">
      <c r="A97" s="99" t="s">
        <v>67</v>
      </c>
      <c r="B97" s="100">
        <v>42098</v>
      </c>
      <c r="C97" s="100">
        <f t="shared" si="18"/>
        <v>44654</v>
      </c>
      <c r="D97" s="209">
        <v>289</v>
      </c>
      <c r="E97" s="217">
        <f t="shared" si="19"/>
        <v>4.9000000000000004</v>
      </c>
      <c r="F97" s="218">
        <f t="shared" si="20"/>
        <v>5.9</v>
      </c>
      <c r="G97" s="219">
        <f t="shared" si="21"/>
        <v>5.9</v>
      </c>
      <c r="H97" s="220">
        <f t="shared" si="22"/>
        <v>6.9</v>
      </c>
      <c r="I97" s="257" t="str">
        <f t="shared" si="23"/>
        <v>5-6 years</v>
      </c>
      <c r="J97" s="211">
        <f t="shared" si="24"/>
        <v>0.83835616438356164</v>
      </c>
      <c r="K97" s="258">
        <f>$D97*J97*_xlfn.XLOOKUP($I97,'Sample Size cal and results'!$B$24:$B$25,'Sample Size cal and results'!$H$24:$H$25)</f>
        <v>224.86352675908415</v>
      </c>
      <c r="L97" s="211">
        <f t="shared" si="25"/>
        <v>0.16164383561643836</v>
      </c>
      <c r="M97" s="211">
        <f>$D97*L97*_xlfn.XLOOKUP($I97,'Sample Size cal and results'!$B$24:$B$25,'Sample Size cal and results'!$I$24:$I$25)</f>
        <v>44.483741214074016</v>
      </c>
      <c r="N97" s="214">
        <f t="shared" si="26"/>
        <v>269.34726797315818</v>
      </c>
      <c r="O97" s="225" t="str">
        <f t="shared" si="27"/>
        <v>6-7 years</v>
      </c>
      <c r="P97" s="226">
        <f t="shared" si="28"/>
        <v>1</v>
      </c>
      <c r="Q97" s="227">
        <f>$D97*P97*_xlfn.XLOOKUP($O97,'Sample Size cal and results'!$B$26:$B$27,'Sample Size cal and results'!$I$26:$I$27)</f>
        <v>239.18540015423471</v>
      </c>
      <c r="R97" s="330"/>
    </row>
    <row r="98" spans="1:18" ht="12.75">
      <c r="A98" s="99" t="s">
        <v>67</v>
      </c>
      <c r="B98" s="100">
        <v>42097</v>
      </c>
      <c r="C98" s="100">
        <f t="shared" si="18"/>
        <v>44653</v>
      </c>
      <c r="D98" s="209">
        <v>630</v>
      </c>
      <c r="E98" s="217">
        <f t="shared" si="19"/>
        <v>4.91</v>
      </c>
      <c r="F98" s="218">
        <f t="shared" si="20"/>
        <v>5.9</v>
      </c>
      <c r="G98" s="219">
        <f t="shared" si="21"/>
        <v>5.91</v>
      </c>
      <c r="H98" s="220">
        <f t="shared" si="22"/>
        <v>6.9</v>
      </c>
      <c r="I98" s="257" t="str">
        <f t="shared" si="23"/>
        <v>5-6 years</v>
      </c>
      <c r="J98" s="211">
        <f t="shared" si="24"/>
        <v>0.83835616438356164</v>
      </c>
      <c r="K98" s="258">
        <f>$D98*J98*_xlfn.XLOOKUP($I98,'Sample Size cal and results'!$B$24:$B$25,'Sample Size cal and results'!$H$24:$H$25)</f>
        <v>490.18692684506232</v>
      </c>
      <c r="L98" s="211">
        <f t="shared" si="25"/>
        <v>0.16164383561643836</v>
      </c>
      <c r="M98" s="211">
        <f>$D98*L98*_xlfn.XLOOKUP($I98,'Sample Size cal and results'!$B$24:$B$25,'Sample Size cal and results'!$I$24:$I$25)</f>
        <v>96.971477387081762</v>
      </c>
      <c r="N98" s="214">
        <f t="shared" si="26"/>
        <v>587.15840423214411</v>
      </c>
      <c r="O98" s="225" t="str">
        <f t="shared" si="27"/>
        <v>6-7 years</v>
      </c>
      <c r="P98" s="226">
        <f t="shared" si="28"/>
        <v>1</v>
      </c>
      <c r="Q98" s="227">
        <f>$D98*P98*_xlfn.XLOOKUP($O98,'Sample Size cal and results'!$B$26:$B$27,'Sample Size cal and results'!$I$26:$I$27)</f>
        <v>521.40761971338361</v>
      </c>
      <c r="R98" s="330"/>
    </row>
    <row r="99" spans="1:18" ht="12.75">
      <c r="A99" s="99" t="s">
        <v>67</v>
      </c>
      <c r="B99" s="100">
        <v>42096</v>
      </c>
      <c r="C99" s="100">
        <f t="shared" si="18"/>
        <v>44652</v>
      </c>
      <c r="D99" s="209">
        <v>235</v>
      </c>
      <c r="E99" s="217">
        <f t="shared" si="19"/>
        <v>4.91</v>
      </c>
      <c r="F99" s="218">
        <f t="shared" si="20"/>
        <v>5.91</v>
      </c>
      <c r="G99" s="219">
        <f t="shared" si="21"/>
        <v>5.91</v>
      </c>
      <c r="H99" s="220">
        <f t="shared" si="22"/>
        <v>6.91</v>
      </c>
      <c r="I99" s="257" t="str">
        <f t="shared" si="23"/>
        <v>5-6 years</v>
      </c>
      <c r="J99" s="211">
        <f t="shared" si="24"/>
        <v>0.83835616438356164</v>
      </c>
      <c r="K99" s="258">
        <f>$D99*J99*_xlfn.XLOOKUP($I99,'Sample Size cal and results'!$B$24:$B$25,'Sample Size cal and results'!$H$24:$H$25)</f>
        <v>182.84750445807879</v>
      </c>
      <c r="L99" s="211">
        <f t="shared" si="25"/>
        <v>0.16164383561643836</v>
      </c>
      <c r="M99" s="211">
        <f>$D99*L99*_xlfn.XLOOKUP($I99,'Sample Size cal and results'!$B$24:$B$25,'Sample Size cal and results'!$I$24:$I$25)</f>
        <v>36.171900295181295</v>
      </c>
      <c r="N99" s="214">
        <f t="shared" si="26"/>
        <v>219.01940475326009</v>
      </c>
      <c r="O99" s="225" t="str">
        <f t="shared" si="27"/>
        <v>6-7 years</v>
      </c>
      <c r="P99" s="226">
        <f t="shared" si="28"/>
        <v>1</v>
      </c>
      <c r="Q99" s="227">
        <f>$D99*P99*_xlfn.XLOOKUP($O99,'Sample Size cal and results'!$B$26:$B$27,'Sample Size cal and results'!$I$26:$I$27)</f>
        <v>194.49331846451611</v>
      </c>
      <c r="R99" s="330"/>
    </row>
    <row r="100" spans="1:18" ht="12.75">
      <c r="A100" s="99" t="s">
        <v>67</v>
      </c>
      <c r="B100" s="100">
        <v>42095</v>
      </c>
      <c r="C100" s="100">
        <f t="shared" si="18"/>
        <v>44651</v>
      </c>
      <c r="D100" s="209">
        <v>150</v>
      </c>
      <c r="E100" s="217">
        <f t="shared" si="19"/>
        <v>4.91</v>
      </c>
      <c r="F100" s="218">
        <f t="shared" si="20"/>
        <v>5.91</v>
      </c>
      <c r="G100" s="219">
        <f t="shared" si="21"/>
        <v>5.91</v>
      </c>
      <c r="H100" s="220">
        <f t="shared" si="22"/>
        <v>6.91</v>
      </c>
      <c r="I100" s="257" t="str">
        <f t="shared" si="23"/>
        <v>5-6 years</v>
      </c>
      <c r="J100" s="211">
        <f t="shared" si="24"/>
        <v>0.83835616438356164</v>
      </c>
      <c r="K100" s="258">
        <f>$D100*J100*_xlfn.XLOOKUP($I100,'Sample Size cal and results'!$B$24:$B$25,'Sample Size cal and results'!$H$24:$H$25)</f>
        <v>116.71117305834817</v>
      </c>
      <c r="L100" s="211">
        <f t="shared" si="25"/>
        <v>0.16164383561643836</v>
      </c>
      <c r="M100" s="211">
        <f>$D100*L100*_xlfn.XLOOKUP($I100,'Sample Size cal and results'!$B$24:$B$25,'Sample Size cal and results'!$I$24:$I$25)</f>
        <v>23.08844699692423</v>
      </c>
      <c r="N100" s="214">
        <f t="shared" si="26"/>
        <v>139.79962005527238</v>
      </c>
      <c r="O100" s="225" t="str">
        <f t="shared" si="27"/>
        <v>6-7 years</v>
      </c>
      <c r="P100" s="226">
        <f t="shared" si="28"/>
        <v>1</v>
      </c>
      <c r="Q100" s="227">
        <f>$D100*P100*_xlfn.XLOOKUP($O100,'Sample Size cal and results'!$B$26:$B$27,'Sample Size cal and results'!$I$26:$I$27)</f>
        <v>124.14467136032944</v>
      </c>
      <c r="R100" s="330"/>
    </row>
    <row r="101" spans="1:18" ht="12.75">
      <c r="A101" s="99" t="s">
        <v>67</v>
      </c>
      <c r="B101" s="100">
        <v>42094</v>
      </c>
      <c r="C101" s="100">
        <f t="shared" si="18"/>
        <v>44650</v>
      </c>
      <c r="D101" s="209">
        <v>237</v>
      </c>
      <c r="E101" s="217">
        <f t="shared" si="19"/>
        <v>4.91</v>
      </c>
      <c r="F101" s="218">
        <f t="shared" si="20"/>
        <v>5.91</v>
      </c>
      <c r="G101" s="219">
        <f t="shared" si="21"/>
        <v>5.91</v>
      </c>
      <c r="H101" s="220">
        <f t="shared" si="22"/>
        <v>6.91</v>
      </c>
      <c r="I101" s="257" t="str">
        <f t="shared" si="23"/>
        <v>5-6 years</v>
      </c>
      <c r="J101" s="211">
        <f t="shared" si="24"/>
        <v>0.83835616438356164</v>
      </c>
      <c r="K101" s="258">
        <f>$D101*J101*_xlfn.XLOOKUP($I101,'Sample Size cal and results'!$B$24:$B$25,'Sample Size cal and results'!$H$24:$H$25)</f>
        <v>184.40365343219008</v>
      </c>
      <c r="L101" s="211">
        <f t="shared" si="25"/>
        <v>0.16164383561643836</v>
      </c>
      <c r="M101" s="211">
        <f>$D101*L101*_xlfn.XLOOKUP($I101,'Sample Size cal and results'!$B$24:$B$25,'Sample Size cal and results'!$I$24:$I$25)</f>
        <v>36.479746255140284</v>
      </c>
      <c r="N101" s="214">
        <f t="shared" si="26"/>
        <v>220.88339968733038</v>
      </c>
      <c r="O101" s="225" t="str">
        <f t="shared" si="27"/>
        <v>6-7 years</v>
      </c>
      <c r="P101" s="226">
        <f t="shared" si="28"/>
        <v>1</v>
      </c>
      <c r="Q101" s="227">
        <f>$D101*P101*_xlfn.XLOOKUP($O101,'Sample Size cal and results'!$B$26:$B$27,'Sample Size cal and results'!$I$26:$I$27)</f>
        <v>196.1485807493205</v>
      </c>
      <c r="R101" s="330"/>
    </row>
    <row r="102" spans="1:18" ht="12.75">
      <c r="A102" s="99" t="s">
        <v>67</v>
      </c>
      <c r="B102" s="100">
        <v>42093</v>
      </c>
      <c r="C102" s="100">
        <f t="shared" si="18"/>
        <v>44649</v>
      </c>
      <c r="D102" s="209">
        <v>271</v>
      </c>
      <c r="E102" s="217">
        <f t="shared" si="19"/>
        <v>4.92</v>
      </c>
      <c r="F102" s="218">
        <f t="shared" si="20"/>
        <v>5.91</v>
      </c>
      <c r="G102" s="219">
        <f t="shared" si="21"/>
        <v>5.92</v>
      </c>
      <c r="H102" s="220">
        <f t="shared" si="22"/>
        <v>6.91</v>
      </c>
      <c r="I102" s="257" t="str">
        <f t="shared" si="23"/>
        <v>5-6 years</v>
      </c>
      <c r="J102" s="211">
        <f t="shared" si="24"/>
        <v>0.83835616438356164</v>
      </c>
      <c r="K102" s="258">
        <f>$D102*J102*_xlfn.XLOOKUP($I102,'Sample Size cal and results'!$B$24:$B$25,'Sample Size cal and results'!$H$24:$H$25)</f>
        <v>210.85818599208238</v>
      </c>
      <c r="L102" s="211">
        <f t="shared" si="25"/>
        <v>0.16164383561643836</v>
      </c>
      <c r="M102" s="211">
        <f>$D102*L102*_xlfn.XLOOKUP($I102,'Sample Size cal and results'!$B$24:$B$25,'Sample Size cal and results'!$I$24:$I$25)</f>
        <v>41.713127574443106</v>
      </c>
      <c r="N102" s="214">
        <f t="shared" si="26"/>
        <v>252.57131356652548</v>
      </c>
      <c r="O102" s="225" t="str">
        <f t="shared" si="27"/>
        <v>6-7 years</v>
      </c>
      <c r="P102" s="226">
        <f t="shared" si="28"/>
        <v>1</v>
      </c>
      <c r="Q102" s="227">
        <f>$D102*P102*_xlfn.XLOOKUP($O102,'Sample Size cal and results'!$B$26:$B$27,'Sample Size cal and results'!$I$26:$I$27)</f>
        <v>224.2880395909952</v>
      </c>
      <c r="R102" s="330"/>
    </row>
    <row r="103" spans="1:18" ht="12.75">
      <c r="A103" s="99" t="s">
        <v>67</v>
      </c>
      <c r="B103" s="100">
        <v>42092</v>
      </c>
      <c r="C103" s="100">
        <f t="shared" si="18"/>
        <v>44648</v>
      </c>
      <c r="D103" s="209">
        <v>277</v>
      </c>
      <c r="E103" s="217">
        <f t="shared" si="19"/>
        <v>4.92</v>
      </c>
      <c r="F103" s="218">
        <f t="shared" si="20"/>
        <v>5.92</v>
      </c>
      <c r="G103" s="219">
        <f t="shared" si="21"/>
        <v>5.92</v>
      </c>
      <c r="H103" s="220">
        <f t="shared" si="22"/>
        <v>6.92</v>
      </c>
      <c r="I103" s="257" t="str">
        <f t="shared" si="23"/>
        <v>5-6 years</v>
      </c>
      <c r="J103" s="211">
        <f t="shared" si="24"/>
        <v>0.83835616438356164</v>
      </c>
      <c r="K103" s="258">
        <f>$D103*J103*_xlfn.XLOOKUP($I103,'Sample Size cal and results'!$B$24:$B$25,'Sample Size cal and results'!$H$24:$H$25)</f>
        <v>215.5266329144163</v>
      </c>
      <c r="L103" s="211">
        <f t="shared" si="25"/>
        <v>0.16164383561643836</v>
      </c>
      <c r="M103" s="211">
        <f>$D103*L103*_xlfn.XLOOKUP($I103,'Sample Size cal and results'!$B$24:$B$25,'Sample Size cal and results'!$I$24:$I$25)</f>
        <v>42.636665454320074</v>
      </c>
      <c r="N103" s="214">
        <f t="shared" si="26"/>
        <v>258.16329836873638</v>
      </c>
      <c r="O103" s="225" t="str">
        <f t="shared" si="27"/>
        <v>6-7 years</v>
      </c>
      <c r="P103" s="226">
        <f t="shared" si="28"/>
        <v>1</v>
      </c>
      <c r="Q103" s="227">
        <f>$D103*P103*_xlfn.XLOOKUP($O103,'Sample Size cal and results'!$B$26:$B$27,'Sample Size cal and results'!$I$26:$I$27)</f>
        <v>229.25382644540838</v>
      </c>
      <c r="R103" s="330"/>
    </row>
    <row r="104" spans="1:18" ht="12.75">
      <c r="A104" s="99" t="s">
        <v>67</v>
      </c>
      <c r="B104" s="100">
        <v>42091</v>
      </c>
      <c r="C104" s="100">
        <f t="shared" si="18"/>
        <v>44647</v>
      </c>
      <c r="D104" s="209">
        <v>340</v>
      </c>
      <c r="E104" s="217">
        <f t="shared" si="19"/>
        <v>4.92</v>
      </c>
      <c r="F104" s="218">
        <f t="shared" si="20"/>
        <v>5.92</v>
      </c>
      <c r="G104" s="219">
        <f t="shared" si="21"/>
        <v>5.92</v>
      </c>
      <c r="H104" s="220">
        <f t="shared" si="22"/>
        <v>6.92</v>
      </c>
      <c r="I104" s="257" t="str">
        <f t="shared" si="23"/>
        <v>5-6 years</v>
      </c>
      <c r="J104" s="211">
        <f t="shared" si="24"/>
        <v>0.83835616438356164</v>
      </c>
      <c r="K104" s="258">
        <f>$D104*J104*_xlfn.XLOOKUP($I104,'Sample Size cal and results'!$B$24:$B$25,'Sample Size cal and results'!$H$24:$H$25)</f>
        <v>264.54532559892255</v>
      </c>
      <c r="L104" s="211">
        <f t="shared" si="25"/>
        <v>0.16164383561643836</v>
      </c>
      <c r="M104" s="211">
        <f>$D104*L104*_xlfn.XLOOKUP($I104,'Sample Size cal and results'!$B$24:$B$25,'Sample Size cal and results'!$I$24:$I$25)</f>
        <v>52.333813193028256</v>
      </c>
      <c r="N104" s="214">
        <f t="shared" si="26"/>
        <v>316.87913879195082</v>
      </c>
      <c r="O104" s="225" t="str">
        <f t="shared" si="27"/>
        <v>6-7 years</v>
      </c>
      <c r="P104" s="226">
        <f t="shared" si="28"/>
        <v>1</v>
      </c>
      <c r="Q104" s="227">
        <f>$D104*P104*_xlfn.XLOOKUP($O104,'Sample Size cal and results'!$B$26:$B$27,'Sample Size cal and results'!$I$26:$I$27)</f>
        <v>281.39458841674673</v>
      </c>
      <c r="R104" s="330"/>
    </row>
    <row r="105" spans="1:18" ht="12.75">
      <c r="A105" s="99" t="s">
        <v>67</v>
      </c>
      <c r="B105" s="100">
        <v>42090</v>
      </c>
      <c r="C105" s="100">
        <f t="shared" si="18"/>
        <v>44646</v>
      </c>
      <c r="D105" s="209">
        <v>256</v>
      </c>
      <c r="E105" s="217">
        <f t="shared" si="19"/>
        <v>4.92</v>
      </c>
      <c r="F105" s="218">
        <f t="shared" si="20"/>
        <v>5.92</v>
      </c>
      <c r="G105" s="219">
        <f t="shared" si="21"/>
        <v>5.92</v>
      </c>
      <c r="H105" s="220">
        <f t="shared" si="22"/>
        <v>6.92</v>
      </c>
      <c r="I105" s="257" t="str">
        <f t="shared" si="23"/>
        <v>5-6 years</v>
      </c>
      <c r="J105" s="211">
        <f t="shared" si="24"/>
        <v>0.83835616438356164</v>
      </c>
      <c r="K105" s="258">
        <f>$D105*J105*_xlfn.XLOOKUP($I105,'Sample Size cal and results'!$B$24:$B$25,'Sample Size cal and results'!$H$24:$H$25)</f>
        <v>199.18706868624756</v>
      </c>
      <c r="L105" s="211">
        <f t="shared" si="25"/>
        <v>0.16164383561643836</v>
      </c>
      <c r="M105" s="211">
        <f>$D105*L105*_xlfn.XLOOKUP($I105,'Sample Size cal and results'!$B$24:$B$25,'Sample Size cal and results'!$I$24:$I$25)</f>
        <v>39.404282874750685</v>
      </c>
      <c r="N105" s="214">
        <f t="shared" si="26"/>
        <v>238.59135156099825</v>
      </c>
      <c r="O105" s="225" t="str">
        <f t="shared" si="27"/>
        <v>6-7 years</v>
      </c>
      <c r="P105" s="226">
        <f t="shared" si="28"/>
        <v>1</v>
      </c>
      <c r="Q105" s="227">
        <f>$D105*P105*_xlfn.XLOOKUP($O105,'Sample Size cal and results'!$B$26:$B$27,'Sample Size cal and results'!$I$26:$I$27)</f>
        <v>211.87357245496224</v>
      </c>
      <c r="R105" s="330"/>
    </row>
    <row r="106" spans="1:18" ht="12.75">
      <c r="A106" s="99" t="s">
        <v>67</v>
      </c>
      <c r="B106" s="100">
        <v>42089</v>
      </c>
      <c r="C106" s="100">
        <f t="shared" si="18"/>
        <v>44645</v>
      </c>
      <c r="D106" s="209">
        <v>247</v>
      </c>
      <c r="E106" s="217">
        <f t="shared" si="19"/>
        <v>4.93</v>
      </c>
      <c r="F106" s="218">
        <f t="shared" si="20"/>
        <v>5.92</v>
      </c>
      <c r="G106" s="219">
        <f t="shared" si="21"/>
        <v>5.93</v>
      </c>
      <c r="H106" s="220">
        <f t="shared" si="22"/>
        <v>6.92</v>
      </c>
      <c r="I106" s="257" t="str">
        <f t="shared" si="23"/>
        <v>5-6 years</v>
      </c>
      <c r="J106" s="211">
        <f t="shared" si="24"/>
        <v>0.83835616438356164</v>
      </c>
      <c r="K106" s="258">
        <f>$D106*J106*_xlfn.XLOOKUP($I106,'Sample Size cal and results'!$B$24:$B$25,'Sample Size cal and results'!$H$24:$H$25)</f>
        <v>192.18439830274664</v>
      </c>
      <c r="L106" s="211">
        <f t="shared" si="25"/>
        <v>0.16164383561643836</v>
      </c>
      <c r="M106" s="211">
        <f>$D106*L106*_xlfn.XLOOKUP($I106,'Sample Size cal and results'!$B$24:$B$25,'Sample Size cal and results'!$I$24:$I$25)</f>
        <v>38.018976054935237</v>
      </c>
      <c r="N106" s="214">
        <f t="shared" si="26"/>
        <v>230.20337435768187</v>
      </c>
      <c r="O106" s="225" t="str">
        <f t="shared" si="27"/>
        <v>6-7 years</v>
      </c>
      <c r="P106" s="226">
        <f t="shared" si="28"/>
        <v>1</v>
      </c>
      <c r="Q106" s="227">
        <f>$D106*P106*_xlfn.XLOOKUP($O106,'Sample Size cal and results'!$B$26:$B$27,'Sample Size cal and results'!$I$26:$I$27)</f>
        <v>204.42489217334247</v>
      </c>
      <c r="R106" s="330"/>
    </row>
    <row r="107" spans="1:18" ht="12.75">
      <c r="A107" s="99" t="s">
        <v>67</v>
      </c>
      <c r="B107" s="100">
        <v>42088</v>
      </c>
      <c r="C107" s="100">
        <f t="shared" si="18"/>
        <v>44644</v>
      </c>
      <c r="D107" s="209">
        <v>379</v>
      </c>
      <c r="E107" s="217">
        <f t="shared" si="19"/>
        <v>4.93</v>
      </c>
      <c r="F107" s="218">
        <f t="shared" si="20"/>
        <v>5.93</v>
      </c>
      <c r="G107" s="219">
        <f t="shared" si="21"/>
        <v>5.93</v>
      </c>
      <c r="H107" s="220">
        <f t="shared" si="22"/>
        <v>6.93</v>
      </c>
      <c r="I107" s="257" t="str">
        <f t="shared" si="23"/>
        <v>5-6 years</v>
      </c>
      <c r="J107" s="211">
        <f t="shared" si="24"/>
        <v>0.83835616438356164</v>
      </c>
      <c r="K107" s="258">
        <f>$D107*J107*_xlfn.XLOOKUP($I107,'Sample Size cal and results'!$B$24:$B$25,'Sample Size cal and results'!$H$24:$H$25)</f>
        <v>294.89023059409305</v>
      </c>
      <c r="L107" s="211">
        <f t="shared" si="25"/>
        <v>0.16164383561643836</v>
      </c>
      <c r="M107" s="211">
        <f>$D107*L107*_xlfn.XLOOKUP($I107,'Sample Size cal and results'!$B$24:$B$25,'Sample Size cal and results'!$I$24:$I$25)</f>
        <v>58.336809412228554</v>
      </c>
      <c r="N107" s="214">
        <f t="shared" si="26"/>
        <v>353.2270400063216</v>
      </c>
      <c r="O107" s="225" t="str">
        <f t="shared" si="27"/>
        <v>6-7 years</v>
      </c>
      <c r="P107" s="226">
        <f t="shared" si="28"/>
        <v>1</v>
      </c>
      <c r="Q107" s="227">
        <f>$D107*P107*_xlfn.XLOOKUP($O107,'Sample Size cal and results'!$B$26:$B$27,'Sample Size cal and results'!$I$26:$I$27)</f>
        <v>313.67220297043241</v>
      </c>
      <c r="R107" s="330"/>
    </row>
    <row r="108" spans="1:18" ht="12.75">
      <c r="A108" s="99" t="s">
        <v>66</v>
      </c>
      <c r="B108" s="100">
        <v>42087</v>
      </c>
      <c r="C108" s="100">
        <f t="shared" si="18"/>
        <v>44643</v>
      </c>
      <c r="D108" s="209">
        <v>169</v>
      </c>
      <c r="E108" s="217">
        <f t="shared" si="19"/>
        <v>4.93</v>
      </c>
      <c r="F108" s="218">
        <f t="shared" si="20"/>
        <v>5.93</v>
      </c>
      <c r="G108" s="219">
        <f t="shared" si="21"/>
        <v>5.93</v>
      </c>
      <c r="H108" s="220">
        <f t="shared" si="22"/>
        <v>6.93</v>
      </c>
      <c r="I108" s="257" t="str">
        <f t="shared" si="23"/>
        <v>5-6 years</v>
      </c>
      <c r="J108" s="211">
        <f t="shared" si="24"/>
        <v>0.83835616438356164</v>
      </c>
      <c r="K108" s="258">
        <f>$D108*J108*_xlfn.XLOOKUP($I108,'Sample Size cal and results'!$B$24:$B$25,'Sample Size cal and results'!$H$24:$H$25)</f>
        <v>131.4945883124056</v>
      </c>
      <c r="L108" s="211">
        <f t="shared" si="25"/>
        <v>0.16164383561643836</v>
      </c>
      <c r="M108" s="211">
        <f>$D108*L108*_xlfn.XLOOKUP($I108,'Sample Size cal and results'!$B$24:$B$25,'Sample Size cal and results'!$I$24:$I$25)</f>
        <v>26.012983616534633</v>
      </c>
      <c r="N108" s="214">
        <f t="shared" si="26"/>
        <v>157.50757192894022</v>
      </c>
      <c r="O108" s="225" t="str">
        <f t="shared" si="27"/>
        <v>6-7 years</v>
      </c>
      <c r="P108" s="226">
        <f t="shared" si="28"/>
        <v>1</v>
      </c>
      <c r="Q108" s="227">
        <f>$D108*P108*_xlfn.XLOOKUP($O108,'Sample Size cal and results'!$B$26:$B$27,'Sample Size cal and results'!$I$26:$I$27)</f>
        <v>139.86966306597117</v>
      </c>
      <c r="R108" s="330"/>
    </row>
    <row r="109" spans="1:18" ht="12.75">
      <c r="A109" s="99" t="s">
        <v>67</v>
      </c>
      <c r="B109" s="100">
        <v>42087</v>
      </c>
      <c r="C109" s="100">
        <f t="shared" si="18"/>
        <v>44643</v>
      </c>
      <c r="D109" s="209">
        <v>144</v>
      </c>
      <c r="E109" s="217">
        <f t="shared" si="19"/>
        <v>4.93</v>
      </c>
      <c r="F109" s="218">
        <f t="shared" si="20"/>
        <v>5.93</v>
      </c>
      <c r="G109" s="219">
        <f t="shared" si="21"/>
        <v>5.93</v>
      </c>
      <c r="H109" s="220">
        <f t="shared" si="22"/>
        <v>6.93</v>
      </c>
      <c r="I109" s="257" t="str">
        <f t="shared" si="23"/>
        <v>5-6 years</v>
      </c>
      <c r="J109" s="211">
        <f t="shared" si="24"/>
        <v>0.83835616438356164</v>
      </c>
      <c r="K109" s="258">
        <f>$D109*J109*_xlfn.XLOOKUP($I109,'Sample Size cal and results'!$B$24:$B$25,'Sample Size cal and results'!$H$24:$H$25)</f>
        <v>112.04272613601425</v>
      </c>
      <c r="L109" s="211">
        <f t="shared" si="25"/>
        <v>0.16164383561643836</v>
      </c>
      <c r="M109" s="211">
        <f>$D109*L109*_xlfn.XLOOKUP($I109,'Sample Size cal and results'!$B$24:$B$25,'Sample Size cal and results'!$I$24:$I$25)</f>
        <v>22.164909117047262</v>
      </c>
      <c r="N109" s="214">
        <f t="shared" si="26"/>
        <v>134.20763525306151</v>
      </c>
      <c r="O109" s="225" t="str">
        <f t="shared" si="27"/>
        <v>6-7 years</v>
      </c>
      <c r="P109" s="226">
        <f t="shared" si="28"/>
        <v>1</v>
      </c>
      <c r="Q109" s="227">
        <f>$D109*P109*_xlfn.XLOOKUP($O109,'Sample Size cal and results'!$B$26:$B$27,'Sample Size cal and results'!$I$26:$I$27)</f>
        <v>119.17888450591626</v>
      </c>
      <c r="R109" s="330"/>
    </row>
    <row r="110" spans="1:18" ht="12.75">
      <c r="A110" s="99" t="s">
        <v>66</v>
      </c>
      <c r="B110" s="100">
        <v>42086</v>
      </c>
      <c r="C110" s="100">
        <f t="shared" si="18"/>
        <v>44642</v>
      </c>
      <c r="D110" s="209">
        <v>345</v>
      </c>
      <c r="E110" s="217">
        <f t="shared" si="19"/>
        <v>4.9400000000000004</v>
      </c>
      <c r="F110" s="218">
        <f t="shared" si="20"/>
        <v>5.93</v>
      </c>
      <c r="G110" s="219">
        <f t="shared" si="21"/>
        <v>5.94</v>
      </c>
      <c r="H110" s="220">
        <f t="shared" si="22"/>
        <v>6.93</v>
      </c>
      <c r="I110" s="257" t="str">
        <f t="shared" si="23"/>
        <v>5-6 years</v>
      </c>
      <c r="J110" s="211">
        <f t="shared" si="24"/>
        <v>0.83835616438356164</v>
      </c>
      <c r="K110" s="258">
        <f>$D110*J110*_xlfn.XLOOKUP($I110,'Sample Size cal and results'!$B$24:$B$25,'Sample Size cal and results'!$H$24:$H$25)</f>
        <v>268.43569803420081</v>
      </c>
      <c r="L110" s="211">
        <f t="shared" si="25"/>
        <v>0.16164383561643836</v>
      </c>
      <c r="M110" s="211">
        <f>$D110*L110*_xlfn.XLOOKUP($I110,'Sample Size cal and results'!$B$24:$B$25,'Sample Size cal and results'!$I$24:$I$25)</f>
        <v>53.103428092925725</v>
      </c>
      <c r="N110" s="214">
        <f t="shared" si="26"/>
        <v>321.53912612712656</v>
      </c>
      <c r="O110" s="225" t="str">
        <f t="shared" si="27"/>
        <v>6-7 years</v>
      </c>
      <c r="P110" s="226">
        <f t="shared" si="28"/>
        <v>1</v>
      </c>
      <c r="Q110" s="227">
        <f>$D110*P110*_xlfn.XLOOKUP($O110,'Sample Size cal and results'!$B$26:$B$27,'Sample Size cal and results'!$I$26:$I$27)</f>
        <v>285.53274412875771</v>
      </c>
      <c r="R110" s="330"/>
    </row>
    <row r="111" spans="1:18" ht="12.75">
      <c r="A111" s="99" t="s">
        <v>66</v>
      </c>
      <c r="B111" s="100">
        <v>42085</v>
      </c>
      <c r="C111" s="100">
        <f t="shared" si="18"/>
        <v>44641</v>
      </c>
      <c r="D111" s="209">
        <v>326</v>
      </c>
      <c r="E111" s="217">
        <f t="shared" si="19"/>
        <v>4.9400000000000004</v>
      </c>
      <c r="F111" s="218">
        <f t="shared" si="20"/>
        <v>5.94</v>
      </c>
      <c r="G111" s="219">
        <f t="shared" si="21"/>
        <v>5.94</v>
      </c>
      <c r="H111" s="220">
        <f t="shared" si="22"/>
        <v>6.94</v>
      </c>
      <c r="I111" s="257" t="str">
        <f t="shared" si="23"/>
        <v>5-6 years</v>
      </c>
      <c r="J111" s="211">
        <f t="shared" si="24"/>
        <v>0.83835616438356164</v>
      </c>
      <c r="K111" s="258">
        <f>$D111*J111*_xlfn.XLOOKUP($I111,'Sample Size cal and results'!$B$24:$B$25,'Sample Size cal and results'!$H$24:$H$25)</f>
        <v>253.65228278014337</v>
      </c>
      <c r="L111" s="211">
        <f t="shared" si="25"/>
        <v>0.16164383561643836</v>
      </c>
      <c r="M111" s="211">
        <f>$D111*L111*_xlfn.XLOOKUP($I111,'Sample Size cal and results'!$B$24:$B$25,'Sample Size cal and results'!$I$24:$I$25)</f>
        <v>50.178891473315325</v>
      </c>
      <c r="N111" s="214">
        <f t="shared" si="26"/>
        <v>303.8311742534587</v>
      </c>
      <c r="O111" s="225" t="str">
        <f t="shared" si="27"/>
        <v>6-7 years</v>
      </c>
      <c r="P111" s="226">
        <f t="shared" si="28"/>
        <v>1</v>
      </c>
      <c r="Q111" s="227">
        <f>$D111*P111*_xlfn.XLOOKUP($O111,'Sample Size cal and results'!$B$26:$B$27,'Sample Size cal and results'!$I$26:$I$27)</f>
        <v>269.80775242311597</v>
      </c>
      <c r="R111" s="330"/>
    </row>
    <row r="112" spans="1:18" ht="12.75">
      <c r="A112" s="99" t="s">
        <v>66</v>
      </c>
      <c r="B112" s="100">
        <v>42084</v>
      </c>
      <c r="C112" s="100">
        <f t="shared" si="18"/>
        <v>44640</v>
      </c>
      <c r="D112" s="209">
        <v>276</v>
      </c>
      <c r="E112" s="217">
        <f t="shared" si="19"/>
        <v>4.9400000000000004</v>
      </c>
      <c r="F112" s="218">
        <f t="shared" si="20"/>
        <v>5.94</v>
      </c>
      <c r="G112" s="219">
        <f t="shared" si="21"/>
        <v>5.94</v>
      </c>
      <c r="H112" s="220">
        <f t="shared" si="22"/>
        <v>6.94</v>
      </c>
      <c r="I112" s="257" t="str">
        <f t="shared" si="23"/>
        <v>5-6 years</v>
      </c>
      <c r="J112" s="211">
        <f t="shared" si="24"/>
        <v>0.83835616438356164</v>
      </c>
      <c r="K112" s="258">
        <f>$D112*J112*_xlfn.XLOOKUP($I112,'Sample Size cal and results'!$B$24:$B$25,'Sample Size cal and results'!$H$24:$H$25)</f>
        <v>214.74855842736065</v>
      </c>
      <c r="L112" s="211">
        <f t="shared" si="25"/>
        <v>0.16164383561643836</v>
      </c>
      <c r="M112" s="211">
        <f>$D112*L112*_xlfn.XLOOKUP($I112,'Sample Size cal and results'!$B$24:$B$25,'Sample Size cal and results'!$I$24:$I$25)</f>
        <v>42.482742474340583</v>
      </c>
      <c r="N112" s="214">
        <f t="shared" si="26"/>
        <v>257.23130090170122</v>
      </c>
      <c r="O112" s="225" t="str">
        <f t="shared" si="27"/>
        <v>6-7 years</v>
      </c>
      <c r="P112" s="226">
        <f t="shared" si="28"/>
        <v>1</v>
      </c>
      <c r="Q112" s="227">
        <f>$D112*P112*_xlfn.XLOOKUP($O112,'Sample Size cal and results'!$B$26:$B$27,'Sample Size cal and results'!$I$26:$I$27)</f>
        <v>228.42619530300618</v>
      </c>
      <c r="R112" s="330"/>
    </row>
    <row r="113" spans="1:18" ht="12.75">
      <c r="A113" s="99" t="s">
        <v>66</v>
      </c>
      <c r="B113" s="100">
        <v>42083</v>
      </c>
      <c r="C113" s="100">
        <f t="shared" si="18"/>
        <v>44639</v>
      </c>
      <c r="D113" s="209">
        <v>315</v>
      </c>
      <c r="E113" s="217">
        <f t="shared" si="19"/>
        <v>4.9400000000000004</v>
      </c>
      <c r="F113" s="218">
        <f t="shared" si="20"/>
        <v>5.94</v>
      </c>
      <c r="G113" s="219">
        <f t="shared" si="21"/>
        <v>5.94</v>
      </c>
      <c r="H113" s="220">
        <f t="shared" si="22"/>
        <v>6.94</v>
      </c>
      <c r="I113" s="257" t="str">
        <f t="shared" si="23"/>
        <v>5-6 years</v>
      </c>
      <c r="J113" s="211">
        <f t="shared" si="24"/>
        <v>0.83835616438356164</v>
      </c>
      <c r="K113" s="258">
        <f>$D113*J113*_xlfn.XLOOKUP($I113,'Sample Size cal and results'!$B$24:$B$25,'Sample Size cal and results'!$H$24:$H$25)</f>
        <v>245.09346342253116</v>
      </c>
      <c r="L113" s="211">
        <f t="shared" si="25"/>
        <v>0.16164383561643836</v>
      </c>
      <c r="M113" s="211">
        <f>$D113*L113*_xlfn.XLOOKUP($I113,'Sample Size cal and results'!$B$24:$B$25,'Sample Size cal and results'!$I$24:$I$25)</f>
        <v>48.485738693540881</v>
      </c>
      <c r="N113" s="214">
        <f t="shared" si="26"/>
        <v>293.57920211607205</v>
      </c>
      <c r="O113" s="225" t="str">
        <f t="shared" si="27"/>
        <v>6-7 years</v>
      </c>
      <c r="P113" s="226">
        <f t="shared" si="28"/>
        <v>1</v>
      </c>
      <c r="Q113" s="227">
        <f>$D113*P113*_xlfn.XLOOKUP($O113,'Sample Size cal and results'!$B$26:$B$27,'Sample Size cal and results'!$I$26:$I$27)</f>
        <v>260.70380985669181</v>
      </c>
      <c r="R113" s="330"/>
    </row>
    <row r="114" spans="1:18" ht="12.75">
      <c r="A114" s="99" t="s">
        <v>66</v>
      </c>
      <c r="B114" s="100">
        <v>42082</v>
      </c>
      <c r="C114" s="100">
        <f t="shared" si="18"/>
        <v>44638</v>
      </c>
      <c r="D114" s="209">
        <v>283</v>
      </c>
      <c r="E114" s="217">
        <f t="shared" si="19"/>
        <v>4.95</v>
      </c>
      <c r="F114" s="218">
        <f t="shared" si="20"/>
        <v>5.94</v>
      </c>
      <c r="G114" s="219">
        <f t="shared" si="21"/>
        <v>5.95</v>
      </c>
      <c r="H114" s="220">
        <f t="shared" si="22"/>
        <v>6.94</v>
      </c>
      <c r="I114" s="257" t="str">
        <f t="shared" si="23"/>
        <v>5-6 years</v>
      </c>
      <c r="J114" s="211">
        <f t="shared" si="24"/>
        <v>0.83835616438356164</v>
      </c>
      <c r="K114" s="258">
        <f>$D114*J114*_xlfn.XLOOKUP($I114,'Sample Size cal and results'!$B$24:$B$25,'Sample Size cal and results'!$H$24:$H$25)</f>
        <v>220.19507983675021</v>
      </c>
      <c r="L114" s="211">
        <f t="shared" si="25"/>
        <v>0.16164383561643836</v>
      </c>
      <c r="M114" s="211">
        <f>$D114*L114*_xlfn.XLOOKUP($I114,'Sample Size cal and results'!$B$24:$B$25,'Sample Size cal and results'!$I$24:$I$25)</f>
        <v>43.560203334197041</v>
      </c>
      <c r="N114" s="214">
        <f t="shared" si="26"/>
        <v>263.75528317094722</v>
      </c>
      <c r="O114" s="225" t="str">
        <f t="shared" si="27"/>
        <v>6-7 years</v>
      </c>
      <c r="P114" s="226">
        <f t="shared" si="28"/>
        <v>1</v>
      </c>
      <c r="Q114" s="227">
        <f>$D114*P114*_xlfn.XLOOKUP($O114,'Sample Size cal and results'!$B$26:$B$27,'Sample Size cal and results'!$I$26:$I$27)</f>
        <v>234.21961329982153</v>
      </c>
      <c r="R114" s="330"/>
    </row>
    <row r="115" spans="1:18" ht="12.75">
      <c r="A115" s="99" t="s">
        <v>66</v>
      </c>
      <c r="B115" s="100">
        <v>42081</v>
      </c>
      <c r="C115" s="100">
        <f t="shared" si="18"/>
        <v>44637</v>
      </c>
      <c r="D115" s="209">
        <v>338</v>
      </c>
      <c r="E115" s="217">
        <f t="shared" si="19"/>
        <v>4.95</v>
      </c>
      <c r="F115" s="218">
        <f t="shared" si="20"/>
        <v>5.95</v>
      </c>
      <c r="G115" s="219">
        <f t="shared" si="21"/>
        <v>5.95</v>
      </c>
      <c r="H115" s="220">
        <f t="shared" si="22"/>
        <v>6.95</v>
      </c>
      <c r="I115" s="257" t="str">
        <f t="shared" si="23"/>
        <v>5-6 years</v>
      </c>
      <c r="J115" s="211">
        <f t="shared" si="24"/>
        <v>0.83835616438356164</v>
      </c>
      <c r="K115" s="258">
        <f>$D115*J115*_xlfn.XLOOKUP($I115,'Sample Size cal and results'!$B$24:$B$25,'Sample Size cal and results'!$H$24:$H$25)</f>
        <v>262.98917662481119</v>
      </c>
      <c r="L115" s="211">
        <f t="shared" si="25"/>
        <v>0.16164383561643836</v>
      </c>
      <c r="M115" s="211">
        <f>$D115*L115*_xlfn.XLOOKUP($I115,'Sample Size cal and results'!$B$24:$B$25,'Sample Size cal and results'!$I$24:$I$25)</f>
        <v>52.025967233069267</v>
      </c>
      <c r="N115" s="214">
        <f t="shared" si="26"/>
        <v>315.01514385788045</v>
      </c>
      <c r="O115" s="225" t="str">
        <f t="shared" si="27"/>
        <v>6-7 years</v>
      </c>
      <c r="P115" s="226">
        <f t="shared" si="28"/>
        <v>1</v>
      </c>
      <c r="Q115" s="227">
        <f>$D115*P115*_xlfn.XLOOKUP($O115,'Sample Size cal and results'!$B$26:$B$27,'Sample Size cal and results'!$I$26:$I$27)</f>
        <v>279.73932613194233</v>
      </c>
      <c r="R115" s="330"/>
    </row>
    <row r="116" spans="1:18" ht="12.75">
      <c r="A116" s="99" t="s">
        <v>66</v>
      </c>
      <c r="B116" s="100">
        <v>42080</v>
      </c>
      <c r="C116" s="100">
        <f t="shared" si="18"/>
        <v>44636</v>
      </c>
      <c r="D116" s="209">
        <v>281</v>
      </c>
      <c r="E116" s="217">
        <f t="shared" si="19"/>
        <v>4.95</v>
      </c>
      <c r="F116" s="218">
        <f t="shared" si="20"/>
        <v>5.95</v>
      </c>
      <c r="G116" s="219">
        <f t="shared" si="21"/>
        <v>5.95</v>
      </c>
      <c r="H116" s="220">
        <f t="shared" si="22"/>
        <v>6.95</v>
      </c>
      <c r="I116" s="257" t="str">
        <f t="shared" si="23"/>
        <v>5-6 years</v>
      </c>
      <c r="J116" s="211">
        <f t="shared" si="24"/>
        <v>0.83835616438356164</v>
      </c>
      <c r="K116" s="258">
        <f>$D116*J116*_xlfn.XLOOKUP($I116,'Sample Size cal and results'!$B$24:$B$25,'Sample Size cal and results'!$H$24:$H$25)</f>
        <v>218.63893086263892</v>
      </c>
      <c r="L116" s="211">
        <f t="shared" si="25"/>
        <v>0.16164383561643836</v>
      </c>
      <c r="M116" s="211">
        <f>$D116*L116*_xlfn.XLOOKUP($I116,'Sample Size cal and results'!$B$24:$B$25,'Sample Size cal and results'!$I$24:$I$25)</f>
        <v>43.252357374238052</v>
      </c>
      <c r="N116" s="214">
        <f t="shared" si="26"/>
        <v>261.89128823687696</v>
      </c>
      <c r="O116" s="225" t="str">
        <f t="shared" si="27"/>
        <v>6-7 years</v>
      </c>
      <c r="P116" s="226">
        <f t="shared" si="28"/>
        <v>1</v>
      </c>
      <c r="Q116" s="227">
        <f>$D116*P116*_xlfn.XLOOKUP($O116,'Sample Size cal and results'!$B$26:$B$27,'Sample Size cal and results'!$I$26:$I$27)</f>
        <v>232.56435101501714</v>
      </c>
      <c r="R116" s="330"/>
    </row>
    <row r="117" spans="1:18" ht="12.75">
      <c r="A117" s="99" t="s">
        <v>66</v>
      </c>
      <c r="B117" s="100">
        <v>42079</v>
      </c>
      <c r="C117" s="100">
        <f t="shared" si="18"/>
        <v>44635</v>
      </c>
      <c r="D117" s="209">
        <v>342</v>
      </c>
      <c r="E117" s="217">
        <f t="shared" si="19"/>
        <v>4.95</v>
      </c>
      <c r="F117" s="218">
        <f t="shared" si="20"/>
        <v>5.95</v>
      </c>
      <c r="G117" s="219">
        <f t="shared" si="21"/>
        <v>5.95</v>
      </c>
      <c r="H117" s="220">
        <f t="shared" si="22"/>
        <v>6.95</v>
      </c>
      <c r="I117" s="257" t="str">
        <f t="shared" si="23"/>
        <v>5-6 years</v>
      </c>
      <c r="J117" s="211">
        <f t="shared" si="24"/>
        <v>0.83835616438356164</v>
      </c>
      <c r="K117" s="258">
        <f>$D117*J117*_xlfn.XLOOKUP($I117,'Sample Size cal and results'!$B$24:$B$25,'Sample Size cal and results'!$H$24:$H$25)</f>
        <v>266.10147457303384</v>
      </c>
      <c r="L117" s="211">
        <f t="shared" si="25"/>
        <v>0.16164383561643836</v>
      </c>
      <c r="M117" s="211">
        <f>$D117*L117*_xlfn.XLOOKUP($I117,'Sample Size cal and results'!$B$24:$B$25,'Sample Size cal and results'!$I$24:$I$25)</f>
        <v>52.641659152987245</v>
      </c>
      <c r="N117" s="214">
        <f t="shared" si="26"/>
        <v>318.74313372602109</v>
      </c>
      <c r="O117" s="225" t="str">
        <f t="shared" si="27"/>
        <v>6-7 years</v>
      </c>
      <c r="P117" s="226">
        <f t="shared" si="28"/>
        <v>1</v>
      </c>
      <c r="Q117" s="227">
        <f>$D117*P117*_xlfn.XLOOKUP($O117,'Sample Size cal and results'!$B$26:$B$27,'Sample Size cal and results'!$I$26:$I$27)</f>
        <v>283.04985070155112</v>
      </c>
      <c r="R117" s="330"/>
    </row>
    <row r="118" spans="1:18" ht="12.75">
      <c r="A118" s="99" t="s">
        <v>65</v>
      </c>
      <c r="B118" s="100">
        <v>42078</v>
      </c>
      <c r="C118" s="100">
        <f t="shared" si="18"/>
        <v>44634</v>
      </c>
      <c r="D118" s="209">
        <v>1642</v>
      </c>
      <c r="E118" s="217">
        <f t="shared" si="19"/>
        <v>4.96</v>
      </c>
      <c r="F118" s="218">
        <f t="shared" si="20"/>
        <v>5.95</v>
      </c>
      <c r="G118" s="219">
        <f t="shared" si="21"/>
        <v>5.96</v>
      </c>
      <c r="H118" s="220">
        <f t="shared" si="22"/>
        <v>6.95</v>
      </c>
      <c r="I118" s="257" t="str">
        <f t="shared" si="23"/>
        <v>5-6 years</v>
      </c>
      <c r="J118" s="211">
        <f t="shared" si="24"/>
        <v>0.83835616438356164</v>
      </c>
      <c r="K118" s="258">
        <f>$D118*J118*_xlfn.XLOOKUP($I118,'Sample Size cal and results'!$B$24:$B$25,'Sample Size cal and results'!$H$24:$H$25)</f>
        <v>1277.5983077453845</v>
      </c>
      <c r="L118" s="211">
        <f t="shared" si="25"/>
        <v>0.16164383561643836</v>
      </c>
      <c r="M118" s="211">
        <f>$D118*L118*_xlfn.XLOOKUP($I118,'Sample Size cal and results'!$B$24:$B$25,'Sample Size cal and results'!$I$24:$I$25)</f>
        <v>252.74153312633055</v>
      </c>
      <c r="N118" s="214">
        <f t="shared" si="26"/>
        <v>1530.3398408717151</v>
      </c>
      <c r="O118" s="225" t="str">
        <f t="shared" si="27"/>
        <v>6-7 years</v>
      </c>
      <c r="P118" s="226">
        <f t="shared" si="28"/>
        <v>1</v>
      </c>
      <c r="Q118" s="227">
        <f>$D118*P118*_xlfn.XLOOKUP($O118,'Sample Size cal and results'!$B$26:$B$27,'Sample Size cal and results'!$I$26:$I$27)</f>
        <v>1358.9703358244062</v>
      </c>
      <c r="R118" s="330"/>
    </row>
    <row r="119" spans="1:18" ht="12.75">
      <c r="A119" s="99" t="s">
        <v>66</v>
      </c>
      <c r="B119" s="100">
        <v>42078</v>
      </c>
      <c r="C119" s="100">
        <f t="shared" si="18"/>
        <v>44634</v>
      </c>
      <c r="D119" s="209">
        <v>1291</v>
      </c>
      <c r="E119" s="217">
        <f t="shared" si="19"/>
        <v>4.96</v>
      </c>
      <c r="F119" s="218">
        <f t="shared" si="20"/>
        <v>5.95</v>
      </c>
      <c r="G119" s="219">
        <f t="shared" si="21"/>
        <v>5.96</v>
      </c>
      <c r="H119" s="220">
        <f t="shared" si="22"/>
        <v>6.95</v>
      </c>
      <c r="I119" s="257" t="str">
        <f t="shared" si="23"/>
        <v>5-6 years</v>
      </c>
      <c r="J119" s="211">
        <f t="shared" si="24"/>
        <v>0.83835616438356164</v>
      </c>
      <c r="K119" s="258">
        <f>$D119*J119*_xlfn.XLOOKUP($I119,'Sample Size cal and results'!$B$24:$B$25,'Sample Size cal and results'!$H$24:$H$25)</f>
        <v>1004.4941627888498</v>
      </c>
      <c r="L119" s="211">
        <f t="shared" si="25"/>
        <v>0.16164383561643836</v>
      </c>
      <c r="M119" s="211">
        <f>$D119*L119*_xlfn.XLOOKUP($I119,'Sample Size cal and results'!$B$24:$B$25,'Sample Size cal and results'!$I$24:$I$25)</f>
        <v>198.71456715352787</v>
      </c>
      <c r="N119" s="214">
        <f t="shared" si="26"/>
        <v>1203.2087299423777</v>
      </c>
      <c r="O119" s="225" t="str">
        <f t="shared" si="27"/>
        <v>6-7 years</v>
      </c>
      <c r="P119" s="226">
        <f t="shared" si="28"/>
        <v>1</v>
      </c>
      <c r="Q119" s="227">
        <f>$D119*P119*_xlfn.XLOOKUP($O119,'Sample Size cal and results'!$B$26:$B$27,'Sample Size cal and results'!$I$26:$I$27)</f>
        <v>1068.4718048412353</v>
      </c>
      <c r="R119" s="330"/>
    </row>
    <row r="120" spans="1:18" ht="12.75">
      <c r="A120" s="99" t="s">
        <v>64</v>
      </c>
      <c r="B120" s="100">
        <v>42078</v>
      </c>
      <c r="C120" s="100">
        <f t="shared" si="18"/>
        <v>44634</v>
      </c>
      <c r="D120" s="209">
        <v>300</v>
      </c>
      <c r="E120" s="217">
        <f t="shared" si="19"/>
        <v>4.96</v>
      </c>
      <c r="F120" s="218">
        <f t="shared" si="20"/>
        <v>5.95</v>
      </c>
      <c r="G120" s="219">
        <f t="shared" si="21"/>
        <v>5.96</v>
      </c>
      <c r="H120" s="220">
        <f t="shared" si="22"/>
        <v>6.95</v>
      </c>
      <c r="I120" s="257" t="str">
        <f t="shared" si="23"/>
        <v>5-6 years</v>
      </c>
      <c r="J120" s="211">
        <f t="shared" si="24"/>
        <v>0.83835616438356164</v>
      </c>
      <c r="K120" s="258">
        <f>$D120*J120*_xlfn.XLOOKUP($I120,'Sample Size cal and results'!$B$24:$B$25,'Sample Size cal and results'!$H$24:$H$25)</f>
        <v>233.42234611669633</v>
      </c>
      <c r="L120" s="211">
        <f t="shared" si="25"/>
        <v>0.16164383561643836</v>
      </c>
      <c r="M120" s="211">
        <f>$D120*L120*_xlfn.XLOOKUP($I120,'Sample Size cal and results'!$B$24:$B$25,'Sample Size cal and results'!$I$24:$I$25)</f>
        <v>46.176893993848459</v>
      </c>
      <c r="N120" s="214">
        <f t="shared" si="26"/>
        <v>279.59924011054477</v>
      </c>
      <c r="O120" s="225" t="str">
        <f t="shared" si="27"/>
        <v>6-7 years</v>
      </c>
      <c r="P120" s="226">
        <f t="shared" si="28"/>
        <v>1</v>
      </c>
      <c r="Q120" s="227">
        <f>$D120*P120*_xlfn.XLOOKUP($O120,'Sample Size cal and results'!$B$26:$B$27,'Sample Size cal and results'!$I$26:$I$27)</f>
        <v>248.28934272065888</v>
      </c>
      <c r="R120" s="330"/>
    </row>
    <row r="121" spans="1:18" ht="12.75">
      <c r="A121" s="99" t="s">
        <v>64</v>
      </c>
      <c r="B121" s="100">
        <v>42077</v>
      </c>
      <c r="C121" s="100">
        <f t="shared" si="18"/>
        <v>44633</v>
      </c>
      <c r="D121" s="209">
        <v>252</v>
      </c>
      <c r="E121" s="217">
        <f t="shared" si="19"/>
        <v>4.96</v>
      </c>
      <c r="F121" s="218">
        <f t="shared" si="20"/>
        <v>5.96</v>
      </c>
      <c r="G121" s="219">
        <f t="shared" si="21"/>
        <v>5.96</v>
      </c>
      <c r="H121" s="220">
        <f t="shared" si="22"/>
        <v>6.96</v>
      </c>
      <c r="I121" s="257" t="str">
        <f t="shared" si="23"/>
        <v>5-6 years</v>
      </c>
      <c r="J121" s="211">
        <f t="shared" si="24"/>
        <v>0.83835616438356164</v>
      </c>
      <c r="K121" s="258">
        <f>$D121*J121*_xlfn.XLOOKUP($I121,'Sample Size cal and results'!$B$24:$B$25,'Sample Size cal and results'!$H$24:$H$25)</f>
        <v>196.07477073802494</v>
      </c>
      <c r="L121" s="211">
        <f t="shared" si="25"/>
        <v>0.16164383561643836</v>
      </c>
      <c r="M121" s="211">
        <f>$D121*L121*_xlfn.XLOOKUP($I121,'Sample Size cal and results'!$B$24:$B$25,'Sample Size cal and results'!$I$24:$I$25)</f>
        <v>38.788590954832706</v>
      </c>
      <c r="N121" s="214">
        <f t="shared" si="26"/>
        <v>234.86336169285764</v>
      </c>
      <c r="O121" s="225" t="str">
        <f t="shared" si="27"/>
        <v>6-7 years</v>
      </c>
      <c r="P121" s="226">
        <f t="shared" si="28"/>
        <v>1</v>
      </c>
      <c r="Q121" s="227">
        <f>$D121*P121*_xlfn.XLOOKUP($O121,'Sample Size cal and results'!$B$26:$B$27,'Sample Size cal and results'!$I$26:$I$27)</f>
        <v>208.56304788535346</v>
      </c>
      <c r="R121" s="330"/>
    </row>
    <row r="122" spans="1:18" ht="12.75">
      <c r="A122" s="99" t="s">
        <v>64</v>
      </c>
      <c r="B122" s="100">
        <v>42076</v>
      </c>
      <c r="C122" s="100">
        <f t="shared" si="18"/>
        <v>44632</v>
      </c>
      <c r="D122" s="209">
        <v>214</v>
      </c>
      <c r="E122" s="217">
        <f t="shared" si="19"/>
        <v>4.96</v>
      </c>
      <c r="F122" s="218">
        <f t="shared" si="20"/>
        <v>5.96</v>
      </c>
      <c r="G122" s="219">
        <f t="shared" si="21"/>
        <v>5.96</v>
      </c>
      <c r="H122" s="220">
        <f t="shared" si="22"/>
        <v>6.96</v>
      </c>
      <c r="I122" s="257" t="str">
        <f t="shared" si="23"/>
        <v>5-6 years</v>
      </c>
      <c r="J122" s="211">
        <f t="shared" si="24"/>
        <v>0.83835616438356164</v>
      </c>
      <c r="K122" s="258">
        <f>$D122*J122*_xlfn.XLOOKUP($I122,'Sample Size cal and results'!$B$24:$B$25,'Sample Size cal and results'!$H$24:$H$25)</f>
        <v>166.50794022991005</v>
      </c>
      <c r="L122" s="211">
        <f t="shared" si="25"/>
        <v>0.16164383561643836</v>
      </c>
      <c r="M122" s="211">
        <f>$D122*L122*_xlfn.XLOOKUP($I122,'Sample Size cal and results'!$B$24:$B$25,'Sample Size cal and results'!$I$24:$I$25)</f>
        <v>32.939517715611899</v>
      </c>
      <c r="N122" s="214">
        <f t="shared" si="26"/>
        <v>199.44745794552193</v>
      </c>
      <c r="O122" s="225" t="str">
        <f t="shared" si="27"/>
        <v>6-7 years</v>
      </c>
      <c r="P122" s="226">
        <f t="shared" si="28"/>
        <v>1</v>
      </c>
      <c r="Q122" s="227">
        <f>$D122*P122*_xlfn.XLOOKUP($O122,'Sample Size cal and results'!$B$26:$B$27,'Sample Size cal and results'!$I$26:$I$27)</f>
        <v>177.11306447407</v>
      </c>
      <c r="R122" s="330"/>
    </row>
    <row r="123" spans="1:18" ht="12.75">
      <c r="A123" s="99" t="s">
        <v>64</v>
      </c>
      <c r="B123" s="100">
        <v>42075</v>
      </c>
      <c r="C123" s="100">
        <f t="shared" si="18"/>
        <v>44631</v>
      </c>
      <c r="D123" s="209">
        <v>313</v>
      </c>
      <c r="E123" s="217">
        <f t="shared" si="19"/>
        <v>4.97</v>
      </c>
      <c r="F123" s="218">
        <f t="shared" si="20"/>
        <v>5.96</v>
      </c>
      <c r="G123" s="219">
        <f t="shared" si="21"/>
        <v>5.97</v>
      </c>
      <c r="H123" s="220">
        <f t="shared" si="22"/>
        <v>6.96</v>
      </c>
      <c r="I123" s="257" t="str">
        <f t="shared" si="23"/>
        <v>5-6 years</v>
      </c>
      <c r="J123" s="211">
        <f t="shared" si="24"/>
        <v>0.83835616438356164</v>
      </c>
      <c r="K123" s="258">
        <f>$D123*J123*_xlfn.XLOOKUP($I123,'Sample Size cal and results'!$B$24:$B$25,'Sample Size cal and results'!$H$24:$H$25)</f>
        <v>243.53731444841986</v>
      </c>
      <c r="L123" s="211">
        <f t="shared" si="25"/>
        <v>0.16164383561643836</v>
      </c>
      <c r="M123" s="211">
        <f>$D123*L123*_xlfn.XLOOKUP($I123,'Sample Size cal and results'!$B$24:$B$25,'Sample Size cal and results'!$I$24:$I$25)</f>
        <v>48.177892733581892</v>
      </c>
      <c r="N123" s="214">
        <f t="shared" si="26"/>
        <v>291.71520718200173</v>
      </c>
      <c r="O123" s="225" t="str">
        <f t="shared" si="27"/>
        <v>6-7 years</v>
      </c>
      <c r="P123" s="226">
        <f t="shared" si="28"/>
        <v>1</v>
      </c>
      <c r="Q123" s="227">
        <f>$D123*P123*_xlfn.XLOOKUP($O123,'Sample Size cal and results'!$B$26:$B$27,'Sample Size cal and results'!$I$26:$I$27)</f>
        <v>259.04854757188741</v>
      </c>
      <c r="R123" s="330"/>
    </row>
    <row r="124" spans="1:18" ht="12.75">
      <c r="A124" s="99" t="s">
        <v>64</v>
      </c>
      <c r="B124" s="100">
        <v>42074</v>
      </c>
      <c r="C124" s="100">
        <f t="shared" si="18"/>
        <v>44630</v>
      </c>
      <c r="D124" s="209">
        <v>229</v>
      </c>
      <c r="E124" s="217">
        <f t="shared" si="19"/>
        <v>4.97</v>
      </c>
      <c r="F124" s="218">
        <f t="shared" si="20"/>
        <v>5.97</v>
      </c>
      <c r="G124" s="219">
        <f t="shared" si="21"/>
        <v>5.97</v>
      </c>
      <c r="H124" s="220">
        <f t="shared" si="22"/>
        <v>6.97</v>
      </c>
      <c r="I124" s="257" t="str">
        <f t="shared" si="23"/>
        <v>5-6 years</v>
      </c>
      <c r="J124" s="211">
        <f t="shared" si="24"/>
        <v>0.83835616438356164</v>
      </c>
      <c r="K124" s="258">
        <f>$D124*J124*_xlfn.XLOOKUP($I124,'Sample Size cal and results'!$B$24:$B$25,'Sample Size cal and results'!$H$24:$H$25)</f>
        <v>178.17905753574487</v>
      </c>
      <c r="L124" s="211">
        <f t="shared" si="25"/>
        <v>0.16164383561643836</v>
      </c>
      <c r="M124" s="211">
        <f>$D124*L124*_xlfn.XLOOKUP($I124,'Sample Size cal and results'!$B$24:$B$25,'Sample Size cal and results'!$I$24:$I$25)</f>
        <v>35.248362415304328</v>
      </c>
      <c r="N124" s="214">
        <f t="shared" si="26"/>
        <v>213.42741995104922</v>
      </c>
      <c r="O124" s="225" t="str">
        <f t="shared" si="27"/>
        <v>6-7 years</v>
      </c>
      <c r="P124" s="226">
        <f t="shared" si="28"/>
        <v>1</v>
      </c>
      <c r="Q124" s="227">
        <f>$D124*P124*_xlfn.XLOOKUP($O124,'Sample Size cal and results'!$B$26:$B$27,'Sample Size cal and results'!$I$26:$I$27)</f>
        <v>189.52753161010295</v>
      </c>
      <c r="R124" s="330"/>
    </row>
    <row r="125" spans="1:18" ht="12.75">
      <c r="A125" s="99" t="s">
        <v>64</v>
      </c>
      <c r="B125" s="100">
        <v>42073</v>
      </c>
      <c r="C125" s="100">
        <f t="shared" si="18"/>
        <v>44629</v>
      </c>
      <c r="D125" s="209">
        <v>298</v>
      </c>
      <c r="E125" s="217">
        <f t="shared" si="19"/>
        <v>4.97</v>
      </c>
      <c r="F125" s="218">
        <f t="shared" si="20"/>
        <v>5.97</v>
      </c>
      <c r="G125" s="219">
        <f t="shared" si="21"/>
        <v>5.97</v>
      </c>
      <c r="H125" s="220">
        <f t="shared" si="22"/>
        <v>6.97</v>
      </c>
      <c r="I125" s="257" t="str">
        <f t="shared" si="23"/>
        <v>5-6 years</v>
      </c>
      <c r="J125" s="211">
        <f t="shared" si="24"/>
        <v>0.83835616438356164</v>
      </c>
      <c r="K125" s="258">
        <f>$D125*J125*_xlfn.XLOOKUP($I125,'Sample Size cal and results'!$B$24:$B$25,'Sample Size cal and results'!$H$24:$H$25)</f>
        <v>231.86619714258504</v>
      </c>
      <c r="L125" s="211">
        <f t="shared" si="25"/>
        <v>0.16164383561643836</v>
      </c>
      <c r="M125" s="211">
        <f>$D125*L125*_xlfn.XLOOKUP($I125,'Sample Size cal and results'!$B$24:$B$25,'Sample Size cal and results'!$I$24:$I$25)</f>
        <v>45.86904803388947</v>
      </c>
      <c r="N125" s="214">
        <f t="shared" si="26"/>
        <v>277.73524517647451</v>
      </c>
      <c r="O125" s="225" t="str">
        <f t="shared" si="27"/>
        <v>6-7 years</v>
      </c>
      <c r="P125" s="226">
        <f t="shared" si="28"/>
        <v>1</v>
      </c>
      <c r="Q125" s="227">
        <f>$D125*P125*_xlfn.XLOOKUP($O125,'Sample Size cal and results'!$B$26:$B$27,'Sample Size cal and results'!$I$26:$I$27)</f>
        <v>246.63408043585449</v>
      </c>
      <c r="R125" s="330"/>
    </row>
    <row r="126" spans="1:18" ht="12.75">
      <c r="A126" s="99" t="s">
        <v>64</v>
      </c>
      <c r="B126" s="100">
        <v>42072</v>
      </c>
      <c r="C126" s="100">
        <f t="shared" si="18"/>
        <v>44628</v>
      </c>
      <c r="D126" s="209">
        <v>234</v>
      </c>
      <c r="E126" s="217">
        <f t="shared" si="19"/>
        <v>4.97</v>
      </c>
      <c r="F126" s="218">
        <f t="shared" si="20"/>
        <v>5.97</v>
      </c>
      <c r="G126" s="219">
        <f t="shared" si="21"/>
        <v>5.97</v>
      </c>
      <c r="H126" s="220">
        <f t="shared" si="22"/>
        <v>6.97</v>
      </c>
      <c r="I126" s="257" t="str">
        <f t="shared" si="23"/>
        <v>5-6 years</v>
      </c>
      <c r="J126" s="211">
        <f t="shared" si="24"/>
        <v>0.83835616438356164</v>
      </c>
      <c r="K126" s="258">
        <f>$D126*J126*_xlfn.XLOOKUP($I126,'Sample Size cal and results'!$B$24:$B$25,'Sample Size cal and results'!$H$24:$H$25)</f>
        <v>182.06942997102314</v>
      </c>
      <c r="L126" s="211">
        <f t="shared" si="25"/>
        <v>0.16164383561643836</v>
      </c>
      <c r="M126" s="211">
        <f>$D126*L126*_xlfn.XLOOKUP($I126,'Sample Size cal and results'!$B$24:$B$25,'Sample Size cal and results'!$I$24:$I$25)</f>
        <v>36.017977315201797</v>
      </c>
      <c r="N126" s="214">
        <f t="shared" si="26"/>
        <v>218.08740728622493</v>
      </c>
      <c r="O126" s="225" t="str">
        <f t="shared" si="27"/>
        <v>6-7 years</v>
      </c>
      <c r="P126" s="226">
        <f t="shared" si="28"/>
        <v>1</v>
      </c>
      <c r="Q126" s="227">
        <f>$D126*P126*_xlfn.XLOOKUP($O126,'Sample Size cal and results'!$B$26:$B$27,'Sample Size cal and results'!$I$26:$I$27)</f>
        <v>193.66568732211394</v>
      </c>
      <c r="R126" s="330"/>
    </row>
    <row r="127" spans="1:18" ht="12.75">
      <c r="A127" s="99" t="s">
        <v>64</v>
      </c>
      <c r="B127" s="100">
        <v>42071</v>
      </c>
      <c r="C127" s="100">
        <f t="shared" si="18"/>
        <v>44627</v>
      </c>
      <c r="D127" s="209">
        <v>250</v>
      </c>
      <c r="E127" s="217">
        <f t="shared" si="19"/>
        <v>4.9800000000000004</v>
      </c>
      <c r="F127" s="218">
        <f t="shared" si="20"/>
        <v>5.97</v>
      </c>
      <c r="G127" s="219">
        <f t="shared" si="21"/>
        <v>5.98</v>
      </c>
      <c r="H127" s="220">
        <f t="shared" si="22"/>
        <v>6.97</v>
      </c>
      <c r="I127" s="257" t="str">
        <f t="shared" si="23"/>
        <v>5-6 years</v>
      </c>
      <c r="J127" s="211">
        <f t="shared" si="24"/>
        <v>0.83835616438356164</v>
      </c>
      <c r="K127" s="258">
        <f>$D127*J127*_xlfn.XLOOKUP($I127,'Sample Size cal and results'!$B$24:$B$25,'Sample Size cal and results'!$H$24:$H$25)</f>
        <v>194.51862176391361</v>
      </c>
      <c r="L127" s="211">
        <f t="shared" si="25"/>
        <v>0.16164383561643836</v>
      </c>
      <c r="M127" s="211">
        <f>$D127*L127*_xlfn.XLOOKUP($I127,'Sample Size cal and results'!$B$24:$B$25,'Sample Size cal and results'!$I$24:$I$25)</f>
        <v>38.480744994873717</v>
      </c>
      <c r="N127" s="214">
        <f t="shared" si="26"/>
        <v>232.99936675878735</v>
      </c>
      <c r="O127" s="225" t="str">
        <f t="shared" si="27"/>
        <v>6-7 years</v>
      </c>
      <c r="P127" s="226">
        <f t="shared" si="28"/>
        <v>1</v>
      </c>
      <c r="Q127" s="227">
        <f>$D127*P127*_xlfn.XLOOKUP($O127,'Sample Size cal and results'!$B$26:$B$27,'Sample Size cal and results'!$I$26:$I$27)</f>
        <v>206.90778560054906</v>
      </c>
      <c r="R127" s="330"/>
    </row>
    <row r="128" spans="1:18" ht="12.75">
      <c r="A128" s="99" t="s">
        <v>64</v>
      </c>
      <c r="B128" s="100">
        <v>42070</v>
      </c>
      <c r="C128" s="100">
        <f t="shared" si="18"/>
        <v>44626</v>
      </c>
      <c r="D128" s="209">
        <v>233</v>
      </c>
      <c r="E128" s="217">
        <f t="shared" si="19"/>
        <v>4.9800000000000004</v>
      </c>
      <c r="F128" s="218">
        <f t="shared" si="20"/>
        <v>5.98</v>
      </c>
      <c r="G128" s="219">
        <f t="shared" si="21"/>
        <v>5.98</v>
      </c>
      <c r="H128" s="220">
        <f t="shared" si="22"/>
        <v>6.98</v>
      </c>
      <c r="I128" s="257" t="str">
        <f t="shared" si="23"/>
        <v>5-6 years</v>
      </c>
      <c r="J128" s="211">
        <f t="shared" si="24"/>
        <v>0.83835616438356164</v>
      </c>
      <c r="K128" s="258">
        <f>$D128*J128*_xlfn.XLOOKUP($I128,'Sample Size cal and results'!$B$24:$B$25,'Sample Size cal and results'!$H$24:$H$25)</f>
        <v>181.29135548396749</v>
      </c>
      <c r="L128" s="211">
        <f t="shared" si="25"/>
        <v>0.16164383561643836</v>
      </c>
      <c r="M128" s="211">
        <f>$D128*L128*_xlfn.XLOOKUP($I128,'Sample Size cal and results'!$B$24:$B$25,'Sample Size cal and results'!$I$24:$I$25)</f>
        <v>35.864054335222306</v>
      </c>
      <c r="N128" s="214">
        <f t="shared" si="26"/>
        <v>217.1554098191898</v>
      </c>
      <c r="O128" s="225" t="str">
        <f t="shared" si="27"/>
        <v>6-7 years</v>
      </c>
      <c r="P128" s="226">
        <f t="shared" si="28"/>
        <v>1</v>
      </c>
      <c r="Q128" s="227">
        <f>$D128*P128*_xlfn.XLOOKUP($O128,'Sample Size cal and results'!$B$26:$B$27,'Sample Size cal and results'!$I$26:$I$27)</f>
        <v>192.83805617971174</v>
      </c>
      <c r="R128" s="330"/>
    </row>
    <row r="129" spans="1:18" ht="12.75">
      <c r="A129" s="99" t="s">
        <v>64</v>
      </c>
      <c r="B129" s="100">
        <v>42069</v>
      </c>
      <c r="C129" s="100">
        <f t="shared" si="18"/>
        <v>44625</v>
      </c>
      <c r="D129" s="209">
        <v>200</v>
      </c>
      <c r="E129" s="217">
        <f t="shared" si="19"/>
        <v>4.9800000000000004</v>
      </c>
      <c r="F129" s="218">
        <f t="shared" si="20"/>
        <v>5.98</v>
      </c>
      <c r="G129" s="219">
        <f t="shared" si="21"/>
        <v>5.98</v>
      </c>
      <c r="H129" s="220">
        <f t="shared" si="22"/>
        <v>6.98</v>
      </c>
      <c r="I129" s="257" t="str">
        <f t="shared" si="23"/>
        <v>5-6 years</v>
      </c>
      <c r="J129" s="211">
        <f t="shared" si="24"/>
        <v>0.83835616438356164</v>
      </c>
      <c r="K129" s="258">
        <f>$D129*J129*_xlfn.XLOOKUP($I129,'Sample Size cal and results'!$B$24:$B$25,'Sample Size cal and results'!$H$24:$H$25)</f>
        <v>155.6148974111309</v>
      </c>
      <c r="L129" s="211">
        <f t="shared" si="25"/>
        <v>0.16164383561643836</v>
      </c>
      <c r="M129" s="211">
        <f>$D129*L129*_xlfn.XLOOKUP($I129,'Sample Size cal and results'!$B$24:$B$25,'Sample Size cal and results'!$I$24:$I$25)</f>
        <v>30.784595995898972</v>
      </c>
      <c r="N129" s="214">
        <f t="shared" si="26"/>
        <v>186.39949340702987</v>
      </c>
      <c r="O129" s="225" t="str">
        <f t="shared" si="27"/>
        <v>6-7 years</v>
      </c>
      <c r="P129" s="226">
        <f t="shared" si="28"/>
        <v>1</v>
      </c>
      <c r="Q129" s="227">
        <f>$D129*P129*_xlfn.XLOOKUP($O129,'Sample Size cal and results'!$B$26:$B$27,'Sample Size cal and results'!$I$26:$I$27)</f>
        <v>165.52622848043924</v>
      </c>
      <c r="R129" s="330"/>
    </row>
    <row r="130" spans="1:18" ht="12.75">
      <c r="A130" s="99" t="s">
        <v>64</v>
      </c>
      <c r="B130" s="100">
        <v>42068</v>
      </c>
      <c r="C130" s="100">
        <f t="shared" si="18"/>
        <v>44624</v>
      </c>
      <c r="D130" s="209">
        <v>288</v>
      </c>
      <c r="E130" s="217">
        <f t="shared" si="19"/>
        <v>4.9800000000000004</v>
      </c>
      <c r="F130" s="218">
        <f t="shared" si="20"/>
        <v>5.98</v>
      </c>
      <c r="G130" s="219">
        <f t="shared" si="21"/>
        <v>5.98</v>
      </c>
      <c r="H130" s="220">
        <f t="shared" si="22"/>
        <v>6.98</v>
      </c>
      <c r="I130" s="257" t="str">
        <f t="shared" si="23"/>
        <v>5-6 years</v>
      </c>
      <c r="J130" s="211">
        <f t="shared" si="24"/>
        <v>0.83835616438356164</v>
      </c>
      <c r="K130" s="258">
        <f>$D130*J130*_xlfn.XLOOKUP($I130,'Sample Size cal and results'!$B$24:$B$25,'Sample Size cal and results'!$H$24:$H$25)</f>
        <v>224.0854522720285</v>
      </c>
      <c r="L130" s="211">
        <f t="shared" si="25"/>
        <v>0.16164383561643836</v>
      </c>
      <c r="M130" s="211">
        <f>$D130*L130*_xlfn.XLOOKUP($I130,'Sample Size cal and results'!$B$24:$B$25,'Sample Size cal and results'!$I$24:$I$25)</f>
        <v>44.329818234094525</v>
      </c>
      <c r="N130" s="214">
        <f t="shared" si="26"/>
        <v>268.41527050612302</v>
      </c>
      <c r="O130" s="225" t="str">
        <f t="shared" si="27"/>
        <v>6-7 years</v>
      </c>
      <c r="P130" s="226">
        <f t="shared" si="28"/>
        <v>1</v>
      </c>
      <c r="Q130" s="227">
        <f>$D130*P130*_xlfn.XLOOKUP($O130,'Sample Size cal and results'!$B$26:$B$27,'Sample Size cal and results'!$I$26:$I$27)</f>
        <v>238.35776901183252</v>
      </c>
      <c r="R130" s="330"/>
    </row>
    <row r="131" spans="1:18" ht="12.75">
      <c r="A131" s="99" t="s">
        <v>64</v>
      </c>
      <c r="B131" s="100">
        <v>42067</v>
      </c>
      <c r="C131" s="100">
        <f t="shared" ref="C131:C194" si="29">EDATE(B131,84)-1</f>
        <v>44623</v>
      </c>
      <c r="D131" s="209">
        <v>197</v>
      </c>
      <c r="E131" s="217">
        <f t="shared" ref="E131:E194" si="30">ROUNDDOWN(YEARFRAC($B131,$AB$4,1),2)</f>
        <v>4.99</v>
      </c>
      <c r="F131" s="218">
        <f t="shared" ref="F131:F194" si="31">ROUNDDOWN(YEARFRAC($B131,$AB$5,1),2)</f>
        <v>5.98</v>
      </c>
      <c r="G131" s="219">
        <f t="shared" ref="G131:G194" si="32">ROUNDDOWN(YEARFRAC($B131,$AC$4,1),2)</f>
        <v>5.99</v>
      </c>
      <c r="H131" s="220">
        <f t="shared" ref="H131:H194" si="33">ROUNDDOWN(YEARFRAC($B131,$AC$5,1),2)</f>
        <v>6.98</v>
      </c>
      <c r="I131" s="257" t="str">
        <f t="shared" ref="I131:I194" si="34">IF(DATEDIF($B131,$AB$5,"y")=5,"5-6 years","6-7 years")</f>
        <v>5-6 years</v>
      </c>
      <c r="J131" s="211">
        <f t="shared" ref="J131:J194" si="35">MAX(MIN($AC$7,C131)-MAX($AB$4,$B131,_xlfn.XLOOKUP($A131,$AE$3:$AE$37,$AF$3:$AF$37))+1,0)/365</f>
        <v>0.83835616438356164</v>
      </c>
      <c r="K131" s="258">
        <f>$D131*J131*_xlfn.XLOOKUP($I131,'Sample Size cal and results'!$B$24:$B$25,'Sample Size cal and results'!$H$24:$H$25)</f>
        <v>153.28067394996393</v>
      </c>
      <c r="L131" s="211">
        <f t="shared" ref="L131:L194" si="36">MAX(MIN($AB$5,C131)-MAX($AC$8,$B131,_xlfn.XLOOKUP($A131,$AE$3:$AE$37,$AF$3:$AF$37))+1,0)/365</f>
        <v>0.16164383561643836</v>
      </c>
      <c r="M131" s="211">
        <f>$D131*L131*_xlfn.XLOOKUP($I131,'Sample Size cal and results'!$B$24:$B$25,'Sample Size cal and results'!$I$24:$I$25)</f>
        <v>30.322827055960488</v>
      </c>
      <c r="N131" s="214">
        <f t="shared" ref="N131:N194" si="37">M131+K131</f>
        <v>183.60350100592441</v>
      </c>
      <c r="O131" s="225" t="str">
        <f t="shared" ref="O131:O194" si="38">IF(DATEDIF($B131,$AC$5,"y")=6,"6-7 years","7-8 years")</f>
        <v>6-7 years</v>
      </c>
      <c r="P131" s="226">
        <f t="shared" ref="P131:P194" si="39">MAX(MIN($AC$5,C131)-MAX($AC$4,$B131,_xlfn.XLOOKUP($A131,$AE$3:$AE$37,$AF$3:$AF$37))+1,0)/365</f>
        <v>1</v>
      </c>
      <c r="Q131" s="227">
        <f>$D131*P131*_xlfn.XLOOKUP($O131,'Sample Size cal and results'!$B$26:$B$27,'Sample Size cal and results'!$I$26:$I$27)</f>
        <v>163.04333505323265</v>
      </c>
      <c r="R131" s="330"/>
    </row>
    <row r="132" spans="1:18" ht="12.75">
      <c r="A132" s="99" t="s">
        <v>64</v>
      </c>
      <c r="B132" s="100">
        <v>42066</v>
      </c>
      <c r="C132" s="100">
        <f t="shared" si="29"/>
        <v>44622</v>
      </c>
      <c r="D132" s="209">
        <v>242</v>
      </c>
      <c r="E132" s="217">
        <f t="shared" si="30"/>
        <v>4.99</v>
      </c>
      <c r="F132" s="218">
        <f t="shared" si="31"/>
        <v>5.99</v>
      </c>
      <c r="G132" s="219">
        <f t="shared" si="32"/>
        <v>5.99</v>
      </c>
      <c r="H132" s="220">
        <f t="shared" si="33"/>
        <v>6.99</v>
      </c>
      <c r="I132" s="257" t="str">
        <f t="shared" si="34"/>
        <v>5-6 years</v>
      </c>
      <c r="J132" s="211">
        <f t="shared" si="35"/>
        <v>0.83835616438356164</v>
      </c>
      <c r="K132" s="258">
        <f>$D132*J132*_xlfn.XLOOKUP($I132,'Sample Size cal and results'!$B$24:$B$25,'Sample Size cal and results'!$H$24:$H$25)</f>
        <v>188.29402586746838</v>
      </c>
      <c r="L132" s="211">
        <f t="shared" si="36"/>
        <v>0.16164383561643836</v>
      </c>
      <c r="M132" s="211">
        <f>$D132*L132*_xlfn.XLOOKUP($I132,'Sample Size cal and results'!$B$24:$B$25,'Sample Size cal and results'!$I$24:$I$25)</f>
        <v>37.249361155037754</v>
      </c>
      <c r="N132" s="214">
        <f t="shared" si="37"/>
        <v>225.54338702250612</v>
      </c>
      <c r="O132" s="225" t="str">
        <f t="shared" si="38"/>
        <v>6-7 years</v>
      </c>
      <c r="P132" s="226">
        <f t="shared" si="39"/>
        <v>1</v>
      </c>
      <c r="Q132" s="227">
        <f>$D132*P132*_xlfn.XLOOKUP($O132,'Sample Size cal and results'!$B$26:$B$27,'Sample Size cal and results'!$I$26:$I$27)</f>
        <v>200.28673646133149</v>
      </c>
      <c r="R132" s="330"/>
    </row>
    <row r="133" spans="1:18" ht="12.75">
      <c r="A133" s="99" t="s">
        <v>64</v>
      </c>
      <c r="B133" s="100">
        <v>42065</v>
      </c>
      <c r="C133" s="100">
        <f t="shared" si="29"/>
        <v>44621</v>
      </c>
      <c r="D133" s="209">
        <v>201</v>
      </c>
      <c r="E133" s="217">
        <f t="shared" si="30"/>
        <v>4.99</v>
      </c>
      <c r="F133" s="218">
        <f t="shared" si="31"/>
        <v>5.99</v>
      </c>
      <c r="G133" s="219">
        <f t="shared" si="32"/>
        <v>5.99</v>
      </c>
      <c r="H133" s="220">
        <f t="shared" si="33"/>
        <v>6.99</v>
      </c>
      <c r="I133" s="257" t="str">
        <f t="shared" si="34"/>
        <v>5-6 years</v>
      </c>
      <c r="J133" s="211">
        <f t="shared" si="35"/>
        <v>0.83835616438356164</v>
      </c>
      <c r="K133" s="258">
        <f>$D133*J133*_xlfn.XLOOKUP($I133,'Sample Size cal and results'!$B$24:$B$25,'Sample Size cal and results'!$H$24:$H$25)</f>
        <v>156.39297189818654</v>
      </c>
      <c r="L133" s="211">
        <f t="shared" si="36"/>
        <v>0.16164383561643836</v>
      </c>
      <c r="M133" s="211">
        <f>$D133*L133*_xlfn.XLOOKUP($I133,'Sample Size cal and results'!$B$24:$B$25,'Sample Size cal and results'!$I$24:$I$25)</f>
        <v>30.938518975878466</v>
      </c>
      <c r="N133" s="214">
        <f t="shared" si="37"/>
        <v>187.33149087406503</v>
      </c>
      <c r="O133" s="225" t="str">
        <f t="shared" si="38"/>
        <v>6-7 years</v>
      </c>
      <c r="P133" s="226">
        <f t="shared" si="39"/>
        <v>1</v>
      </c>
      <c r="Q133" s="227">
        <f>$D133*P133*_xlfn.XLOOKUP($O133,'Sample Size cal and results'!$B$26:$B$27,'Sample Size cal and results'!$I$26:$I$27)</f>
        <v>166.35385962284144</v>
      </c>
      <c r="R133" s="330"/>
    </row>
    <row r="134" spans="1:18" ht="12.75">
      <c r="A134" s="99" t="s">
        <v>64</v>
      </c>
      <c r="B134" s="100">
        <v>42064</v>
      </c>
      <c r="C134" s="100">
        <f t="shared" si="29"/>
        <v>44620</v>
      </c>
      <c r="D134" s="209">
        <v>122</v>
      </c>
      <c r="E134" s="217">
        <f t="shared" si="30"/>
        <v>5</v>
      </c>
      <c r="F134" s="218">
        <f t="shared" si="31"/>
        <v>5.99</v>
      </c>
      <c r="G134" s="219">
        <f t="shared" si="32"/>
        <v>6</v>
      </c>
      <c r="H134" s="220">
        <f t="shared" si="33"/>
        <v>6.99</v>
      </c>
      <c r="I134" s="257" t="str">
        <f t="shared" si="34"/>
        <v>5-6 years</v>
      </c>
      <c r="J134" s="211">
        <f t="shared" si="35"/>
        <v>0.83835616438356164</v>
      </c>
      <c r="K134" s="258">
        <f>$D134*J134*_xlfn.XLOOKUP($I134,'Sample Size cal and results'!$B$24:$B$25,'Sample Size cal and results'!$H$24:$H$25)</f>
        <v>94.925087420789836</v>
      </c>
      <c r="L134" s="211">
        <f t="shared" si="36"/>
        <v>0.16164383561643836</v>
      </c>
      <c r="M134" s="211">
        <f>$D134*L134*_xlfn.XLOOKUP($I134,'Sample Size cal and results'!$B$24:$B$25,'Sample Size cal and results'!$I$24:$I$25)</f>
        <v>18.778603557498371</v>
      </c>
      <c r="N134" s="214">
        <f t="shared" si="37"/>
        <v>113.70369097828821</v>
      </c>
      <c r="O134" s="225" t="str">
        <f t="shared" si="38"/>
        <v>6-7 years</v>
      </c>
      <c r="P134" s="226">
        <f t="shared" si="39"/>
        <v>1</v>
      </c>
      <c r="Q134" s="227">
        <f>$D134*P134*_xlfn.XLOOKUP($O134,'Sample Size cal and results'!$B$26:$B$27,'Sample Size cal and results'!$I$26:$I$27)</f>
        <v>100.97099937306794</v>
      </c>
      <c r="R134" s="330"/>
    </row>
    <row r="135" spans="1:18" ht="12.75">
      <c r="A135" s="99" t="s">
        <v>148</v>
      </c>
      <c r="B135" s="100">
        <v>42063</v>
      </c>
      <c r="C135" s="100">
        <f t="shared" si="29"/>
        <v>44619</v>
      </c>
      <c r="D135" s="209">
        <v>555</v>
      </c>
      <c r="E135" s="217">
        <f t="shared" si="30"/>
        <v>5</v>
      </c>
      <c r="F135" s="218">
        <f t="shared" si="31"/>
        <v>6</v>
      </c>
      <c r="G135" s="219">
        <f t="shared" si="32"/>
        <v>6</v>
      </c>
      <c r="H135" s="220">
        <f t="shared" si="33"/>
        <v>7</v>
      </c>
      <c r="I135" s="257" t="str">
        <f t="shared" si="34"/>
        <v>6-7 years</v>
      </c>
      <c r="J135" s="211">
        <f t="shared" si="35"/>
        <v>0.83835616438356164</v>
      </c>
      <c r="K135" s="258">
        <f>$D135*J135*_xlfn.XLOOKUP($I135,'Sample Size cal and results'!$B$24:$B$25,'Sample Size cal and results'!$H$24:$H$25)</f>
        <v>381.49140052698755</v>
      </c>
      <c r="L135" s="211">
        <f t="shared" si="36"/>
        <v>0.16164383561643836</v>
      </c>
      <c r="M135" s="211">
        <f>$D135*L135*_xlfn.XLOOKUP($I135,'Sample Size cal and results'!$B$24:$B$25,'Sample Size cal and results'!$I$24:$I$25)</f>
        <v>75.468729771452828</v>
      </c>
      <c r="N135" s="214">
        <f t="shared" si="37"/>
        <v>456.96013029844039</v>
      </c>
      <c r="O135" s="225" t="str">
        <f t="shared" si="38"/>
        <v>7-8 years</v>
      </c>
      <c r="P135" s="226">
        <f t="shared" si="39"/>
        <v>0.99726027397260275</v>
      </c>
      <c r="Q135" s="227">
        <f>$D135*P135*_xlfn.XLOOKUP($O135,'Sample Size cal and results'!$B$26:$B$27,'Sample Size cal and results'!$I$26:$I$27)</f>
        <v>359.63515934856366</v>
      </c>
      <c r="R135" s="330"/>
    </row>
    <row r="136" spans="1:18" ht="12.75">
      <c r="A136" s="99" t="s">
        <v>64</v>
      </c>
      <c r="B136" s="100">
        <v>42063</v>
      </c>
      <c r="C136" s="100">
        <f t="shared" si="29"/>
        <v>44619</v>
      </c>
      <c r="D136" s="209">
        <v>443</v>
      </c>
      <c r="E136" s="217">
        <f t="shared" si="30"/>
        <v>5</v>
      </c>
      <c r="F136" s="218">
        <f t="shared" si="31"/>
        <v>6</v>
      </c>
      <c r="G136" s="219">
        <f t="shared" si="32"/>
        <v>6</v>
      </c>
      <c r="H136" s="220">
        <f t="shared" si="33"/>
        <v>7</v>
      </c>
      <c r="I136" s="257" t="str">
        <f t="shared" si="34"/>
        <v>6-7 years</v>
      </c>
      <c r="J136" s="211">
        <f t="shared" si="35"/>
        <v>0.83835616438356164</v>
      </c>
      <c r="K136" s="258">
        <f>$D136*J136*_xlfn.XLOOKUP($I136,'Sample Size cal and results'!$B$24:$B$25,'Sample Size cal and results'!$H$24:$H$25)</f>
        <v>304.5057485287486</v>
      </c>
      <c r="L136" s="211">
        <f t="shared" si="36"/>
        <v>0.16164383561643836</v>
      </c>
      <c r="M136" s="211">
        <f>$D136*L136*_xlfn.XLOOKUP($I136,'Sample Size cal and results'!$B$24:$B$25,'Sample Size cal and results'!$I$24:$I$25)</f>
        <v>60.239004123880363</v>
      </c>
      <c r="N136" s="214">
        <f t="shared" si="37"/>
        <v>364.74475265262896</v>
      </c>
      <c r="O136" s="225" t="str">
        <f t="shared" si="38"/>
        <v>7-8 years</v>
      </c>
      <c r="P136" s="226">
        <f t="shared" si="39"/>
        <v>0.99726027397260275</v>
      </c>
      <c r="Q136" s="227">
        <f>$D136*P136*_xlfn.XLOOKUP($O136,'Sample Size cal and results'!$B$26:$B$27,'Sample Size cal and results'!$I$26:$I$27)</f>
        <v>287.06013620074543</v>
      </c>
      <c r="R136" s="330"/>
    </row>
    <row r="137" spans="1:18" ht="12.75">
      <c r="A137" s="99" t="s">
        <v>146</v>
      </c>
      <c r="B137" s="100">
        <v>42063</v>
      </c>
      <c r="C137" s="100">
        <f t="shared" si="29"/>
        <v>44619</v>
      </c>
      <c r="D137" s="209">
        <v>43</v>
      </c>
      <c r="E137" s="217">
        <f t="shared" si="30"/>
        <v>5</v>
      </c>
      <c r="F137" s="218">
        <f t="shared" si="31"/>
        <v>6</v>
      </c>
      <c r="G137" s="219">
        <f t="shared" si="32"/>
        <v>6</v>
      </c>
      <c r="H137" s="220">
        <f t="shared" si="33"/>
        <v>7</v>
      </c>
      <c r="I137" s="257" t="str">
        <f t="shared" si="34"/>
        <v>6-7 years</v>
      </c>
      <c r="J137" s="211">
        <f t="shared" si="35"/>
        <v>0.83835616438356164</v>
      </c>
      <c r="K137" s="258">
        <f>$D137*J137*_xlfn.XLOOKUP($I137,'Sample Size cal and results'!$B$24:$B$25,'Sample Size cal and results'!$H$24:$H$25)</f>
        <v>29.556991392181015</v>
      </c>
      <c r="L137" s="211">
        <f t="shared" si="36"/>
        <v>0.16164383561643836</v>
      </c>
      <c r="M137" s="211">
        <f>$D137*L137*_xlfn.XLOOKUP($I137,'Sample Size cal and results'!$B$24:$B$25,'Sample Size cal and results'!$I$24:$I$25)</f>
        <v>5.8471268111215702</v>
      </c>
      <c r="N137" s="214">
        <f t="shared" si="37"/>
        <v>35.404118203302588</v>
      </c>
      <c r="O137" s="225" t="str">
        <f t="shared" si="38"/>
        <v>7-8 years</v>
      </c>
      <c r="P137" s="226">
        <f t="shared" si="39"/>
        <v>0.99726027397260275</v>
      </c>
      <c r="Q137" s="227">
        <f>$D137*P137*_xlfn.XLOOKUP($O137,'Sample Size cal and results'!$B$26:$B$27,'Sample Size cal and results'!$I$26:$I$27)</f>
        <v>27.863624958537372</v>
      </c>
      <c r="R137" s="330"/>
    </row>
    <row r="138" spans="1:18" ht="12.75">
      <c r="A138" s="99" t="s">
        <v>64</v>
      </c>
      <c r="B138" s="100">
        <v>42062</v>
      </c>
      <c r="C138" s="100">
        <f t="shared" si="29"/>
        <v>44618</v>
      </c>
      <c r="D138" s="209">
        <v>262</v>
      </c>
      <c r="E138" s="217">
        <f t="shared" si="30"/>
        <v>5</v>
      </c>
      <c r="F138" s="218">
        <f t="shared" si="31"/>
        <v>6</v>
      </c>
      <c r="G138" s="219">
        <f t="shared" si="32"/>
        <v>6</v>
      </c>
      <c r="H138" s="220">
        <f t="shared" si="33"/>
        <v>7</v>
      </c>
      <c r="I138" s="257" t="str">
        <f t="shared" si="34"/>
        <v>6-7 years</v>
      </c>
      <c r="J138" s="211">
        <f t="shared" si="35"/>
        <v>0.83835616438356164</v>
      </c>
      <c r="K138" s="258">
        <f>$D138*J138*_xlfn.XLOOKUP($I138,'Sample Size cal and results'!$B$24:$B$25,'Sample Size cal and results'!$H$24:$H$25)</f>
        <v>180.09143592445176</v>
      </c>
      <c r="L138" s="211">
        <f t="shared" si="36"/>
        <v>0.16164383561643836</v>
      </c>
      <c r="M138" s="211">
        <f>$D138*L138*_xlfn.XLOOKUP($I138,'Sample Size cal and results'!$B$24:$B$25,'Sample Size cal and results'!$I$24:$I$25)</f>
        <v>35.626679639857009</v>
      </c>
      <c r="N138" s="214">
        <f t="shared" si="37"/>
        <v>215.71811556430876</v>
      </c>
      <c r="O138" s="225" t="str">
        <f t="shared" si="38"/>
        <v>7-8 years</v>
      </c>
      <c r="P138" s="226">
        <f t="shared" si="39"/>
        <v>0.9945205479452055</v>
      </c>
      <c r="Q138" s="227">
        <f>$D138*P138*_xlfn.XLOOKUP($O138,'Sample Size cal and results'!$B$26:$B$27,'Sample Size cal and results'!$I$26:$I$27)</f>
        <v>169.30730355907585</v>
      </c>
      <c r="R138" s="330"/>
    </row>
    <row r="139" spans="1:18" ht="12.75">
      <c r="A139" s="99" t="s">
        <v>148</v>
      </c>
      <c r="B139" s="100">
        <v>42062</v>
      </c>
      <c r="C139" s="100">
        <f t="shared" si="29"/>
        <v>44618</v>
      </c>
      <c r="D139" s="209">
        <v>100</v>
      </c>
      <c r="E139" s="217">
        <f t="shared" si="30"/>
        <v>5</v>
      </c>
      <c r="F139" s="218">
        <f t="shared" si="31"/>
        <v>6</v>
      </c>
      <c r="G139" s="219">
        <f t="shared" si="32"/>
        <v>6</v>
      </c>
      <c r="H139" s="220">
        <f t="shared" si="33"/>
        <v>7</v>
      </c>
      <c r="I139" s="257" t="str">
        <f t="shared" si="34"/>
        <v>6-7 years</v>
      </c>
      <c r="J139" s="211">
        <f t="shared" si="35"/>
        <v>0.83835616438356164</v>
      </c>
      <c r="K139" s="258">
        <f>$D139*J139*_xlfn.XLOOKUP($I139,'Sample Size cal and results'!$B$24:$B$25,'Sample Size cal and results'!$H$24:$H$25)</f>
        <v>68.737189284141891</v>
      </c>
      <c r="L139" s="211">
        <f t="shared" si="36"/>
        <v>0.16164383561643836</v>
      </c>
      <c r="M139" s="211">
        <f>$D139*L139*_xlfn.XLOOKUP($I139,'Sample Size cal and results'!$B$24:$B$25,'Sample Size cal and results'!$I$24:$I$25)</f>
        <v>13.597969328189697</v>
      </c>
      <c r="N139" s="214">
        <f t="shared" si="37"/>
        <v>82.335158612331583</v>
      </c>
      <c r="O139" s="225" t="str">
        <f t="shared" si="38"/>
        <v>7-8 years</v>
      </c>
      <c r="P139" s="226">
        <f t="shared" si="39"/>
        <v>0.9945205479452055</v>
      </c>
      <c r="Q139" s="227">
        <f>$D139*P139*_xlfn.XLOOKUP($O139,'Sample Size cal and results'!$B$26:$B$27,'Sample Size cal and results'!$I$26:$I$27)</f>
        <v>64.621108228654904</v>
      </c>
      <c r="R139" s="330"/>
    </row>
    <row r="140" spans="1:18" ht="12.75">
      <c r="A140" s="99" t="s">
        <v>146</v>
      </c>
      <c r="B140" s="100">
        <v>42062</v>
      </c>
      <c r="C140" s="100">
        <f t="shared" si="29"/>
        <v>44618</v>
      </c>
      <c r="D140" s="209">
        <v>19</v>
      </c>
      <c r="E140" s="217">
        <f t="shared" si="30"/>
        <v>5</v>
      </c>
      <c r="F140" s="218">
        <f t="shared" si="31"/>
        <v>6</v>
      </c>
      <c r="G140" s="219">
        <f t="shared" si="32"/>
        <v>6</v>
      </c>
      <c r="H140" s="220">
        <f t="shared" si="33"/>
        <v>7</v>
      </c>
      <c r="I140" s="257" t="str">
        <f t="shared" si="34"/>
        <v>6-7 years</v>
      </c>
      <c r="J140" s="211">
        <f t="shared" si="35"/>
        <v>0.83835616438356164</v>
      </c>
      <c r="K140" s="258">
        <f>$D140*J140*_xlfn.XLOOKUP($I140,'Sample Size cal and results'!$B$24:$B$25,'Sample Size cal and results'!$H$24:$H$25)</f>
        <v>13.060065963986959</v>
      </c>
      <c r="L140" s="211">
        <f t="shared" si="36"/>
        <v>0.16164383561643836</v>
      </c>
      <c r="M140" s="211">
        <f>$D140*L140*_xlfn.XLOOKUP($I140,'Sample Size cal and results'!$B$24:$B$25,'Sample Size cal and results'!$I$24:$I$25)</f>
        <v>2.5836141723560426</v>
      </c>
      <c r="N140" s="214">
        <f t="shared" si="37"/>
        <v>15.643680136343002</v>
      </c>
      <c r="O140" s="225" t="str">
        <f t="shared" si="38"/>
        <v>7-8 years</v>
      </c>
      <c r="P140" s="226">
        <f t="shared" si="39"/>
        <v>0.9945205479452055</v>
      </c>
      <c r="Q140" s="227">
        <f>$D140*P140*_xlfn.XLOOKUP($O140,'Sample Size cal and results'!$B$26:$B$27,'Sample Size cal and results'!$I$26:$I$27)</f>
        <v>12.278010563444433</v>
      </c>
      <c r="R140" s="330"/>
    </row>
    <row r="141" spans="1:18" ht="12.75">
      <c r="A141" s="99" t="s">
        <v>64</v>
      </c>
      <c r="B141" s="100">
        <v>42061</v>
      </c>
      <c r="C141" s="100">
        <f t="shared" si="29"/>
        <v>44617</v>
      </c>
      <c r="D141" s="209">
        <v>272</v>
      </c>
      <c r="E141" s="217">
        <f t="shared" si="30"/>
        <v>5</v>
      </c>
      <c r="F141" s="218">
        <f t="shared" si="31"/>
        <v>6</v>
      </c>
      <c r="G141" s="219">
        <f t="shared" si="32"/>
        <v>6</v>
      </c>
      <c r="H141" s="220">
        <f t="shared" si="33"/>
        <v>7</v>
      </c>
      <c r="I141" s="257" t="str">
        <f t="shared" si="34"/>
        <v>6-7 years</v>
      </c>
      <c r="J141" s="211">
        <f t="shared" si="35"/>
        <v>0.83835616438356164</v>
      </c>
      <c r="K141" s="258">
        <f>$D141*J141*_xlfn.XLOOKUP($I141,'Sample Size cal and results'!$B$24:$B$25,'Sample Size cal and results'!$H$24:$H$25)</f>
        <v>186.96515485286596</v>
      </c>
      <c r="L141" s="211">
        <f t="shared" si="36"/>
        <v>0.16164383561643836</v>
      </c>
      <c r="M141" s="211">
        <f>$D141*L141*_xlfn.XLOOKUP($I141,'Sample Size cal and results'!$B$24:$B$25,'Sample Size cal and results'!$I$24:$I$25)</f>
        <v>36.986476572675983</v>
      </c>
      <c r="N141" s="214">
        <f t="shared" si="37"/>
        <v>223.95163142554196</v>
      </c>
      <c r="O141" s="225" t="str">
        <f t="shared" si="38"/>
        <v>7-8 years</v>
      </c>
      <c r="P141" s="226">
        <f t="shared" si="39"/>
        <v>0.99178082191780825</v>
      </c>
      <c r="Q141" s="227">
        <f>$D141*P141*_xlfn.XLOOKUP($O141,'Sample Size cal and results'!$B$26:$B$27,'Sample Size cal and results'!$I$26:$I$27)</f>
        <v>175.28520111918118</v>
      </c>
      <c r="R141" s="330"/>
    </row>
    <row r="142" spans="1:18" ht="12.75">
      <c r="A142" s="99" t="s">
        <v>148</v>
      </c>
      <c r="B142" s="100">
        <v>42061</v>
      </c>
      <c r="C142" s="100">
        <f t="shared" si="29"/>
        <v>44617</v>
      </c>
      <c r="D142" s="209">
        <v>80</v>
      </c>
      <c r="E142" s="217">
        <f t="shared" si="30"/>
        <v>5</v>
      </c>
      <c r="F142" s="218">
        <f t="shared" si="31"/>
        <v>6</v>
      </c>
      <c r="G142" s="219">
        <f t="shared" si="32"/>
        <v>6</v>
      </c>
      <c r="H142" s="220">
        <f t="shared" si="33"/>
        <v>7</v>
      </c>
      <c r="I142" s="257" t="str">
        <f t="shared" si="34"/>
        <v>6-7 years</v>
      </c>
      <c r="J142" s="211">
        <f t="shared" si="35"/>
        <v>0.83835616438356164</v>
      </c>
      <c r="K142" s="258">
        <f>$D142*J142*_xlfn.XLOOKUP($I142,'Sample Size cal and results'!$B$24:$B$25,'Sample Size cal and results'!$H$24:$H$25)</f>
        <v>54.989751427313514</v>
      </c>
      <c r="L142" s="211">
        <f t="shared" si="36"/>
        <v>0.16164383561643836</v>
      </c>
      <c r="M142" s="211">
        <f>$D142*L142*_xlfn.XLOOKUP($I142,'Sample Size cal and results'!$B$24:$B$25,'Sample Size cal and results'!$I$24:$I$25)</f>
        <v>10.878375462551759</v>
      </c>
      <c r="N142" s="214">
        <f t="shared" si="37"/>
        <v>65.868126889865266</v>
      </c>
      <c r="O142" s="225" t="str">
        <f t="shared" si="38"/>
        <v>7-8 years</v>
      </c>
      <c r="P142" s="226">
        <f t="shared" si="39"/>
        <v>0.99178082191780825</v>
      </c>
      <c r="Q142" s="227">
        <f>$D142*P142*_xlfn.XLOOKUP($O142,'Sample Size cal and results'!$B$26:$B$27,'Sample Size cal and results'!$I$26:$I$27)</f>
        <v>51.554470917406228</v>
      </c>
      <c r="R142" s="330"/>
    </row>
    <row r="143" spans="1:18" ht="12.75">
      <c r="A143" s="99" t="s">
        <v>146</v>
      </c>
      <c r="B143" s="100">
        <v>42061</v>
      </c>
      <c r="C143" s="100">
        <f t="shared" si="29"/>
        <v>44617</v>
      </c>
      <c r="D143" s="209">
        <v>10</v>
      </c>
      <c r="E143" s="217">
        <f t="shared" si="30"/>
        <v>5</v>
      </c>
      <c r="F143" s="218">
        <f t="shared" si="31"/>
        <v>6</v>
      </c>
      <c r="G143" s="219">
        <f t="shared" si="32"/>
        <v>6</v>
      </c>
      <c r="H143" s="220">
        <f t="shared" si="33"/>
        <v>7</v>
      </c>
      <c r="I143" s="257" t="str">
        <f t="shared" si="34"/>
        <v>6-7 years</v>
      </c>
      <c r="J143" s="211">
        <f t="shared" si="35"/>
        <v>0.83835616438356164</v>
      </c>
      <c r="K143" s="258">
        <f>$D143*J143*_xlfn.XLOOKUP($I143,'Sample Size cal and results'!$B$24:$B$25,'Sample Size cal and results'!$H$24:$H$25)</f>
        <v>6.8737189284141893</v>
      </c>
      <c r="L143" s="211">
        <f t="shared" si="36"/>
        <v>0.16164383561643836</v>
      </c>
      <c r="M143" s="211">
        <f>$D143*L143*_xlfn.XLOOKUP($I143,'Sample Size cal and results'!$B$24:$B$25,'Sample Size cal and results'!$I$24:$I$25)</f>
        <v>1.3597969328189699</v>
      </c>
      <c r="N143" s="214">
        <f t="shared" si="37"/>
        <v>8.2335158612331583</v>
      </c>
      <c r="O143" s="225" t="str">
        <f t="shared" si="38"/>
        <v>7-8 years</v>
      </c>
      <c r="P143" s="226">
        <f t="shared" si="39"/>
        <v>0.99178082191780825</v>
      </c>
      <c r="Q143" s="227">
        <f>$D143*P143*_xlfn.XLOOKUP($O143,'Sample Size cal and results'!$B$26:$B$27,'Sample Size cal and results'!$I$26:$I$27)</f>
        <v>6.4443088646757785</v>
      </c>
      <c r="R143" s="330"/>
    </row>
    <row r="144" spans="1:18" ht="12.75">
      <c r="A144" s="99" t="s">
        <v>64</v>
      </c>
      <c r="B144" s="100">
        <v>42060</v>
      </c>
      <c r="C144" s="100">
        <f t="shared" si="29"/>
        <v>44616</v>
      </c>
      <c r="D144" s="209">
        <v>373</v>
      </c>
      <c r="E144" s="217">
        <f t="shared" si="30"/>
        <v>5.01</v>
      </c>
      <c r="F144" s="218">
        <f t="shared" si="31"/>
        <v>6</v>
      </c>
      <c r="G144" s="219">
        <f t="shared" si="32"/>
        <v>6.01</v>
      </c>
      <c r="H144" s="220">
        <f t="shared" si="33"/>
        <v>7</v>
      </c>
      <c r="I144" s="257" t="str">
        <f t="shared" si="34"/>
        <v>6-7 years</v>
      </c>
      <c r="J144" s="211">
        <f t="shared" si="35"/>
        <v>0.83835616438356164</v>
      </c>
      <c r="K144" s="258">
        <f>$D144*J144*_xlfn.XLOOKUP($I144,'Sample Size cal and results'!$B$24:$B$25,'Sample Size cal and results'!$H$24:$H$25)</f>
        <v>256.3897160298493</v>
      </c>
      <c r="L144" s="211">
        <f t="shared" si="36"/>
        <v>0.16164383561643836</v>
      </c>
      <c r="M144" s="211">
        <f>$D144*L144*_xlfn.XLOOKUP($I144,'Sample Size cal and results'!$B$24:$B$25,'Sample Size cal and results'!$I$24:$I$25)</f>
        <v>50.720425594147571</v>
      </c>
      <c r="N144" s="214">
        <f t="shared" si="37"/>
        <v>307.11014162399687</v>
      </c>
      <c r="O144" s="225" t="str">
        <f t="shared" si="38"/>
        <v>7-8 years</v>
      </c>
      <c r="P144" s="226">
        <f t="shared" si="39"/>
        <v>0.989041095890411</v>
      </c>
      <c r="Q144" s="227">
        <f>$D144*P144*_xlfn.XLOOKUP($O144,'Sample Size cal and results'!$B$26:$B$27,'Sample Size cal and results'!$I$26:$I$27)</f>
        <v>239.70870761193027</v>
      </c>
      <c r="R144" s="330"/>
    </row>
    <row r="145" spans="1:18" ht="12.75">
      <c r="A145" s="99" t="s">
        <v>148</v>
      </c>
      <c r="B145" s="100">
        <v>42060</v>
      </c>
      <c r="C145" s="100">
        <f t="shared" si="29"/>
        <v>44616</v>
      </c>
      <c r="D145" s="209">
        <v>92</v>
      </c>
      <c r="E145" s="217">
        <f t="shared" si="30"/>
        <v>5.01</v>
      </c>
      <c r="F145" s="218">
        <f t="shared" si="31"/>
        <v>6</v>
      </c>
      <c r="G145" s="219">
        <f t="shared" si="32"/>
        <v>6.01</v>
      </c>
      <c r="H145" s="220">
        <f t="shared" si="33"/>
        <v>7</v>
      </c>
      <c r="I145" s="257" t="str">
        <f t="shared" si="34"/>
        <v>6-7 years</v>
      </c>
      <c r="J145" s="211">
        <f t="shared" si="35"/>
        <v>0.83835616438356164</v>
      </c>
      <c r="K145" s="258">
        <f>$D145*J145*_xlfn.XLOOKUP($I145,'Sample Size cal and results'!$B$24:$B$25,'Sample Size cal and results'!$H$24:$H$25)</f>
        <v>63.238214141410545</v>
      </c>
      <c r="L145" s="211">
        <f t="shared" si="36"/>
        <v>0.16164383561643836</v>
      </c>
      <c r="M145" s="211">
        <f>$D145*L145*_xlfn.XLOOKUP($I145,'Sample Size cal and results'!$B$24:$B$25,'Sample Size cal and results'!$I$24:$I$25)</f>
        <v>12.510131781934522</v>
      </c>
      <c r="N145" s="214">
        <f t="shared" si="37"/>
        <v>75.74834592334507</v>
      </c>
      <c r="O145" s="225" t="str">
        <f t="shared" si="38"/>
        <v>7-8 years</v>
      </c>
      <c r="P145" s="226">
        <f t="shared" si="39"/>
        <v>0.989041095890411</v>
      </c>
      <c r="Q145" s="227">
        <f>$D145*P145*_xlfn.XLOOKUP($O145,'Sample Size cal and results'!$B$26:$B$27,'Sample Size cal and results'!$I$26:$I$27)</f>
        <v>59.12386353967181</v>
      </c>
      <c r="R145" s="330"/>
    </row>
    <row r="146" spans="1:18" ht="12.75">
      <c r="A146" s="99" t="s">
        <v>146</v>
      </c>
      <c r="B146" s="100">
        <v>42060</v>
      </c>
      <c r="C146" s="100">
        <f t="shared" si="29"/>
        <v>44616</v>
      </c>
      <c r="D146" s="209">
        <v>16</v>
      </c>
      <c r="E146" s="217">
        <f t="shared" si="30"/>
        <v>5.01</v>
      </c>
      <c r="F146" s="218">
        <f t="shared" si="31"/>
        <v>6</v>
      </c>
      <c r="G146" s="219">
        <f t="shared" si="32"/>
        <v>6.01</v>
      </c>
      <c r="H146" s="220">
        <f t="shared" si="33"/>
        <v>7</v>
      </c>
      <c r="I146" s="257" t="str">
        <f t="shared" si="34"/>
        <v>6-7 years</v>
      </c>
      <c r="J146" s="211">
        <f t="shared" si="35"/>
        <v>0.83835616438356164</v>
      </c>
      <c r="K146" s="258">
        <f>$D146*J146*_xlfn.XLOOKUP($I146,'Sample Size cal and results'!$B$24:$B$25,'Sample Size cal and results'!$H$24:$H$25)</f>
        <v>10.997950285462704</v>
      </c>
      <c r="L146" s="211">
        <f t="shared" si="36"/>
        <v>0.16164383561643836</v>
      </c>
      <c r="M146" s="211">
        <f>$D146*L146*_xlfn.XLOOKUP($I146,'Sample Size cal and results'!$B$24:$B$25,'Sample Size cal and results'!$I$24:$I$25)</f>
        <v>2.1756750925103518</v>
      </c>
      <c r="N146" s="214">
        <f t="shared" si="37"/>
        <v>13.173625377973055</v>
      </c>
      <c r="O146" s="225" t="str">
        <f t="shared" si="38"/>
        <v>7-8 years</v>
      </c>
      <c r="P146" s="226">
        <f t="shared" si="39"/>
        <v>0.989041095890411</v>
      </c>
      <c r="Q146" s="227">
        <f>$D146*P146*_xlfn.XLOOKUP($O146,'Sample Size cal and results'!$B$26:$B$27,'Sample Size cal and results'!$I$26:$I$27)</f>
        <v>10.282411050377705</v>
      </c>
      <c r="R146" s="330"/>
    </row>
    <row r="147" spans="1:18" ht="12.75">
      <c r="A147" s="99" t="s">
        <v>64</v>
      </c>
      <c r="B147" s="100">
        <v>42059</v>
      </c>
      <c r="C147" s="100">
        <f t="shared" si="29"/>
        <v>44615</v>
      </c>
      <c r="D147" s="209">
        <v>313</v>
      </c>
      <c r="E147" s="217">
        <f t="shared" si="30"/>
        <v>5.01</v>
      </c>
      <c r="F147" s="218">
        <f t="shared" si="31"/>
        <v>6.01</v>
      </c>
      <c r="G147" s="219">
        <f t="shared" si="32"/>
        <v>6.01</v>
      </c>
      <c r="H147" s="220">
        <f t="shared" si="33"/>
        <v>7.01</v>
      </c>
      <c r="I147" s="257" t="str">
        <f t="shared" si="34"/>
        <v>6-7 years</v>
      </c>
      <c r="J147" s="211">
        <f t="shared" si="35"/>
        <v>0.83835616438356164</v>
      </c>
      <c r="K147" s="258">
        <f>$D147*J147*_xlfn.XLOOKUP($I147,'Sample Size cal and results'!$B$24:$B$25,'Sample Size cal and results'!$H$24:$H$25)</f>
        <v>215.14740245936414</v>
      </c>
      <c r="L147" s="211">
        <f t="shared" si="36"/>
        <v>0.16164383561643836</v>
      </c>
      <c r="M147" s="211">
        <f>$D147*L147*_xlfn.XLOOKUP($I147,'Sample Size cal and results'!$B$24:$B$25,'Sample Size cal and results'!$I$24:$I$25)</f>
        <v>42.561643997233759</v>
      </c>
      <c r="N147" s="214">
        <f t="shared" si="37"/>
        <v>257.70904645659789</v>
      </c>
      <c r="O147" s="225" t="str">
        <f t="shared" si="38"/>
        <v>7-8 years</v>
      </c>
      <c r="P147" s="226">
        <f t="shared" si="39"/>
        <v>0.98630136986301364</v>
      </c>
      <c r="Q147" s="227">
        <f>$D147*P147*_xlfn.XLOOKUP($O147,'Sample Size cal and results'!$B$26:$B$27,'Sample Size cal and results'!$I$26:$I$27)</f>
        <v>200.59246488167585</v>
      </c>
      <c r="R147" s="330"/>
    </row>
    <row r="148" spans="1:18" ht="12.75">
      <c r="A148" s="99" t="s">
        <v>148</v>
      </c>
      <c r="B148" s="100">
        <v>42059</v>
      </c>
      <c r="C148" s="100">
        <f t="shared" si="29"/>
        <v>44615</v>
      </c>
      <c r="D148" s="209">
        <v>91</v>
      </c>
      <c r="E148" s="217">
        <f t="shared" si="30"/>
        <v>5.01</v>
      </c>
      <c r="F148" s="218">
        <f t="shared" si="31"/>
        <v>6.01</v>
      </c>
      <c r="G148" s="219">
        <f t="shared" si="32"/>
        <v>6.01</v>
      </c>
      <c r="H148" s="220">
        <f t="shared" si="33"/>
        <v>7.01</v>
      </c>
      <c r="I148" s="257" t="str">
        <f t="shared" si="34"/>
        <v>6-7 years</v>
      </c>
      <c r="J148" s="211">
        <f t="shared" si="35"/>
        <v>0.83835616438356164</v>
      </c>
      <c r="K148" s="258">
        <f>$D148*J148*_xlfn.XLOOKUP($I148,'Sample Size cal and results'!$B$24:$B$25,'Sample Size cal and results'!$H$24:$H$25)</f>
        <v>62.550842248569118</v>
      </c>
      <c r="L148" s="211">
        <f t="shared" si="36"/>
        <v>0.16164383561643836</v>
      </c>
      <c r="M148" s="211">
        <f>$D148*L148*_xlfn.XLOOKUP($I148,'Sample Size cal and results'!$B$24:$B$25,'Sample Size cal and results'!$I$24:$I$25)</f>
        <v>12.374152088652625</v>
      </c>
      <c r="N148" s="214">
        <f t="shared" si="37"/>
        <v>74.924994337221747</v>
      </c>
      <c r="O148" s="225" t="str">
        <f t="shared" si="38"/>
        <v>7-8 years</v>
      </c>
      <c r="P148" s="226">
        <f t="shared" si="39"/>
        <v>0.98630136986301364</v>
      </c>
      <c r="Q148" s="227">
        <f>$D148*P148*_xlfn.XLOOKUP($O148,'Sample Size cal and results'!$B$26:$B$27,'Sample Size cal and results'!$I$26:$I$27)</f>
        <v>58.319215029496817</v>
      </c>
      <c r="R148" s="330"/>
    </row>
    <row r="149" spans="1:18" ht="12.75">
      <c r="A149" s="99" t="s">
        <v>146</v>
      </c>
      <c r="B149" s="100">
        <v>42059</v>
      </c>
      <c r="C149" s="100">
        <f t="shared" si="29"/>
        <v>44615</v>
      </c>
      <c r="D149" s="209">
        <v>11</v>
      </c>
      <c r="E149" s="217">
        <f t="shared" si="30"/>
        <v>5.01</v>
      </c>
      <c r="F149" s="218">
        <f t="shared" si="31"/>
        <v>6.01</v>
      </c>
      <c r="G149" s="219">
        <f t="shared" si="32"/>
        <v>6.01</v>
      </c>
      <c r="H149" s="220">
        <f t="shared" si="33"/>
        <v>7.01</v>
      </c>
      <c r="I149" s="257" t="str">
        <f t="shared" si="34"/>
        <v>6-7 years</v>
      </c>
      <c r="J149" s="211">
        <f t="shared" si="35"/>
        <v>0.83835616438356164</v>
      </c>
      <c r="K149" s="258">
        <f>$D149*J149*_xlfn.XLOOKUP($I149,'Sample Size cal and results'!$B$24:$B$25,'Sample Size cal and results'!$H$24:$H$25)</f>
        <v>7.5610908212556085</v>
      </c>
      <c r="L149" s="211">
        <f t="shared" si="36"/>
        <v>0.16164383561643836</v>
      </c>
      <c r="M149" s="211">
        <f>$D149*L149*_xlfn.XLOOKUP($I149,'Sample Size cal and results'!$B$24:$B$25,'Sample Size cal and results'!$I$24:$I$25)</f>
        <v>1.4957766261008667</v>
      </c>
      <c r="N149" s="214">
        <f t="shared" si="37"/>
        <v>9.0568674473564759</v>
      </c>
      <c r="O149" s="225" t="str">
        <f t="shared" si="38"/>
        <v>7-8 years</v>
      </c>
      <c r="P149" s="226">
        <f t="shared" si="39"/>
        <v>0.98630136986301364</v>
      </c>
      <c r="Q149" s="227">
        <f>$D149*P149*_xlfn.XLOOKUP($O149,'Sample Size cal and results'!$B$26:$B$27,'Sample Size cal and results'!$I$26:$I$27)</f>
        <v>7.0495754431259883</v>
      </c>
      <c r="R149" s="330"/>
    </row>
    <row r="150" spans="1:18" ht="12.75">
      <c r="A150" s="99" t="s">
        <v>64</v>
      </c>
      <c r="B150" s="100">
        <v>42058</v>
      </c>
      <c r="C150" s="100">
        <f t="shared" si="29"/>
        <v>44614</v>
      </c>
      <c r="D150" s="209">
        <v>273</v>
      </c>
      <c r="E150" s="217">
        <f t="shared" si="30"/>
        <v>5.01</v>
      </c>
      <c r="F150" s="218">
        <f t="shared" si="31"/>
        <v>6.01</v>
      </c>
      <c r="G150" s="219">
        <f t="shared" si="32"/>
        <v>6.01</v>
      </c>
      <c r="H150" s="220">
        <f t="shared" si="33"/>
        <v>7.01</v>
      </c>
      <c r="I150" s="257" t="str">
        <f t="shared" si="34"/>
        <v>6-7 years</v>
      </c>
      <c r="J150" s="211">
        <f t="shared" si="35"/>
        <v>0.83835616438356164</v>
      </c>
      <c r="K150" s="258">
        <f>$D150*J150*_xlfn.XLOOKUP($I150,'Sample Size cal and results'!$B$24:$B$25,'Sample Size cal and results'!$H$24:$H$25)</f>
        <v>187.65252674570738</v>
      </c>
      <c r="L150" s="211">
        <f t="shared" si="36"/>
        <v>0.16164383561643836</v>
      </c>
      <c r="M150" s="211">
        <f>$D150*L150*_xlfn.XLOOKUP($I150,'Sample Size cal and results'!$B$24:$B$25,'Sample Size cal and results'!$I$24:$I$25)</f>
        <v>37.122456265957879</v>
      </c>
      <c r="N150" s="214">
        <f t="shared" si="37"/>
        <v>224.77498301166526</v>
      </c>
      <c r="O150" s="225" t="str">
        <f t="shared" si="38"/>
        <v>7-8 years</v>
      </c>
      <c r="P150" s="226">
        <f t="shared" si="39"/>
        <v>0.98356164383561639</v>
      </c>
      <c r="Q150" s="227">
        <f>$D150*P150*_xlfn.XLOOKUP($O150,'Sample Size cal and results'!$B$26:$B$27,'Sample Size cal and results'!$I$26:$I$27)</f>
        <v>174.47165162991132</v>
      </c>
      <c r="R150" s="330"/>
    </row>
    <row r="151" spans="1:18" ht="12.75">
      <c r="A151" s="99" t="s">
        <v>148</v>
      </c>
      <c r="B151" s="100">
        <v>42058</v>
      </c>
      <c r="C151" s="100">
        <f t="shared" si="29"/>
        <v>44614</v>
      </c>
      <c r="D151" s="209">
        <v>81</v>
      </c>
      <c r="E151" s="217">
        <f t="shared" si="30"/>
        <v>5.01</v>
      </c>
      <c r="F151" s="218">
        <f t="shared" si="31"/>
        <v>6.01</v>
      </c>
      <c r="G151" s="219">
        <f t="shared" si="32"/>
        <v>6.01</v>
      </c>
      <c r="H151" s="220">
        <f t="shared" si="33"/>
        <v>7.01</v>
      </c>
      <c r="I151" s="257" t="str">
        <f t="shared" si="34"/>
        <v>6-7 years</v>
      </c>
      <c r="J151" s="211">
        <f t="shared" si="35"/>
        <v>0.83835616438356164</v>
      </c>
      <c r="K151" s="258">
        <f>$D151*J151*_xlfn.XLOOKUP($I151,'Sample Size cal and results'!$B$24:$B$25,'Sample Size cal and results'!$H$24:$H$25)</f>
        <v>55.677123320154941</v>
      </c>
      <c r="L151" s="211">
        <f t="shared" si="36"/>
        <v>0.16164383561643836</v>
      </c>
      <c r="M151" s="211">
        <f>$D151*L151*_xlfn.XLOOKUP($I151,'Sample Size cal and results'!$B$24:$B$25,'Sample Size cal and results'!$I$24:$I$25)</f>
        <v>11.014355155833655</v>
      </c>
      <c r="N151" s="214">
        <f t="shared" si="37"/>
        <v>66.691478475988589</v>
      </c>
      <c r="O151" s="225" t="str">
        <f t="shared" si="38"/>
        <v>7-8 years</v>
      </c>
      <c r="P151" s="226">
        <f t="shared" si="39"/>
        <v>0.98356164383561639</v>
      </c>
      <c r="Q151" s="227">
        <f>$D151*P151*_xlfn.XLOOKUP($O151,'Sample Size cal and results'!$B$26:$B$27,'Sample Size cal and results'!$I$26:$I$27)</f>
        <v>51.766314219863794</v>
      </c>
      <c r="R151" s="330"/>
    </row>
    <row r="152" spans="1:18" ht="12.75">
      <c r="A152" s="99" t="s">
        <v>146</v>
      </c>
      <c r="B152" s="100">
        <v>42058</v>
      </c>
      <c r="C152" s="100">
        <f t="shared" si="29"/>
        <v>44614</v>
      </c>
      <c r="D152" s="209">
        <v>16</v>
      </c>
      <c r="E152" s="217">
        <f t="shared" si="30"/>
        <v>5.01</v>
      </c>
      <c r="F152" s="218">
        <f t="shared" si="31"/>
        <v>6.01</v>
      </c>
      <c r="G152" s="219">
        <f t="shared" si="32"/>
        <v>6.01</v>
      </c>
      <c r="H152" s="220">
        <f t="shared" si="33"/>
        <v>7.01</v>
      </c>
      <c r="I152" s="257" t="str">
        <f t="shared" si="34"/>
        <v>6-7 years</v>
      </c>
      <c r="J152" s="211">
        <f t="shared" si="35"/>
        <v>0.83835616438356164</v>
      </c>
      <c r="K152" s="258">
        <f>$D152*J152*_xlfn.XLOOKUP($I152,'Sample Size cal and results'!$B$24:$B$25,'Sample Size cal and results'!$H$24:$H$25)</f>
        <v>10.997950285462704</v>
      </c>
      <c r="L152" s="211">
        <f t="shared" si="36"/>
        <v>0.16164383561643836</v>
      </c>
      <c r="M152" s="211">
        <f>$D152*L152*_xlfn.XLOOKUP($I152,'Sample Size cal and results'!$B$24:$B$25,'Sample Size cal and results'!$I$24:$I$25)</f>
        <v>2.1756750925103518</v>
      </c>
      <c r="N152" s="214">
        <f t="shared" si="37"/>
        <v>13.173625377973055</v>
      </c>
      <c r="O152" s="225" t="str">
        <f t="shared" si="38"/>
        <v>7-8 years</v>
      </c>
      <c r="P152" s="226">
        <f t="shared" si="39"/>
        <v>0.98356164383561639</v>
      </c>
      <c r="Q152" s="227">
        <f>$D152*P152*_xlfn.XLOOKUP($O152,'Sample Size cal and results'!$B$26:$B$27,'Sample Size cal and results'!$I$26:$I$27)</f>
        <v>10.225444784170627</v>
      </c>
      <c r="R152" s="330"/>
    </row>
    <row r="153" spans="1:18" ht="12.75">
      <c r="A153" s="99" t="s">
        <v>64</v>
      </c>
      <c r="B153" s="100">
        <v>42057</v>
      </c>
      <c r="C153" s="100">
        <f t="shared" si="29"/>
        <v>44613</v>
      </c>
      <c r="D153" s="209">
        <v>281</v>
      </c>
      <c r="E153" s="217">
        <f t="shared" si="30"/>
        <v>5.0199999999999996</v>
      </c>
      <c r="F153" s="218">
        <f t="shared" si="31"/>
        <v>6.01</v>
      </c>
      <c r="G153" s="219">
        <f t="shared" si="32"/>
        <v>6.01</v>
      </c>
      <c r="H153" s="220">
        <f t="shared" si="33"/>
        <v>7.01</v>
      </c>
      <c r="I153" s="257" t="str">
        <f t="shared" si="34"/>
        <v>6-7 years</v>
      </c>
      <c r="J153" s="211">
        <f t="shared" si="35"/>
        <v>0.83835616438356164</v>
      </c>
      <c r="K153" s="258">
        <f>$D153*J153*_xlfn.XLOOKUP($I153,'Sample Size cal and results'!$B$24:$B$25,'Sample Size cal and results'!$H$24:$H$25)</f>
        <v>193.15150188843873</v>
      </c>
      <c r="L153" s="211">
        <f t="shared" si="36"/>
        <v>0.16164383561643836</v>
      </c>
      <c r="M153" s="211">
        <f>$D153*L153*_xlfn.XLOOKUP($I153,'Sample Size cal and results'!$B$24:$B$25,'Sample Size cal and results'!$I$24:$I$25)</f>
        <v>38.210293812213052</v>
      </c>
      <c r="N153" s="214">
        <f t="shared" si="37"/>
        <v>231.36179570065178</v>
      </c>
      <c r="O153" s="225" t="str">
        <f t="shared" si="38"/>
        <v>7-8 years</v>
      </c>
      <c r="P153" s="226">
        <f t="shared" si="39"/>
        <v>0.98082191780821915</v>
      </c>
      <c r="Q153" s="227">
        <f>$D153*P153*_xlfn.XLOOKUP($O153,'Sample Size cal and results'!$B$26:$B$27,'Sample Size cal and results'!$I$26:$I$27)</f>
        <v>179.0841389968657</v>
      </c>
      <c r="R153" s="330"/>
    </row>
    <row r="154" spans="1:18" ht="12.75">
      <c r="A154" s="99" t="s">
        <v>148</v>
      </c>
      <c r="B154" s="100">
        <v>42057</v>
      </c>
      <c r="C154" s="100">
        <f t="shared" si="29"/>
        <v>44613</v>
      </c>
      <c r="D154" s="209">
        <v>84</v>
      </c>
      <c r="E154" s="217">
        <f t="shared" si="30"/>
        <v>5.0199999999999996</v>
      </c>
      <c r="F154" s="218">
        <f t="shared" si="31"/>
        <v>6.01</v>
      </c>
      <c r="G154" s="219">
        <f t="shared" si="32"/>
        <v>6.01</v>
      </c>
      <c r="H154" s="220">
        <f t="shared" si="33"/>
        <v>7.01</v>
      </c>
      <c r="I154" s="257" t="str">
        <f t="shared" si="34"/>
        <v>6-7 years</v>
      </c>
      <c r="J154" s="211">
        <f t="shared" si="35"/>
        <v>0.83835616438356164</v>
      </c>
      <c r="K154" s="258">
        <f>$D154*J154*_xlfn.XLOOKUP($I154,'Sample Size cal and results'!$B$24:$B$25,'Sample Size cal and results'!$H$24:$H$25)</f>
        <v>57.739238998679191</v>
      </c>
      <c r="L154" s="211">
        <f t="shared" si="36"/>
        <v>0.16164383561643836</v>
      </c>
      <c r="M154" s="211">
        <f>$D154*L154*_xlfn.XLOOKUP($I154,'Sample Size cal and results'!$B$24:$B$25,'Sample Size cal and results'!$I$24:$I$25)</f>
        <v>11.422294235679347</v>
      </c>
      <c r="N154" s="214">
        <f t="shared" si="37"/>
        <v>69.161533234358544</v>
      </c>
      <c r="O154" s="225" t="str">
        <f t="shared" si="38"/>
        <v>7-8 years</v>
      </c>
      <c r="P154" s="226">
        <f t="shared" si="39"/>
        <v>0.98082191780821915</v>
      </c>
      <c r="Q154" s="227">
        <f>$D154*P154*_xlfn.XLOOKUP($O154,'Sample Size cal and results'!$B$26:$B$27,'Sample Size cal and results'!$I$26:$I$27)</f>
        <v>53.534048668102201</v>
      </c>
      <c r="R154" s="330"/>
    </row>
    <row r="155" spans="1:18" ht="12.75">
      <c r="A155" s="99" t="s">
        <v>146</v>
      </c>
      <c r="B155" s="100">
        <v>42057</v>
      </c>
      <c r="C155" s="100">
        <f t="shared" si="29"/>
        <v>44613</v>
      </c>
      <c r="D155" s="209">
        <v>24</v>
      </c>
      <c r="E155" s="217">
        <f t="shared" si="30"/>
        <v>5.0199999999999996</v>
      </c>
      <c r="F155" s="218">
        <f t="shared" si="31"/>
        <v>6.01</v>
      </c>
      <c r="G155" s="219">
        <f t="shared" si="32"/>
        <v>6.01</v>
      </c>
      <c r="H155" s="220">
        <f t="shared" si="33"/>
        <v>7.01</v>
      </c>
      <c r="I155" s="257" t="str">
        <f t="shared" si="34"/>
        <v>6-7 years</v>
      </c>
      <c r="J155" s="211">
        <f t="shared" si="35"/>
        <v>0.83835616438356164</v>
      </c>
      <c r="K155" s="258">
        <f>$D155*J155*_xlfn.XLOOKUP($I155,'Sample Size cal and results'!$B$24:$B$25,'Sample Size cal and results'!$H$24:$H$25)</f>
        <v>16.496925428194054</v>
      </c>
      <c r="L155" s="211">
        <f t="shared" si="36"/>
        <v>0.16164383561643836</v>
      </c>
      <c r="M155" s="211">
        <f>$D155*L155*_xlfn.XLOOKUP($I155,'Sample Size cal and results'!$B$24:$B$25,'Sample Size cal and results'!$I$24:$I$25)</f>
        <v>3.2635126387655276</v>
      </c>
      <c r="N155" s="214">
        <f t="shared" si="37"/>
        <v>19.76043806695958</v>
      </c>
      <c r="O155" s="225" t="str">
        <f t="shared" si="38"/>
        <v>7-8 years</v>
      </c>
      <c r="P155" s="226">
        <f t="shared" si="39"/>
        <v>0.98082191780821915</v>
      </c>
      <c r="Q155" s="227">
        <f>$D155*P155*_xlfn.XLOOKUP($O155,'Sample Size cal and results'!$B$26:$B$27,'Sample Size cal and results'!$I$26:$I$27)</f>
        <v>15.295442476600629</v>
      </c>
      <c r="R155" s="330"/>
    </row>
    <row r="156" spans="1:18" ht="12.75">
      <c r="A156" s="99" t="s">
        <v>62</v>
      </c>
      <c r="B156" s="100">
        <v>42056</v>
      </c>
      <c r="C156" s="100">
        <f t="shared" si="29"/>
        <v>44612</v>
      </c>
      <c r="D156" s="209">
        <v>807</v>
      </c>
      <c r="E156" s="217">
        <f t="shared" si="30"/>
        <v>5.0199999999999996</v>
      </c>
      <c r="F156" s="218">
        <f t="shared" si="31"/>
        <v>6.01</v>
      </c>
      <c r="G156" s="219">
        <f t="shared" si="32"/>
        <v>6.02</v>
      </c>
      <c r="H156" s="220">
        <f t="shared" si="33"/>
        <v>7.01</v>
      </c>
      <c r="I156" s="257" t="str">
        <f t="shared" si="34"/>
        <v>6-7 years</v>
      </c>
      <c r="J156" s="211">
        <f t="shared" si="35"/>
        <v>0.83835616438356164</v>
      </c>
      <c r="K156" s="258">
        <f>$D156*J156*_xlfn.XLOOKUP($I156,'Sample Size cal and results'!$B$24:$B$25,'Sample Size cal and results'!$H$24:$H$25)</f>
        <v>554.70911752302516</v>
      </c>
      <c r="L156" s="211">
        <f t="shared" si="36"/>
        <v>0.16164383561643836</v>
      </c>
      <c r="M156" s="211">
        <f>$D156*L156*_xlfn.XLOOKUP($I156,'Sample Size cal and results'!$B$24:$B$25,'Sample Size cal and results'!$I$24:$I$25)</f>
        <v>109.73561247849086</v>
      </c>
      <c r="N156" s="214">
        <f t="shared" si="37"/>
        <v>664.44473000151606</v>
      </c>
      <c r="O156" s="225" t="str">
        <f t="shared" si="38"/>
        <v>7-8 years</v>
      </c>
      <c r="P156" s="226">
        <f t="shared" si="39"/>
        <v>0.9780821917808219</v>
      </c>
      <c r="Q156" s="227">
        <f>$D156*P156*_xlfn.XLOOKUP($O156,'Sample Size cal and results'!$B$26:$B$27,'Sample Size cal and results'!$I$26:$I$27)</f>
        <v>512.87263524978641</v>
      </c>
      <c r="R156" s="330"/>
    </row>
    <row r="157" spans="1:18" ht="12.75">
      <c r="A157" s="99" t="s">
        <v>63</v>
      </c>
      <c r="B157" s="100">
        <v>42056</v>
      </c>
      <c r="C157" s="100">
        <f t="shared" si="29"/>
        <v>44612</v>
      </c>
      <c r="D157" s="209">
        <v>619</v>
      </c>
      <c r="E157" s="217">
        <f t="shared" si="30"/>
        <v>5.0199999999999996</v>
      </c>
      <c r="F157" s="218">
        <f t="shared" si="31"/>
        <v>6.01</v>
      </c>
      <c r="G157" s="219">
        <f t="shared" si="32"/>
        <v>6.02</v>
      </c>
      <c r="H157" s="220">
        <f t="shared" si="33"/>
        <v>7.01</v>
      </c>
      <c r="I157" s="257" t="str">
        <f t="shared" si="34"/>
        <v>6-7 years</v>
      </c>
      <c r="J157" s="211">
        <f t="shared" si="35"/>
        <v>0.83835616438356164</v>
      </c>
      <c r="K157" s="258">
        <f>$D157*J157*_xlfn.XLOOKUP($I157,'Sample Size cal and results'!$B$24:$B$25,'Sample Size cal and results'!$H$24:$H$25)</f>
        <v>425.48320166883838</v>
      </c>
      <c r="L157" s="211">
        <f t="shared" si="36"/>
        <v>0.16164383561643836</v>
      </c>
      <c r="M157" s="211">
        <f>$D157*L157*_xlfn.XLOOKUP($I157,'Sample Size cal and results'!$B$24:$B$25,'Sample Size cal and results'!$I$24:$I$25)</f>
        <v>84.171430141494227</v>
      </c>
      <c r="N157" s="214">
        <f t="shared" si="37"/>
        <v>509.6546318103326</v>
      </c>
      <c r="O157" s="225" t="str">
        <f t="shared" si="38"/>
        <v>7-8 years</v>
      </c>
      <c r="P157" s="226">
        <f t="shared" si="39"/>
        <v>0.9780821917808219</v>
      </c>
      <c r="Q157" s="227">
        <f>$D157*P157*_xlfn.XLOOKUP($O157,'Sample Size cal and results'!$B$26:$B$27,'Sample Size cal and results'!$I$26:$I$27)</f>
        <v>393.39301266371473</v>
      </c>
      <c r="R157" s="330"/>
    </row>
    <row r="158" spans="1:18" ht="12.75">
      <c r="A158" s="99" t="s">
        <v>64</v>
      </c>
      <c r="B158" s="100">
        <v>42056</v>
      </c>
      <c r="C158" s="100">
        <f t="shared" si="29"/>
        <v>44612</v>
      </c>
      <c r="D158" s="209">
        <v>178</v>
      </c>
      <c r="E158" s="217">
        <f t="shared" si="30"/>
        <v>5.0199999999999996</v>
      </c>
      <c r="F158" s="218">
        <f t="shared" si="31"/>
        <v>6.01</v>
      </c>
      <c r="G158" s="219">
        <f t="shared" si="32"/>
        <v>6.02</v>
      </c>
      <c r="H158" s="220">
        <f t="shared" si="33"/>
        <v>7.01</v>
      </c>
      <c r="I158" s="257" t="str">
        <f t="shared" si="34"/>
        <v>6-7 years</v>
      </c>
      <c r="J158" s="211">
        <f t="shared" si="35"/>
        <v>0.83835616438356164</v>
      </c>
      <c r="K158" s="258">
        <f>$D158*J158*_xlfn.XLOOKUP($I158,'Sample Size cal and results'!$B$24:$B$25,'Sample Size cal and results'!$H$24:$H$25)</f>
        <v>122.35219692577256</v>
      </c>
      <c r="L158" s="211">
        <f t="shared" si="36"/>
        <v>0.16164383561643836</v>
      </c>
      <c r="M158" s="211">
        <f>$D158*L158*_xlfn.XLOOKUP($I158,'Sample Size cal and results'!$B$24:$B$25,'Sample Size cal and results'!$I$24:$I$25)</f>
        <v>24.204385404177664</v>
      </c>
      <c r="N158" s="214">
        <f t="shared" si="37"/>
        <v>146.55658232995023</v>
      </c>
      <c r="O158" s="225" t="str">
        <f t="shared" si="38"/>
        <v>7-8 years</v>
      </c>
      <c r="P158" s="226">
        <f t="shared" si="39"/>
        <v>0.9780821917808219</v>
      </c>
      <c r="Q158" s="227">
        <f>$D158*P158*_xlfn.XLOOKUP($O158,'Sample Size cal and results'!$B$26:$B$27,'Sample Size cal and results'!$I$26:$I$27)</f>
        <v>113.12432351234446</v>
      </c>
      <c r="R158" s="330"/>
    </row>
    <row r="159" spans="1:18" ht="12.75">
      <c r="A159" s="99" t="s">
        <v>148</v>
      </c>
      <c r="B159" s="100">
        <v>42056</v>
      </c>
      <c r="C159" s="100">
        <f t="shared" si="29"/>
        <v>44612</v>
      </c>
      <c r="D159" s="209">
        <v>65</v>
      </c>
      <c r="E159" s="217">
        <f t="shared" si="30"/>
        <v>5.0199999999999996</v>
      </c>
      <c r="F159" s="218">
        <f t="shared" si="31"/>
        <v>6.01</v>
      </c>
      <c r="G159" s="219">
        <f t="shared" si="32"/>
        <v>6.02</v>
      </c>
      <c r="H159" s="220">
        <f t="shared" si="33"/>
        <v>7.01</v>
      </c>
      <c r="I159" s="257" t="str">
        <f t="shared" si="34"/>
        <v>6-7 years</v>
      </c>
      <c r="J159" s="211">
        <f t="shared" si="35"/>
        <v>0.83835616438356164</v>
      </c>
      <c r="K159" s="258">
        <f>$D159*J159*_xlfn.XLOOKUP($I159,'Sample Size cal and results'!$B$24:$B$25,'Sample Size cal and results'!$H$24:$H$25)</f>
        <v>44.679173034692234</v>
      </c>
      <c r="L159" s="211">
        <f t="shared" si="36"/>
        <v>0.16164383561643836</v>
      </c>
      <c r="M159" s="211">
        <f>$D159*L159*_xlfn.XLOOKUP($I159,'Sample Size cal and results'!$B$24:$B$25,'Sample Size cal and results'!$I$24:$I$25)</f>
        <v>8.838680063323304</v>
      </c>
      <c r="N159" s="214">
        <f t="shared" si="37"/>
        <v>53.517853098015536</v>
      </c>
      <c r="O159" s="225" t="str">
        <f t="shared" si="38"/>
        <v>7-8 years</v>
      </c>
      <c r="P159" s="226">
        <f t="shared" si="39"/>
        <v>0.9780821917808219</v>
      </c>
      <c r="Q159" s="227">
        <f>$D159*P159*_xlfn.XLOOKUP($O159,'Sample Size cal and results'!$B$26:$B$27,'Sample Size cal and results'!$I$26:$I$27)</f>
        <v>41.309443979226913</v>
      </c>
      <c r="R159" s="330"/>
    </row>
    <row r="160" spans="1:18" ht="12.75">
      <c r="A160" s="99" t="s">
        <v>146</v>
      </c>
      <c r="B160" s="100">
        <v>42056</v>
      </c>
      <c r="C160" s="100">
        <f t="shared" si="29"/>
        <v>44612</v>
      </c>
      <c r="D160" s="209">
        <v>18</v>
      </c>
      <c r="E160" s="217">
        <f t="shared" si="30"/>
        <v>5.0199999999999996</v>
      </c>
      <c r="F160" s="218">
        <f t="shared" si="31"/>
        <v>6.01</v>
      </c>
      <c r="G160" s="219">
        <f t="shared" si="32"/>
        <v>6.02</v>
      </c>
      <c r="H160" s="220">
        <f t="shared" si="33"/>
        <v>7.01</v>
      </c>
      <c r="I160" s="257" t="str">
        <f t="shared" si="34"/>
        <v>6-7 years</v>
      </c>
      <c r="J160" s="211">
        <f t="shared" si="35"/>
        <v>0.83835616438356164</v>
      </c>
      <c r="K160" s="258">
        <f>$D160*J160*_xlfn.XLOOKUP($I160,'Sample Size cal and results'!$B$24:$B$25,'Sample Size cal and results'!$H$24:$H$25)</f>
        <v>12.372694071145542</v>
      </c>
      <c r="L160" s="211">
        <f t="shared" si="36"/>
        <v>0.16164383561643836</v>
      </c>
      <c r="M160" s="211">
        <f>$D160*L160*_xlfn.XLOOKUP($I160,'Sample Size cal and results'!$B$24:$B$25,'Sample Size cal and results'!$I$24:$I$25)</f>
        <v>2.447634479074146</v>
      </c>
      <c r="N160" s="214">
        <f t="shared" si="37"/>
        <v>14.820328550219688</v>
      </c>
      <c r="O160" s="225" t="str">
        <f t="shared" si="38"/>
        <v>7-8 years</v>
      </c>
      <c r="P160" s="226">
        <f t="shared" si="39"/>
        <v>0.9780821917808219</v>
      </c>
      <c r="Q160" s="227">
        <f>$D160*P160*_xlfn.XLOOKUP($O160,'Sample Size cal and results'!$B$26:$B$27,'Sample Size cal and results'!$I$26:$I$27)</f>
        <v>11.439538332708992</v>
      </c>
      <c r="R160" s="330"/>
    </row>
    <row r="161" spans="1:18" ht="12.75">
      <c r="A161" s="99" t="s">
        <v>62</v>
      </c>
      <c r="B161" s="100">
        <v>42055</v>
      </c>
      <c r="C161" s="100">
        <f t="shared" si="29"/>
        <v>44611</v>
      </c>
      <c r="D161" s="209">
        <v>309</v>
      </c>
      <c r="E161" s="217">
        <f t="shared" si="30"/>
        <v>5.0199999999999996</v>
      </c>
      <c r="F161" s="218">
        <f t="shared" si="31"/>
        <v>6.02</v>
      </c>
      <c r="G161" s="219">
        <f t="shared" si="32"/>
        <v>6.02</v>
      </c>
      <c r="H161" s="220">
        <f t="shared" si="33"/>
        <v>7.02</v>
      </c>
      <c r="I161" s="257" t="str">
        <f t="shared" si="34"/>
        <v>6-7 years</v>
      </c>
      <c r="J161" s="211">
        <f t="shared" si="35"/>
        <v>0.83835616438356164</v>
      </c>
      <c r="K161" s="258">
        <f>$D161*J161*_xlfn.XLOOKUP($I161,'Sample Size cal and results'!$B$24:$B$25,'Sample Size cal and results'!$H$24:$H$25)</f>
        <v>212.39791488799844</v>
      </c>
      <c r="L161" s="211">
        <f t="shared" si="36"/>
        <v>0.16164383561643836</v>
      </c>
      <c r="M161" s="211">
        <f>$D161*L161*_xlfn.XLOOKUP($I161,'Sample Size cal and results'!$B$24:$B$25,'Sample Size cal and results'!$I$24:$I$25)</f>
        <v>42.017725224106165</v>
      </c>
      <c r="N161" s="214">
        <f t="shared" si="37"/>
        <v>254.4156401121046</v>
      </c>
      <c r="O161" s="225" t="str">
        <f t="shared" si="38"/>
        <v>7-8 years</v>
      </c>
      <c r="P161" s="226">
        <f t="shared" si="39"/>
        <v>0.97534246575342465</v>
      </c>
      <c r="Q161" s="227">
        <f>$D161*P161*_xlfn.XLOOKUP($O161,'Sample Size cal and results'!$B$26:$B$27,'Sample Size cal and results'!$I$26:$I$27)</f>
        <v>195.82866087010891</v>
      </c>
      <c r="R161" s="330"/>
    </row>
    <row r="162" spans="1:18" ht="12.75">
      <c r="A162" s="99" t="s">
        <v>148</v>
      </c>
      <c r="B162" s="100">
        <v>42055</v>
      </c>
      <c r="C162" s="100">
        <f t="shared" si="29"/>
        <v>44611</v>
      </c>
      <c r="D162" s="209">
        <v>81</v>
      </c>
      <c r="E162" s="217">
        <f t="shared" si="30"/>
        <v>5.0199999999999996</v>
      </c>
      <c r="F162" s="218">
        <f t="shared" si="31"/>
        <v>6.02</v>
      </c>
      <c r="G162" s="219">
        <f t="shared" si="32"/>
        <v>6.02</v>
      </c>
      <c r="H162" s="220">
        <f t="shared" si="33"/>
        <v>7.02</v>
      </c>
      <c r="I162" s="257" t="str">
        <f t="shared" si="34"/>
        <v>6-7 years</v>
      </c>
      <c r="J162" s="211">
        <f t="shared" si="35"/>
        <v>0.83835616438356164</v>
      </c>
      <c r="K162" s="258">
        <f>$D162*J162*_xlfn.XLOOKUP($I162,'Sample Size cal and results'!$B$24:$B$25,'Sample Size cal and results'!$H$24:$H$25)</f>
        <v>55.677123320154941</v>
      </c>
      <c r="L162" s="211">
        <f t="shared" si="36"/>
        <v>0.16164383561643836</v>
      </c>
      <c r="M162" s="211">
        <f>$D162*L162*_xlfn.XLOOKUP($I162,'Sample Size cal and results'!$B$24:$B$25,'Sample Size cal and results'!$I$24:$I$25)</f>
        <v>11.014355155833655</v>
      </c>
      <c r="N162" s="214">
        <f t="shared" si="37"/>
        <v>66.691478475988589</v>
      </c>
      <c r="O162" s="225" t="str">
        <f t="shared" si="38"/>
        <v>7-8 years</v>
      </c>
      <c r="P162" s="226">
        <f t="shared" si="39"/>
        <v>0.97534246575342465</v>
      </c>
      <c r="Q162" s="227">
        <f>$D162*P162*_xlfn.XLOOKUP($O162,'Sample Size cal and results'!$B$26:$B$27,'Sample Size cal and results'!$I$26:$I$27)</f>
        <v>51.333726635853793</v>
      </c>
      <c r="R162" s="330"/>
    </row>
    <row r="163" spans="1:18" ht="12.75">
      <c r="A163" s="99" t="s">
        <v>146</v>
      </c>
      <c r="B163" s="100">
        <v>42055</v>
      </c>
      <c r="C163" s="100">
        <f t="shared" si="29"/>
        <v>44611</v>
      </c>
      <c r="D163" s="209">
        <v>25</v>
      </c>
      <c r="E163" s="217">
        <f t="shared" si="30"/>
        <v>5.0199999999999996</v>
      </c>
      <c r="F163" s="218">
        <f t="shared" si="31"/>
        <v>6.02</v>
      </c>
      <c r="G163" s="219">
        <f t="shared" si="32"/>
        <v>6.02</v>
      </c>
      <c r="H163" s="220">
        <f t="shared" si="33"/>
        <v>7.02</v>
      </c>
      <c r="I163" s="257" t="str">
        <f t="shared" si="34"/>
        <v>6-7 years</v>
      </c>
      <c r="J163" s="211">
        <f t="shared" si="35"/>
        <v>0.83835616438356164</v>
      </c>
      <c r="K163" s="258">
        <f>$D163*J163*_xlfn.XLOOKUP($I163,'Sample Size cal and results'!$B$24:$B$25,'Sample Size cal and results'!$H$24:$H$25)</f>
        <v>17.184297321035473</v>
      </c>
      <c r="L163" s="211">
        <f t="shared" si="36"/>
        <v>0.16164383561643836</v>
      </c>
      <c r="M163" s="211">
        <f>$D163*L163*_xlfn.XLOOKUP($I163,'Sample Size cal and results'!$B$24:$B$25,'Sample Size cal and results'!$I$24:$I$25)</f>
        <v>3.3994923320474242</v>
      </c>
      <c r="N163" s="214">
        <f t="shared" si="37"/>
        <v>20.583789653082896</v>
      </c>
      <c r="O163" s="225" t="str">
        <f t="shared" si="38"/>
        <v>7-8 years</v>
      </c>
      <c r="P163" s="226">
        <f t="shared" si="39"/>
        <v>0.97534246575342465</v>
      </c>
      <c r="Q163" s="227">
        <f>$D163*P163*_xlfn.XLOOKUP($O163,'Sample Size cal and results'!$B$26:$B$27,'Sample Size cal and results'!$I$26:$I$27)</f>
        <v>15.843742788843763</v>
      </c>
      <c r="R163" s="330"/>
    </row>
    <row r="164" spans="1:18" ht="12.75">
      <c r="A164" s="99" t="s">
        <v>62</v>
      </c>
      <c r="B164" s="100">
        <v>42054</v>
      </c>
      <c r="C164" s="100">
        <f t="shared" si="29"/>
        <v>44610</v>
      </c>
      <c r="D164" s="209">
        <v>281</v>
      </c>
      <c r="E164" s="217">
        <f t="shared" si="30"/>
        <v>5.0199999999999996</v>
      </c>
      <c r="F164" s="218">
        <f t="shared" si="31"/>
        <v>6.02</v>
      </c>
      <c r="G164" s="219">
        <f t="shared" si="32"/>
        <v>6.02</v>
      </c>
      <c r="H164" s="220">
        <f t="shared" si="33"/>
        <v>7.02</v>
      </c>
      <c r="I164" s="257" t="str">
        <f t="shared" si="34"/>
        <v>6-7 years</v>
      </c>
      <c r="J164" s="211">
        <f t="shared" si="35"/>
        <v>0.83835616438356164</v>
      </c>
      <c r="K164" s="258">
        <f>$D164*J164*_xlfn.XLOOKUP($I164,'Sample Size cal and results'!$B$24:$B$25,'Sample Size cal and results'!$H$24:$H$25)</f>
        <v>193.15150188843873</v>
      </c>
      <c r="L164" s="211">
        <f t="shared" si="36"/>
        <v>0.16164383561643836</v>
      </c>
      <c r="M164" s="211">
        <f>$D164*L164*_xlfn.XLOOKUP($I164,'Sample Size cal and results'!$B$24:$B$25,'Sample Size cal and results'!$I$24:$I$25)</f>
        <v>38.210293812213052</v>
      </c>
      <c r="N164" s="214">
        <f t="shared" si="37"/>
        <v>231.36179570065178</v>
      </c>
      <c r="O164" s="225" t="str">
        <f t="shared" si="38"/>
        <v>7-8 years</v>
      </c>
      <c r="P164" s="226">
        <f t="shared" si="39"/>
        <v>0.9726027397260274</v>
      </c>
      <c r="Q164" s="227">
        <f>$D164*P164*_xlfn.XLOOKUP($O164,'Sample Size cal and results'!$B$26:$B$27,'Sample Size cal and results'!$I$26:$I$27)</f>
        <v>177.58343392147299</v>
      </c>
      <c r="R164" s="330"/>
    </row>
    <row r="165" spans="1:18" ht="12.75">
      <c r="A165" s="99" t="s">
        <v>148</v>
      </c>
      <c r="B165" s="100">
        <v>42054</v>
      </c>
      <c r="C165" s="100">
        <f t="shared" si="29"/>
        <v>44610</v>
      </c>
      <c r="D165" s="209">
        <v>72</v>
      </c>
      <c r="E165" s="217">
        <f t="shared" si="30"/>
        <v>5.0199999999999996</v>
      </c>
      <c r="F165" s="218">
        <f t="shared" si="31"/>
        <v>6.02</v>
      </c>
      <c r="G165" s="219">
        <f t="shared" si="32"/>
        <v>6.02</v>
      </c>
      <c r="H165" s="220">
        <f t="shared" si="33"/>
        <v>7.02</v>
      </c>
      <c r="I165" s="257" t="str">
        <f t="shared" si="34"/>
        <v>6-7 years</v>
      </c>
      <c r="J165" s="211">
        <f t="shared" si="35"/>
        <v>0.83835616438356164</v>
      </c>
      <c r="K165" s="258">
        <f>$D165*J165*_xlfn.XLOOKUP($I165,'Sample Size cal and results'!$B$24:$B$25,'Sample Size cal and results'!$H$24:$H$25)</f>
        <v>49.490776284582168</v>
      </c>
      <c r="L165" s="211">
        <f t="shared" si="36"/>
        <v>0.16164383561643836</v>
      </c>
      <c r="M165" s="211">
        <f>$D165*L165*_xlfn.XLOOKUP($I165,'Sample Size cal and results'!$B$24:$B$25,'Sample Size cal and results'!$I$24:$I$25)</f>
        <v>9.790537916296584</v>
      </c>
      <c r="N165" s="214">
        <f t="shared" si="37"/>
        <v>59.281314200878754</v>
      </c>
      <c r="O165" s="225" t="str">
        <f t="shared" si="38"/>
        <v>7-8 years</v>
      </c>
      <c r="P165" s="226">
        <f t="shared" si="39"/>
        <v>0.9726027397260274</v>
      </c>
      <c r="Q165" s="227">
        <f>$D165*P165*_xlfn.XLOOKUP($O165,'Sample Size cal and results'!$B$26:$B$27,'Sample Size cal and results'!$I$26:$I$27)</f>
        <v>45.50180513290411</v>
      </c>
      <c r="R165" s="330"/>
    </row>
    <row r="166" spans="1:18" ht="12.75">
      <c r="A166" s="99" t="s">
        <v>146</v>
      </c>
      <c r="B166" s="100">
        <v>42054</v>
      </c>
      <c r="C166" s="100">
        <f t="shared" si="29"/>
        <v>44610</v>
      </c>
      <c r="D166" s="209">
        <v>23</v>
      </c>
      <c r="E166" s="217">
        <f t="shared" si="30"/>
        <v>5.0199999999999996</v>
      </c>
      <c r="F166" s="218">
        <f t="shared" si="31"/>
        <v>6.02</v>
      </c>
      <c r="G166" s="219">
        <f t="shared" si="32"/>
        <v>6.02</v>
      </c>
      <c r="H166" s="220">
        <f t="shared" si="33"/>
        <v>7.02</v>
      </c>
      <c r="I166" s="257" t="str">
        <f t="shared" si="34"/>
        <v>6-7 years</v>
      </c>
      <c r="J166" s="211">
        <f t="shared" si="35"/>
        <v>0.83835616438356164</v>
      </c>
      <c r="K166" s="258">
        <f>$D166*J166*_xlfn.XLOOKUP($I166,'Sample Size cal and results'!$B$24:$B$25,'Sample Size cal and results'!$H$24:$H$25)</f>
        <v>15.809553535352636</v>
      </c>
      <c r="L166" s="211">
        <f t="shared" si="36"/>
        <v>0.16164383561643836</v>
      </c>
      <c r="M166" s="211">
        <f>$D166*L166*_xlfn.XLOOKUP($I166,'Sample Size cal and results'!$B$24:$B$25,'Sample Size cal and results'!$I$24:$I$25)</f>
        <v>3.1275329454836305</v>
      </c>
      <c r="N166" s="214">
        <f t="shared" si="37"/>
        <v>18.937086480836268</v>
      </c>
      <c r="O166" s="225" t="str">
        <f t="shared" si="38"/>
        <v>7-8 years</v>
      </c>
      <c r="P166" s="226">
        <f t="shared" si="39"/>
        <v>0.9726027397260274</v>
      </c>
      <c r="Q166" s="227">
        <f>$D166*P166*_xlfn.XLOOKUP($O166,'Sample Size cal and results'!$B$26:$B$27,'Sample Size cal and results'!$I$26:$I$27)</f>
        <v>14.535298861899925</v>
      </c>
      <c r="R166" s="330"/>
    </row>
    <row r="167" spans="1:18" ht="12.75">
      <c r="A167" s="99" t="s">
        <v>62</v>
      </c>
      <c r="B167" s="100">
        <v>42053</v>
      </c>
      <c r="C167" s="100">
        <f t="shared" si="29"/>
        <v>44609</v>
      </c>
      <c r="D167" s="209">
        <v>300</v>
      </c>
      <c r="E167" s="217">
        <f t="shared" si="30"/>
        <v>5.03</v>
      </c>
      <c r="F167" s="218">
        <f t="shared" si="31"/>
        <v>6.02</v>
      </c>
      <c r="G167" s="219">
        <f t="shared" si="32"/>
        <v>6.03</v>
      </c>
      <c r="H167" s="220">
        <f t="shared" si="33"/>
        <v>7.02</v>
      </c>
      <c r="I167" s="257" t="str">
        <f t="shared" si="34"/>
        <v>6-7 years</v>
      </c>
      <c r="J167" s="211">
        <f t="shared" si="35"/>
        <v>0.83835616438356164</v>
      </c>
      <c r="K167" s="258">
        <f>$D167*J167*_xlfn.XLOOKUP($I167,'Sample Size cal and results'!$B$24:$B$25,'Sample Size cal and results'!$H$24:$H$25)</f>
        <v>206.21156785242567</v>
      </c>
      <c r="L167" s="211">
        <f t="shared" si="36"/>
        <v>0.16164383561643836</v>
      </c>
      <c r="M167" s="211">
        <f>$D167*L167*_xlfn.XLOOKUP($I167,'Sample Size cal and results'!$B$24:$B$25,'Sample Size cal and results'!$I$24:$I$25)</f>
        <v>40.793907984569096</v>
      </c>
      <c r="N167" s="214">
        <f t="shared" si="37"/>
        <v>247.00547583699478</v>
      </c>
      <c r="O167" s="225" t="str">
        <f t="shared" si="38"/>
        <v>7-8 years</v>
      </c>
      <c r="P167" s="226">
        <f t="shared" si="39"/>
        <v>0.96986301369863015</v>
      </c>
      <c r="Q167" s="227">
        <f>$D167*P167*_xlfn.XLOOKUP($O167,'Sample Size cal and results'!$B$26:$B$27,'Sample Size cal and results'!$I$26:$I$27)</f>
        <v>189.05679597474244</v>
      </c>
      <c r="R167" s="330"/>
    </row>
    <row r="168" spans="1:18" ht="12.75">
      <c r="A168" s="99" t="s">
        <v>148</v>
      </c>
      <c r="B168" s="100">
        <v>42053</v>
      </c>
      <c r="C168" s="100">
        <f t="shared" si="29"/>
        <v>44609</v>
      </c>
      <c r="D168" s="209">
        <v>75</v>
      </c>
      <c r="E168" s="217">
        <f t="shared" si="30"/>
        <v>5.03</v>
      </c>
      <c r="F168" s="218">
        <f t="shared" si="31"/>
        <v>6.02</v>
      </c>
      <c r="G168" s="219">
        <f t="shared" si="32"/>
        <v>6.03</v>
      </c>
      <c r="H168" s="220">
        <f t="shared" si="33"/>
        <v>7.02</v>
      </c>
      <c r="I168" s="257" t="str">
        <f t="shared" si="34"/>
        <v>6-7 years</v>
      </c>
      <c r="J168" s="211">
        <f t="shared" si="35"/>
        <v>0.83835616438356164</v>
      </c>
      <c r="K168" s="258">
        <f>$D168*J168*_xlfn.XLOOKUP($I168,'Sample Size cal and results'!$B$24:$B$25,'Sample Size cal and results'!$H$24:$H$25)</f>
        <v>51.552891963106418</v>
      </c>
      <c r="L168" s="211">
        <f t="shared" si="36"/>
        <v>0.16164383561643836</v>
      </c>
      <c r="M168" s="211">
        <f>$D168*L168*_xlfn.XLOOKUP($I168,'Sample Size cal and results'!$B$24:$B$25,'Sample Size cal and results'!$I$24:$I$25)</f>
        <v>10.198476996142274</v>
      </c>
      <c r="N168" s="214">
        <f t="shared" si="37"/>
        <v>61.751368959248694</v>
      </c>
      <c r="O168" s="225" t="str">
        <f t="shared" si="38"/>
        <v>7-8 years</v>
      </c>
      <c r="P168" s="226">
        <f t="shared" si="39"/>
        <v>0.96986301369863015</v>
      </c>
      <c r="Q168" s="227">
        <f>$D168*P168*_xlfn.XLOOKUP($O168,'Sample Size cal and results'!$B$26:$B$27,'Sample Size cal and results'!$I$26:$I$27)</f>
        <v>47.264198993685611</v>
      </c>
      <c r="R168" s="330"/>
    </row>
    <row r="169" spans="1:18" ht="12.75">
      <c r="A169" s="99" t="s">
        <v>146</v>
      </c>
      <c r="B169" s="100">
        <v>42053</v>
      </c>
      <c r="C169" s="100">
        <f t="shared" si="29"/>
        <v>44609</v>
      </c>
      <c r="D169" s="209">
        <v>19</v>
      </c>
      <c r="E169" s="217">
        <f t="shared" si="30"/>
        <v>5.03</v>
      </c>
      <c r="F169" s="218">
        <f t="shared" si="31"/>
        <v>6.02</v>
      </c>
      <c r="G169" s="219">
        <f t="shared" si="32"/>
        <v>6.03</v>
      </c>
      <c r="H169" s="220">
        <f t="shared" si="33"/>
        <v>7.02</v>
      </c>
      <c r="I169" s="257" t="str">
        <f t="shared" si="34"/>
        <v>6-7 years</v>
      </c>
      <c r="J169" s="211">
        <f t="shared" si="35"/>
        <v>0.83835616438356164</v>
      </c>
      <c r="K169" s="258">
        <f>$D169*J169*_xlfn.XLOOKUP($I169,'Sample Size cal and results'!$B$24:$B$25,'Sample Size cal and results'!$H$24:$H$25)</f>
        <v>13.060065963986959</v>
      </c>
      <c r="L169" s="211">
        <f t="shared" si="36"/>
        <v>0.16164383561643836</v>
      </c>
      <c r="M169" s="211">
        <f>$D169*L169*_xlfn.XLOOKUP($I169,'Sample Size cal and results'!$B$24:$B$25,'Sample Size cal and results'!$I$24:$I$25)</f>
        <v>2.5836141723560426</v>
      </c>
      <c r="N169" s="214">
        <f t="shared" si="37"/>
        <v>15.643680136343002</v>
      </c>
      <c r="O169" s="225" t="str">
        <f t="shared" si="38"/>
        <v>7-8 years</v>
      </c>
      <c r="P169" s="226">
        <f t="shared" si="39"/>
        <v>0.96986301369863015</v>
      </c>
      <c r="Q169" s="227">
        <f>$D169*P169*_xlfn.XLOOKUP($O169,'Sample Size cal and results'!$B$26:$B$27,'Sample Size cal and results'!$I$26:$I$27)</f>
        <v>11.973597078400354</v>
      </c>
      <c r="R169" s="330"/>
    </row>
    <row r="170" spans="1:18" ht="12.75">
      <c r="A170" s="99" t="s">
        <v>62</v>
      </c>
      <c r="B170" s="100">
        <v>42052</v>
      </c>
      <c r="C170" s="100">
        <f t="shared" si="29"/>
        <v>44608</v>
      </c>
      <c r="D170" s="209">
        <v>290</v>
      </c>
      <c r="E170" s="217">
        <f t="shared" si="30"/>
        <v>5.03</v>
      </c>
      <c r="F170" s="218">
        <f t="shared" si="31"/>
        <v>6.03</v>
      </c>
      <c r="G170" s="219">
        <f t="shared" si="32"/>
        <v>6.03</v>
      </c>
      <c r="H170" s="220">
        <f t="shared" si="33"/>
        <v>7.03</v>
      </c>
      <c r="I170" s="257" t="str">
        <f t="shared" si="34"/>
        <v>6-7 years</v>
      </c>
      <c r="J170" s="211">
        <f t="shared" si="35"/>
        <v>0.83835616438356164</v>
      </c>
      <c r="K170" s="258">
        <f>$D170*J170*_xlfn.XLOOKUP($I170,'Sample Size cal and results'!$B$24:$B$25,'Sample Size cal and results'!$H$24:$H$25)</f>
        <v>199.3378489240115</v>
      </c>
      <c r="L170" s="211">
        <f t="shared" si="36"/>
        <v>0.16164383561643836</v>
      </c>
      <c r="M170" s="211">
        <f>$D170*L170*_xlfn.XLOOKUP($I170,'Sample Size cal and results'!$B$24:$B$25,'Sample Size cal and results'!$I$24:$I$25)</f>
        <v>39.434111051750129</v>
      </c>
      <c r="N170" s="214">
        <f t="shared" si="37"/>
        <v>238.77195997576163</v>
      </c>
      <c r="O170" s="225" t="str">
        <f t="shared" si="38"/>
        <v>7-8 years</v>
      </c>
      <c r="P170" s="226">
        <f t="shared" si="39"/>
        <v>0.9671232876712329</v>
      </c>
      <c r="Q170" s="227">
        <f>$D170*P170*_xlfn.XLOOKUP($O170,'Sample Size cal and results'!$B$26:$B$27,'Sample Size cal and results'!$I$26:$I$27)</f>
        <v>182.23864598808268</v>
      </c>
      <c r="R170" s="330"/>
    </row>
    <row r="171" spans="1:18" ht="12.75">
      <c r="A171" s="99" t="s">
        <v>148</v>
      </c>
      <c r="B171" s="100">
        <v>42052</v>
      </c>
      <c r="C171" s="100">
        <f t="shared" si="29"/>
        <v>44608</v>
      </c>
      <c r="D171" s="209">
        <v>71</v>
      </c>
      <c r="E171" s="217">
        <f t="shared" si="30"/>
        <v>5.03</v>
      </c>
      <c r="F171" s="218">
        <f t="shared" si="31"/>
        <v>6.03</v>
      </c>
      <c r="G171" s="219">
        <f t="shared" si="32"/>
        <v>6.03</v>
      </c>
      <c r="H171" s="220">
        <f t="shared" si="33"/>
        <v>7.03</v>
      </c>
      <c r="I171" s="257" t="str">
        <f t="shared" si="34"/>
        <v>6-7 years</v>
      </c>
      <c r="J171" s="211">
        <f t="shared" si="35"/>
        <v>0.83835616438356164</v>
      </c>
      <c r="K171" s="258">
        <f>$D171*J171*_xlfn.XLOOKUP($I171,'Sample Size cal and results'!$B$24:$B$25,'Sample Size cal and results'!$H$24:$H$25)</f>
        <v>48.803404391740749</v>
      </c>
      <c r="L171" s="211">
        <f t="shared" si="36"/>
        <v>0.16164383561643836</v>
      </c>
      <c r="M171" s="211">
        <f>$D171*L171*_xlfn.XLOOKUP($I171,'Sample Size cal and results'!$B$24:$B$25,'Sample Size cal and results'!$I$24:$I$25)</f>
        <v>9.6545582230146856</v>
      </c>
      <c r="N171" s="214">
        <f t="shared" si="37"/>
        <v>58.457962614755431</v>
      </c>
      <c r="O171" s="225" t="str">
        <f t="shared" si="38"/>
        <v>7-8 years</v>
      </c>
      <c r="P171" s="226">
        <f t="shared" si="39"/>
        <v>0.9671232876712329</v>
      </c>
      <c r="Q171" s="227">
        <f>$D171*P171*_xlfn.XLOOKUP($O171,'Sample Size cal and results'!$B$26:$B$27,'Sample Size cal and results'!$I$26:$I$27)</f>
        <v>44.61704781087542</v>
      </c>
      <c r="R171" s="330"/>
    </row>
    <row r="172" spans="1:18" ht="12.75">
      <c r="A172" s="99" t="s">
        <v>146</v>
      </c>
      <c r="B172" s="100">
        <v>42052</v>
      </c>
      <c r="C172" s="100">
        <f t="shared" si="29"/>
        <v>44608</v>
      </c>
      <c r="D172" s="209">
        <v>35</v>
      </c>
      <c r="E172" s="217">
        <f t="shared" si="30"/>
        <v>5.03</v>
      </c>
      <c r="F172" s="218">
        <f t="shared" si="31"/>
        <v>6.03</v>
      </c>
      <c r="G172" s="219">
        <f t="shared" si="32"/>
        <v>6.03</v>
      </c>
      <c r="H172" s="220">
        <f t="shared" si="33"/>
        <v>7.03</v>
      </c>
      <c r="I172" s="257" t="str">
        <f t="shared" si="34"/>
        <v>6-7 years</v>
      </c>
      <c r="J172" s="211">
        <f t="shared" si="35"/>
        <v>0.83835616438356164</v>
      </c>
      <c r="K172" s="258">
        <f>$D172*J172*_xlfn.XLOOKUP($I172,'Sample Size cal and results'!$B$24:$B$25,'Sample Size cal and results'!$H$24:$H$25)</f>
        <v>24.058016249449665</v>
      </c>
      <c r="L172" s="211">
        <f t="shared" si="36"/>
        <v>0.16164383561643836</v>
      </c>
      <c r="M172" s="211">
        <f>$D172*L172*_xlfn.XLOOKUP($I172,'Sample Size cal and results'!$B$24:$B$25,'Sample Size cal and results'!$I$24:$I$25)</f>
        <v>4.7592892648663945</v>
      </c>
      <c r="N172" s="214">
        <f t="shared" si="37"/>
        <v>28.817305514316061</v>
      </c>
      <c r="O172" s="225" t="str">
        <f t="shared" si="38"/>
        <v>7-8 years</v>
      </c>
      <c r="P172" s="226">
        <f t="shared" si="39"/>
        <v>0.9671232876712329</v>
      </c>
      <c r="Q172" s="227">
        <f>$D172*P172*_xlfn.XLOOKUP($O172,'Sample Size cal and results'!$B$26:$B$27,'Sample Size cal and results'!$I$26:$I$27)</f>
        <v>21.994319343389293</v>
      </c>
      <c r="R172" s="330"/>
    </row>
    <row r="173" spans="1:18" ht="12.75">
      <c r="A173" s="99" t="s">
        <v>62</v>
      </c>
      <c r="B173" s="100">
        <v>42051</v>
      </c>
      <c r="C173" s="100">
        <f t="shared" si="29"/>
        <v>44607</v>
      </c>
      <c r="D173" s="209">
        <v>303</v>
      </c>
      <c r="E173" s="217">
        <f t="shared" si="30"/>
        <v>5.03</v>
      </c>
      <c r="F173" s="218">
        <f t="shared" si="31"/>
        <v>6.03</v>
      </c>
      <c r="G173" s="219">
        <f t="shared" si="32"/>
        <v>6.03</v>
      </c>
      <c r="H173" s="220">
        <f t="shared" si="33"/>
        <v>7.03</v>
      </c>
      <c r="I173" s="257" t="str">
        <f t="shared" si="34"/>
        <v>6-7 years</v>
      </c>
      <c r="J173" s="211">
        <f t="shared" si="35"/>
        <v>0.83835616438356164</v>
      </c>
      <c r="K173" s="258">
        <f>$D173*J173*_xlfn.XLOOKUP($I173,'Sample Size cal and results'!$B$24:$B$25,'Sample Size cal and results'!$H$24:$H$25)</f>
        <v>208.27368353094994</v>
      </c>
      <c r="L173" s="211">
        <f t="shared" si="36"/>
        <v>0.16164383561643836</v>
      </c>
      <c r="M173" s="211">
        <f>$D173*L173*_xlfn.XLOOKUP($I173,'Sample Size cal and results'!$B$24:$B$25,'Sample Size cal and results'!$I$24:$I$25)</f>
        <v>41.201847064414785</v>
      </c>
      <c r="N173" s="214">
        <f t="shared" si="37"/>
        <v>249.47553059536472</v>
      </c>
      <c r="O173" s="225" t="str">
        <f t="shared" si="38"/>
        <v>7-8 years</v>
      </c>
      <c r="P173" s="226">
        <f t="shared" si="39"/>
        <v>0.96438356164383565</v>
      </c>
      <c r="Q173" s="227">
        <f>$D173*P173*_xlfn.XLOOKUP($O173,'Sample Size cal and results'!$B$26:$B$27,'Sample Size cal and results'!$I$26:$I$27)</f>
        <v>189.86856526819329</v>
      </c>
      <c r="R173" s="330"/>
    </row>
    <row r="174" spans="1:18" ht="12.75">
      <c r="A174" s="99" t="s">
        <v>148</v>
      </c>
      <c r="B174" s="100">
        <v>42051</v>
      </c>
      <c r="C174" s="100">
        <f t="shared" si="29"/>
        <v>44607</v>
      </c>
      <c r="D174" s="209">
        <v>69</v>
      </c>
      <c r="E174" s="217">
        <f t="shared" si="30"/>
        <v>5.03</v>
      </c>
      <c r="F174" s="218">
        <f t="shared" si="31"/>
        <v>6.03</v>
      </c>
      <c r="G174" s="219">
        <f t="shared" si="32"/>
        <v>6.03</v>
      </c>
      <c r="H174" s="220">
        <f t="shared" si="33"/>
        <v>7.03</v>
      </c>
      <c r="I174" s="257" t="str">
        <f t="shared" si="34"/>
        <v>6-7 years</v>
      </c>
      <c r="J174" s="211">
        <f t="shared" si="35"/>
        <v>0.83835616438356164</v>
      </c>
      <c r="K174" s="258">
        <f>$D174*J174*_xlfn.XLOOKUP($I174,'Sample Size cal and results'!$B$24:$B$25,'Sample Size cal and results'!$H$24:$H$25)</f>
        <v>47.42866060605791</v>
      </c>
      <c r="L174" s="211">
        <f t="shared" si="36"/>
        <v>0.16164383561643836</v>
      </c>
      <c r="M174" s="211">
        <f>$D174*L174*_xlfn.XLOOKUP($I174,'Sample Size cal and results'!$B$24:$B$25,'Sample Size cal and results'!$I$24:$I$25)</f>
        <v>9.3825988364508923</v>
      </c>
      <c r="N174" s="214">
        <f t="shared" si="37"/>
        <v>56.811259442508799</v>
      </c>
      <c r="O174" s="225" t="str">
        <f t="shared" si="38"/>
        <v>7-8 years</v>
      </c>
      <c r="P174" s="226">
        <f t="shared" si="39"/>
        <v>0.96438356164383565</v>
      </c>
      <c r="Q174" s="227">
        <f>$D174*P174*_xlfn.XLOOKUP($O174,'Sample Size cal and results'!$B$26:$B$27,'Sample Size cal and results'!$I$26:$I$27)</f>
        <v>43.237396051172738</v>
      </c>
      <c r="R174" s="330"/>
    </row>
    <row r="175" spans="1:18" ht="12.75">
      <c r="A175" s="99" t="s">
        <v>146</v>
      </c>
      <c r="B175" s="100">
        <v>42051</v>
      </c>
      <c r="C175" s="100">
        <f t="shared" si="29"/>
        <v>44607</v>
      </c>
      <c r="D175" s="209">
        <v>26</v>
      </c>
      <c r="E175" s="217">
        <f t="shared" si="30"/>
        <v>5.03</v>
      </c>
      <c r="F175" s="218">
        <f t="shared" si="31"/>
        <v>6.03</v>
      </c>
      <c r="G175" s="219">
        <f t="shared" si="32"/>
        <v>6.03</v>
      </c>
      <c r="H175" s="220">
        <f t="shared" si="33"/>
        <v>7.03</v>
      </c>
      <c r="I175" s="257" t="str">
        <f t="shared" si="34"/>
        <v>6-7 years</v>
      </c>
      <c r="J175" s="211">
        <f t="shared" si="35"/>
        <v>0.83835616438356164</v>
      </c>
      <c r="K175" s="258">
        <f>$D175*J175*_xlfn.XLOOKUP($I175,'Sample Size cal and results'!$B$24:$B$25,'Sample Size cal and results'!$H$24:$H$25)</f>
        <v>17.871669213876892</v>
      </c>
      <c r="L175" s="211">
        <f t="shared" si="36"/>
        <v>0.16164383561643836</v>
      </c>
      <c r="M175" s="211">
        <f>$D175*L175*_xlfn.XLOOKUP($I175,'Sample Size cal and results'!$B$24:$B$25,'Sample Size cal and results'!$I$24:$I$25)</f>
        <v>3.5354720253293217</v>
      </c>
      <c r="N175" s="214">
        <f t="shared" si="37"/>
        <v>21.407141239206215</v>
      </c>
      <c r="O175" s="225" t="str">
        <f t="shared" si="38"/>
        <v>7-8 years</v>
      </c>
      <c r="P175" s="226">
        <f t="shared" si="39"/>
        <v>0.96438356164383565</v>
      </c>
      <c r="Q175" s="227">
        <f>$D175*P175*_xlfn.XLOOKUP($O175,'Sample Size cal and results'!$B$26:$B$27,'Sample Size cal and results'!$I$26:$I$27)</f>
        <v>16.292352135224508</v>
      </c>
      <c r="R175" s="330"/>
    </row>
    <row r="176" spans="1:18" ht="12.75">
      <c r="A176" s="99" t="s">
        <v>62</v>
      </c>
      <c r="B176" s="100">
        <v>42050</v>
      </c>
      <c r="C176" s="100">
        <f t="shared" si="29"/>
        <v>44606</v>
      </c>
      <c r="D176" s="209">
        <v>2257</v>
      </c>
      <c r="E176" s="217">
        <f t="shared" si="30"/>
        <v>5.03</v>
      </c>
      <c r="F176" s="218">
        <f t="shared" si="31"/>
        <v>6.03</v>
      </c>
      <c r="G176" s="219">
        <f t="shared" si="32"/>
        <v>6.03</v>
      </c>
      <c r="H176" s="220">
        <f t="shared" si="33"/>
        <v>7.03</v>
      </c>
      <c r="I176" s="257" t="str">
        <f t="shared" si="34"/>
        <v>6-7 years</v>
      </c>
      <c r="J176" s="211">
        <f t="shared" si="35"/>
        <v>0.83835616438356164</v>
      </c>
      <c r="K176" s="258">
        <f>$D176*J176*_xlfn.XLOOKUP($I176,'Sample Size cal and results'!$B$24:$B$25,'Sample Size cal and results'!$H$24:$H$25)</f>
        <v>1551.3983621430825</v>
      </c>
      <c r="L176" s="211">
        <f t="shared" si="36"/>
        <v>0.16164383561643836</v>
      </c>
      <c r="M176" s="211">
        <f>$D176*L176*_xlfn.XLOOKUP($I176,'Sample Size cal and results'!$B$24:$B$25,'Sample Size cal and results'!$I$24:$I$25)</f>
        <v>306.9061677372415</v>
      </c>
      <c r="N176" s="214">
        <f t="shared" si="37"/>
        <v>1858.304529880324</v>
      </c>
      <c r="O176" s="225" t="str">
        <f t="shared" si="38"/>
        <v>7-8 years</v>
      </c>
      <c r="P176" s="226">
        <f t="shared" si="39"/>
        <v>0.9616438356164384</v>
      </c>
      <c r="Q176" s="227">
        <f>$D176*P176*_xlfn.XLOOKUP($O176,'Sample Size cal and results'!$B$26:$B$27,'Sample Size cal and results'!$I$26:$I$27)</f>
        <v>1410.2835891597249</v>
      </c>
      <c r="R176" s="330"/>
    </row>
    <row r="177" spans="1:18" ht="12.75">
      <c r="A177" s="99" t="s">
        <v>146</v>
      </c>
      <c r="B177" s="100">
        <v>42050</v>
      </c>
      <c r="C177" s="100">
        <f t="shared" si="29"/>
        <v>44606</v>
      </c>
      <c r="D177" s="209">
        <v>573</v>
      </c>
      <c r="E177" s="217">
        <f t="shared" si="30"/>
        <v>5.03</v>
      </c>
      <c r="F177" s="218">
        <f t="shared" si="31"/>
        <v>6.03</v>
      </c>
      <c r="G177" s="219">
        <f t="shared" si="32"/>
        <v>6.03</v>
      </c>
      <c r="H177" s="220">
        <f t="shared" si="33"/>
        <v>7.03</v>
      </c>
      <c r="I177" s="257" t="str">
        <f t="shared" si="34"/>
        <v>6-7 years</v>
      </c>
      <c r="J177" s="211">
        <f t="shared" si="35"/>
        <v>0.83835616438356164</v>
      </c>
      <c r="K177" s="258">
        <f>$D177*J177*_xlfn.XLOOKUP($I177,'Sample Size cal and results'!$B$24:$B$25,'Sample Size cal and results'!$H$24:$H$25)</f>
        <v>393.86409459813308</v>
      </c>
      <c r="L177" s="211">
        <f t="shared" si="36"/>
        <v>0.16164383561643836</v>
      </c>
      <c r="M177" s="211">
        <f>$D177*L177*_xlfn.XLOOKUP($I177,'Sample Size cal and results'!$B$24:$B$25,'Sample Size cal and results'!$I$24:$I$25)</f>
        <v>77.916364250526968</v>
      </c>
      <c r="N177" s="214">
        <f t="shared" si="37"/>
        <v>471.78045884866003</v>
      </c>
      <c r="O177" s="225" t="str">
        <f t="shared" si="38"/>
        <v>7-8 years</v>
      </c>
      <c r="P177" s="226">
        <f t="shared" si="39"/>
        <v>0.9616438356164384</v>
      </c>
      <c r="Q177" s="227">
        <f>$D177*P177*_xlfn.XLOOKUP($O177,'Sample Size cal and results'!$B$26:$B$27,'Sample Size cal and results'!$I$26:$I$27)</f>
        <v>358.03832369894656</v>
      </c>
      <c r="R177" s="330"/>
    </row>
    <row r="178" spans="1:18" ht="12.75">
      <c r="A178" s="99" t="s">
        <v>148</v>
      </c>
      <c r="B178" s="100">
        <v>42050</v>
      </c>
      <c r="C178" s="100">
        <f t="shared" si="29"/>
        <v>44606</v>
      </c>
      <c r="D178" s="209">
        <v>221</v>
      </c>
      <c r="E178" s="217">
        <f t="shared" si="30"/>
        <v>5.03</v>
      </c>
      <c r="F178" s="218">
        <f t="shared" si="31"/>
        <v>6.03</v>
      </c>
      <c r="G178" s="219">
        <f t="shared" si="32"/>
        <v>6.03</v>
      </c>
      <c r="H178" s="220">
        <f t="shared" si="33"/>
        <v>7.03</v>
      </c>
      <c r="I178" s="257" t="str">
        <f t="shared" si="34"/>
        <v>6-7 years</v>
      </c>
      <c r="J178" s="211">
        <f t="shared" si="35"/>
        <v>0.83835616438356164</v>
      </c>
      <c r="K178" s="258">
        <f>$D178*J178*_xlfn.XLOOKUP($I178,'Sample Size cal and results'!$B$24:$B$25,'Sample Size cal and results'!$H$24:$H$25)</f>
        <v>151.90918831795361</v>
      </c>
      <c r="L178" s="211">
        <f t="shared" si="36"/>
        <v>0.16164383561643836</v>
      </c>
      <c r="M178" s="211">
        <f>$D178*L178*_xlfn.XLOOKUP($I178,'Sample Size cal and results'!$B$24:$B$25,'Sample Size cal and results'!$I$24:$I$25)</f>
        <v>30.05151221529923</v>
      </c>
      <c r="N178" s="214">
        <f t="shared" si="37"/>
        <v>181.96070053325283</v>
      </c>
      <c r="O178" s="225" t="str">
        <f t="shared" si="38"/>
        <v>7-8 years</v>
      </c>
      <c r="P178" s="226">
        <f t="shared" si="39"/>
        <v>0.9616438356164384</v>
      </c>
      <c r="Q178" s="227">
        <f>$D178*P178*_xlfn.XLOOKUP($O178,'Sample Size cal and results'!$B$26:$B$27,'Sample Size cal and results'!$I$26:$I$27)</f>
        <v>138.09156987341569</v>
      </c>
      <c r="R178" s="330"/>
    </row>
    <row r="179" spans="1:18" ht="12.75">
      <c r="A179" s="99" t="s">
        <v>62</v>
      </c>
      <c r="B179" s="100">
        <v>42049</v>
      </c>
      <c r="C179" s="100">
        <f t="shared" si="29"/>
        <v>44605</v>
      </c>
      <c r="D179" s="209">
        <v>246</v>
      </c>
      <c r="E179" s="217">
        <f t="shared" si="30"/>
        <v>5.04</v>
      </c>
      <c r="F179" s="218">
        <f t="shared" si="31"/>
        <v>6.03</v>
      </c>
      <c r="G179" s="219">
        <f t="shared" si="32"/>
        <v>6.04</v>
      </c>
      <c r="H179" s="220">
        <f t="shared" si="33"/>
        <v>7.03</v>
      </c>
      <c r="I179" s="257" t="str">
        <f t="shared" si="34"/>
        <v>6-7 years</v>
      </c>
      <c r="J179" s="211">
        <f t="shared" si="35"/>
        <v>0.83835616438356164</v>
      </c>
      <c r="K179" s="258">
        <f>$D179*J179*_xlfn.XLOOKUP($I179,'Sample Size cal and results'!$B$24:$B$25,'Sample Size cal and results'!$H$24:$H$25)</f>
        <v>169.09348563898908</v>
      </c>
      <c r="L179" s="211">
        <f t="shared" si="36"/>
        <v>0.16164383561643836</v>
      </c>
      <c r="M179" s="211">
        <f>$D179*L179*_xlfn.XLOOKUP($I179,'Sample Size cal and results'!$B$24:$B$25,'Sample Size cal and results'!$I$24:$I$25)</f>
        <v>33.451004547346656</v>
      </c>
      <c r="N179" s="214">
        <f t="shared" si="37"/>
        <v>202.54449018633574</v>
      </c>
      <c r="O179" s="225" t="str">
        <f t="shared" si="38"/>
        <v>7-8 years</v>
      </c>
      <c r="P179" s="226">
        <f t="shared" si="39"/>
        <v>0.95890410958904104</v>
      </c>
      <c r="Q179" s="227">
        <f>$D179*P179*_xlfn.XLOOKUP($O179,'Sample Size cal and results'!$B$26:$B$27,'Sample Size cal and results'!$I$26:$I$27)</f>
        <v>153.27486001342112</v>
      </c>
      <c r="R179" s="330"/>
    </row>
    <row r="180" spans="1:18" ht="12.75">
      <c r="A180" s="99" t="s">
        <v>61</v>
      </c>
      <c r="B180" s="100">
        <v>42049</v>
      </c>
      <c r="C180" s="100">
        <f t="shared" si="29"/>
        <v>44605</v>
      </c>
      <c r="D180" s="209">
        <v>173</v>
      </c>
      <c r="E180" s="217">
        <f t="shared" si="30"/>
        <v>5.04</v>
      </c>
      <c r="F180" s="218">
        <f t="shared" si="31"/>
        <v>6.03</v>
      </c>
      <c r="G180" s="219">
        <f t="shared" si="32"/>
        <v>6.04</v>
      </c>
      <c r="H180" s="220">
        <f t="shared" si="33"/>
        <v>7.03</v>
      </c>
      <c r="I180" s="257" t="str">
        <f t="shared" si="34"/>
        <v>6-7 years</v>
      </c>
      <c r="J180" s="211">
        <f t="shared" si="35"/>
        <v>0.83835616438356164</v>
      </c>
      <c r="K180" s="258">
        <f>$D180*J180*_xlfn.XLOOKUP($I180,'Sample Size cal and results'!$B$24:$B$25,'Sample Size cal and results'!$H$24:$H$25)</f>
        <v>118.91533746156547</v>
      </c>
      <c r="L180" s="211">
        <f t="shared" si="36"/>
        <v>0.16164383561643836</v>
      </c>
      <c r="M180" s="211">
        <f>$D180*L180*_xlfn.XLOOKUP($I180,'Sample Size cal and results'!$B$24:$B$25,'Sample Size cal and results'!$I$24:$I$25)</f>
        <v>23.524486937768177</v>
      </c>
      <c r="N180" s="214">
        <f t="shared" si="37"/>
        <v>142.43982439933365</v>
      </c>
      <c r="O180" s="225" t="str">
        <f t="shared" si="38"/>
        <v>7-8 years</v>
      </c>
      <c r="P180" s="226">
        <f t="shared" si="39"/>
        <v>0.95890410958904104</v>
      </c>
      <c r="Q180" s="227">
        <f>$D180*P180*_xlfn.XLOOKUP($O180,'Sample Size cal and results'!$B$26:$B$27,'Sample Size cal and results'!$I$26:$I$27)</f>
        <v>107.79085683870673</v>
      </c>
      <c r="R180" s="330"/>
    </row>
    <row r="181" spans="1:18" ht="12.75">
      <c r="A181" s="99" t="s">
        <v>146</v>
      </c>
      <c r="B181" s="100">
        <v>42049</v>
      </c>
      <c r="C181" s="100">
        <f t="shared" si="29"/>
        <v>44605</v>
      </c>
      <c r="D181" s="209">
        <v>153</v>
      </c>
      <c r="E181" s="217">
        <f t="shared" si="30"/>
        <v>5.04</v>
      </c>
      <c r="F181" s="218">
        <f t="shared" si="31"/>
        <v>6.03</v>
      </c>
      <c r="G181" s="219">
        <f t="shared" si="32"/>
        <v>6.04</v>
      </c>
      <c r="H181" s="220">
        <f t="shared" si="33"/>
        <v>7.03</v>
      </c>
      <c r="I181" s="257" t="str">
        <f t="shared" si="34"/>
        <v>6-7 years</v>
      </c>
      <c r="J181" s="211">
        <f t="shared" si="35"/>
        <v>0.83835616438356164</v>
      </c>
      <c r="K181" s="258">
        <f>$D181*J181*_xlfn.XLOOKUP($I181,'Sample Size cal and results'!$B$24:$B$25,'Sample Size cal and results'!$H$24:$H$25)</f>
        <v>105.16789960473709</v>
      </c>
      <c r="L181" s="211">
        <f t="shared" si="36"/>
        <v>0.16164383561643836</v>
      </c>
      <c r="M181" s="211">
        <f>$D181*L181*_xlfn.XLOOKUP($I181,'Sample Size cal and results'!$B$24:$B$25,'Sample Size cal and results'!$I$24:$I$25)</f>
        <v>20.804893072130238</v>
      </c>
      <c r="N181" s="214">
        <f t="shared" si="37"/>
        <v>125.97279267686733</v>
      </c>
      <c r="O181" s="225" t="str">
        <f t="shared" si="38"/>
        <v>7-8 years</v>
      </c>
      <c r="P181" s="226">
        <f t="shared" si="39"/>
        <v>0.95890410958904104</v>
      </c>
      <c r="Q181" s="227">
        <f>$D181*P181*_xlfn.XLOOKUP($O181,'Sample Size cal and results'!$B$26:$B$27,'Sample Size cal and results'!$I$26:$I$27)</f>
        <v>95.329486105908245</v>
      </c>
      <c r="R181" s="330"/>
    </row>
    <row r="182" spans="1:18" ht="12.75">
      <c r="A182" s="99" t="s">
        <v>148</v>
      </c>
      <c r="B182" s="100">
        <v>42049</v>
      </c>
      <c r="C182" s="100">
        <f t="shared" si="29"/>
        <v>44605</v>
      </c>
      <c r="D182" s="209">
        <v>64</v>
      </c>
      <c r="E182" s="217">
        <f t="shared" si="30"/>
        <v>5.04</v>
      </c>
      <c r="F182" s="218">
        <f t="shared" si="31"/>
        <v>6.03</v>
      </c>
      <c r="G182" s="219">
        <f t="shared" si="32"/>
        <v>6.04</v>
      </c>
      <c r="H182" s="220">
        <f t="shared" si="33"/>
        <v>7.03</v>
      </c>
      <c r="I182" s="257" t="str">
        <f t="shared" si="34"/>
        <v>6-7 years</v>
      </c>
      <c r="J182" s="211">
        <f t="shared" si="35"/>
        <v>0.83835616438356164</v>
      </c>
      <c r="K182" s="258">
        <f>$D182*J182*_xlfn.XLOOKUP($I182,'Sample Size cal and results'!$B$24:$B$25,'Sample Size cal and results'!$H$24:$H$25)</f>
        <v>43.991801141850814</v>
      </c>
      <c r="L182" s="211">
        <f t="shared" si="36"/>
        <v>0.16164383561643836</v>
      </c>
      <c r="M182" s="211">
        <f>$D182*L182*_xlfn.XLOOKUP($I182,'Sample Size cal and results'!$B$24:$B$25,'Sample Size cal and results'!$I$24:$I$25)</f>
        <v>8.7027003700414074</v>
      </c>
      <c r="N182" s="214">
        <f t="shared" si="37"/>
        <v>52.69450151189222</v>
      </c>
      <c r="O182" s="225" t="str">
        <f t="shared" si="38"/>
        <v>7-8 years</v>
      </c>
      <c r="P182" s="226">
        <f t="shared" si="39"/>
        <v>0.95890410958904104</v>
      </c>
      <c r="Q182" s="227">
        <f>$D182*P182*_xlfn.XLOOKUP($O182,'Sample Size cal and results'!$B$26:$B$27,'Sample Size cal and results'!$I$26:$I$27)</f>
        <v>39.876386344955087</v>
      </c>
      <c r="R182" s="330"/>
    </row>
    <row r="183" spans="1:18" ht="12.75">
      <c r="A183" s="99" t="s">
        <v>61</v>
      </c>
      <c r="B183" s="100">
        <v>42048</v>
      </c>
      <c r="C183" s="100">
        <f t="shared" si="29"/>
        <v>44604</v>
      </c>
      <c r="D183" s="209">
        <v>248</v>
      </c>
      <c r="E183" s="217">
        <f t="shared" si="30"/>
        <v>5.04</v>
      </c>
      <c r="F183" s="218">
        <f t="shared" si="31"/>
        <v>6.04</v>
      </c>
      <c r="G183" s="219">
        <f t="shared" si="32"/>
        <v>6.04</v>
      </c>
      <c r="H183" s="220">
        <f t="shared" si="33"/>
        <v>7.04</v>
      </c>
      <c r="I183" s="257" t="str">
        <f t="shared" si="34"/>
        <v>6-7 years</v>
      </c>
      <c r="J183" s="211">
        <f t="shared" si="35"/>
        <v>0.83835616438356164</v>
      </c>
      <c r="K183" s="258">
        <f>$D183*J183*_xlfn.XLOOKUP($I183,'Sample Size cal and results'!$B$24:$B$25,'Sample Size cal and results'!$H$24:$H$25)</f>
        <v>170.4682294246719</v>
      </c>
      <c r="L183" s="211">
        <f t="shared" si="36"/>
        <v>0.16164383561643836</v>
      </c>
      <c r="M183" s="211">
        <f>$D183*L183*_xlfn.XLOOKUP($I183,'Sample Size cal and results'!$B$24:$B$25,'Sample Size cal and results'!$I$24:$I$25)</f>
        <v>33.722963933910449</v>
      </c>
      <c r="N183" s="214">
        <f t="shared" si="37"/>
        <v>204.19119335858235</v>
      </c>
      <c r="O183" s="225" t="str">
        <f t="shared" si="38"/>
        <v>7-8 years</v>
      </c>
      <c r="P183" s="226">
        <f t="shared" si="39"/>
        <v>0.95616438356164379</v>
      </c>
      <c r="Q183" s="227">
        <f>$D183*P183*_xlfn.XLOOKUP($O183,'Sample Size cal and results'!$B$26:$B$27,'Sample Size cal and results'!$I$26:$I$27)</f>
        <v>154.0795085235961</v>
      </c>
      <c r="R183" s="330"/>
    </row>
    <row r="184" spans="1:18" ht="12.75">
      <c r="A184" s="99" t="s">
        <v>148</v>
      </c>
      <c r="B184" s="100">
        <v>42048</v>
      </c>
      <c r="C184" s="100">
        <f t="shared" si="29"/>
        <v>44604</v>
      </c>
      <c r="D184" s="209">
        <v>79</v>
      </c>
      <c r="E184" s="217">
        <f t="shared" si="30"/>
        <v>5.04</v>
      </c>
      <c r="F184" s="218">
        <f t="shared" si="31"/>
        <v>6.04</v>
      </c>
      <c r="G184" s="219">
        <f t="shared" si="32"/>
        <v>6.04</v>
      </c>
      <c r="H184" s="220">
        <f t="shared" si="33"/>
        <v>7.04</v>
      </c>
      <c r="I184" s="257" t="str">
        <f t="shared" si="34"/>
        <v>6-7 years</v>
      </c>
      <c r="J184" s="211">
        <f t="shared" si="35"/>
        <v>0.83835616438356164</v>
      </c>
      <c r="K184" s="258">
        <f>$D184*J184*_xlfn.XLOOKUP($I184,'Sample Size cal and results'!$B$24:$B$25,'Sample Size cal and results'!$H$24:$H$25)</f>
        <v>54.302379534472102</v>
      </c>
      <c r="L184" s="211">
        <f t="shared" si="36"/>
        <v>0.16164383561643836</v>
      </c>
      <c r="M184" s="211">
        <f>$D184*L184*_xlfn.XLOOKUP($I184,'Sample Size cal and results'!$B$24:$B$25,'Sample Size cal and results'!$I$24:$I$25)</f>
        <v>10.742395769269862</v>
      </c>
      <c r="N184" s="214">
        <f t="shared" si="37"/>
        <v>65.044775303741972</v>
      </c>
      <c r="O184" s="225" t="str">
        <f t="shared" si="38"/>
        <v>7-8 years</v>
      </c>
      <c r="P184" s="226">
        <f t="shared" si="39"/>
        <v>0.95616438356164379</v>
      </c>
      <c r="Q184" s="227">
        <f>$D184*P184*_xlfn.XLOOKUP($O184,'Sample Size cal and results'!$B$26:$B$27,'Sample Size cal and results'!$I$26:$I$27)</f>
        <v>49.081778924855215</v>
      </c>
      <c r="R184" s="330"/>
    </row>
    <row r="185" spans="1:18" ht="12.75">
      <c r="A185" s="99" t="s">
        <v>146</v>
      </c>
      <c r="B185" s="100">
        <v>42048</v>
      </c>
      <c r="C185" s="100">
        <f t="shared" si="29"/>
        <v>44604</v>
      </c>
      <c r="D185" s="209">
        <v>20</v>
      </c>
      <c r="E185" s="217">
        <f t="shared" si="30"/>
        <v>5.04</v>
      </c>
      <c r="F185" s="218">
        <f t="shared" si="31"/>
        <v>6.04</v>
      </c>
      <c r="G185" s="219">
        <f t="shared" si="32"/>
        <v>6.04</v>
      </c>
      <c r="H185" s="220">
        <f t="shared" si="33"/>
        <v>7.04</v>
      </c>
      <c r="I185" s="257" t="str">
        <f t="shared" si="34"/>
        <v>6-7 years</v>
      </c>
      <c r="J185" s="211">
        <f t="shared" si="35"/>
        <v>0.83835616438356164</v>
      </c>
      <c r="K185" s="258">
        <f>$D185*J185*_xlfn.XLOOKUP($I185,'Sample Size cal and results'!$B$24:$B$25,'Sample Size cal and results'!$H$24:$H$25)</f>
        <v>13.747437856828379</v>
      </c>
      <c r="L185" s="211">
        <f t="shared" si="36"/>
        <v>0.16164383561643836</v>
      </c>
      <c r="M185" s="211">
        <f>$D185*L185*_xlfn.XLOOKUP($I185,'Sample Size cal and results'!$B$24:$B$25,'Sample Size cal and results'!$I$24:$I$25)</f>
        <v>2.7195938656379397</v>
      </c>
      <c r="N185" s="214">
        <f t="shared" si="37"/>
        <v>16.467031722466317</v>
      </c>
      <c r="O185" s="225" t="str">
        <f t="shared" si="38"/>
        <v>7-8 years</v>
      </c>
      <c r="P185" s="226">
        <f t="shared" si="39"/>
        <v>0.95616438356164379</v>
      </c>
      <c r="Q185" s="227">
        <f>$D185*P185*_xlfn.XLOOKUP($O185,'Sample Size cal and results'!$B$26:$B$27,'Sample Size cal and results'!$I$26:$I$27)</f>
        <v>12.425766816419042</v>
      </c>
      <c r="R185" s="330"/>
    </row>
    <row r="186" spans="1:18" ht="12.75">
      <c r="A186" s="99" t="s">
        <v>61</v>
      </c>
      <c r="B186" s="100">
        <v>42047</v>
      </c>
      <c r="C186" s="100">
        <f t="shared" si="29"/>
        <v>44603</v>
      </c>
      <c r="D186" s="209">
        <v>307</v>
      </c>
      <c r="E186" s="217">
        <f t="shared" si="30"/>
        <v>5.04</v>
      </c>
      <c r="F186" s="218">
        <f t="shared" si="31"/>
        <v>6.04</v>
      </c>
      <c r="G186" s="219">
        <f t="shared" si="32"/>
        <v>6.04</v>
      </c>
      <c r="H186" s="220">
        <f t="shared" si="33"/>
        <v>7.04</v>
      </c>
      <c r="I186" s="257" t="str">
        <f t="shared" si="34"/>
        <v>6-7 years</v>
      </c>
      <c r="J186" s="211">
        <f t="shared" si="35"/>
        <v>0.83835616438356164</v>
      </c>
      <c r="K186" s="258">
        <f>$D186*J186*_xlfn.XLOOKUP($I186,'Sample Size cal and results'!$B$24:$B$25,'Sample Size cal and results'!$H$24:$H$25)</f>
        <v>211.02317110231562</v>
      </c>
      <c r="L186" s="211">
        <f t="shared" si="36"/>
        <v>0.16164383561643836</v>
      </c>
      <c r="M186" s="211">
        <f>$D186*L186*_xlfn.XLOOKUP($I186,'Sample Size cal and results'!$B$24:$B$25,'Sample Size cal and results'!$I$24:$I$25)</f>
        <v>41.745765837542372</v>
      </c>
      <c r="N186" s="214">
        <f t="shared" si="37"/>
        <v>252.76893693985798</v>
      </c>
      <c r="O186" s="225" t="str">
        <f t="shared" si="38"/>
        <v>7-8 years</v>
      </c>
      <c r="P186" s="226">
        <f t="shared" si="39"/>
        <v>0.95342465753424654</v>
      </c>
      <c r="Q186" s="227">
        <f>$D186*P186*_xlfn.XLOOKUP($O186,'Sample Size cal and results'!$B$26:$B$27,'Sample Size cal and results'!$I$26:$I$27)</f>
        <v>190.18900051560811</v>
      </c>
      <c r="R186" s="330"/>
    </row>
    <row r="187" spans="1:18" ht="12.75">
      <c r="A187" s="99" t="s">
        <v>148</v>
      </c>
      <c r="B187" s="100">
        <v>42047</v>
      </c>
      <c r="C187" s="100">
        <f t="shared" si="29"/>
        <v>44603</v>
      </c>
      <c r="D187" s="209">
        <v>59</v>
      </c>
      <c r="E187" s="217">
        <f t="shared" si="30"/>
        <v>5.04</v>
      </c>
      <c r="F187" s="218">
        <f t="shared" si="31"/>
        <v>6.04</v>
      </c>
      <c r="G187" s="219">
        <f t="shared" si="32"/>
        <v>6.04</v>
      </c>
      <c r="H187" s="220">
        <f t="shared" si="33"/>
        <v>7.04</v>
      </c>
      <c r="I187" s="257" t="str">
        <f t="shared" si="34"/>
        <v>6-7 years</v>
      </c>
      <c r="J187" s="211">
        <f t="shared" si="35"/>
        <v>0.83835616438356164</v>
      </c>
      <c r="K187" s="258">
        <f>$D187*J187*_xlfn.XLOOKUP($I187,'Sample Size cal and results'!$B$24:$B$25,'Sample Size cal and results'!$H$24:$H$25)</f>
        <v>40.554941677643718</v>
      </c>
      <c r="L187" s="211">
        <f t="shared" si="36"/>
        <v>0.16164383561643836</v>
      </c>
      <c r="M187" s="211">
        <f>$D187*L187*_xlfn.XLOOKUP($I187,'Sample Size cal and results'!$B$24:$B$25,'Sample Size cal and results'!$I$24:$I$25)</f>
        <v>8.0228019036319207</v>
      </c>
      <c r="N187" s="214">
        <f t="shared" si="37"/>
        <v>48.577743581275641</v>
      </c>
      <c r="O187" s="225" t="str">
        <f t="shared" si="38"/>
        <v>7-8 years</v>
      </c>
      <c r="P187" s="226">
        <f t="shared" si="39"/>
        <v>0.95342465753424654</v>
      </c>
      <c r="Q187" s="227">
        <f>$D187*P187*_xlfn.XLOOKUP($O187,'Sample Size cal and results'!$B$26:$B$27,'Sample Size cal and results'!$I$26:$I$27)</f>
        <v>36.550980555116872</v>
      </c>
      <c r="R187" s="330"/>
    </row>
    <row r="188" spans="1:18" ht="12.75">
      <c r="A188" s="99" t="s">
        <v>146</v>
      </c>
      <c r="B188" s="100">
        <v>42047</v>
      </c>
      <c r="C188" s="100">
        <f t="shared" si="29"/>
        <v>44603</v>
      </c>
      <c r="D188" s="209">
        <v>27</v>
      </c>
      <c r="E188" s="217">
        <f t="shared" si="30"/>
        <v>5.04</v>
      </c>
      <c r="F188" s="218">
        <f t="shared" si="31"/>
        <v>6.04</v>
      </c>
      <c r="G188" s="219">
        <f t="shared" si="32"/>
        <v>6.04</v>
      </c>
      <c r="H188" s="220">
        <f t="shared" si="33"/>
        <v>7.04</v>
      </c>
      <c r="I188" s="257" t="str">
        <f t="shared" si="34"/>
        <v>6-7 years</v>
      </c>
      <c r="J188" s="211">
        <f t="shared" si="35"/>
        <v>0.83835616438356164</v>
      </c>
      <c r="K188" s="258">
        <f>$D188*J188*_xlfn.XLOOKUP($I188,'Sample Size cal and results'!$B$24:$B$25,'Sample Size cal and results'!$H$24:$H$25)</f>
        <v>18.559041106718311</v>
      </c>
      <c r="L188" s="211">
        <f t="shared" si="36"/>
        <v>0.16164383561643836</v>
      </c>
      <c r="M188" s="211">
        <f>$D188*L188*_xlfn.XLOOKUP($I188,'Sample Size cal and results'!$B$24:$B$25,'Sample Size cal and results'!$I$24:$I$25)</f>
        <v>3.6714517186112183</v>
      </c>
      <c r="N188" s="214">
        <f t="shared" si="37"/>
        <v>22.230492825329531</v>
      </c>
      <c r="O188" s="225" t="str">
        <f t="shared" si="38"/>
        <v>7-8 years</v>
      </c>
      <c r="P188" s="226">
        <f t="shared" si="39"/>
        <v>0.95342465753424654</v>
      </c>
      <c r="Q188" s="227">
        <f>$D188*P188*_xlfn.XLOOKUP($O188,'Sample Size cal and results'!$B$26:$B$27,'Sample Size cal and results'!$I$26:$I$27)</f>
        <v>16.726719915053483</v>
      </c>
      <c r="R188" s="330"/>
    </row>
    <row r="189" spans="1:18" ht="12.75">
      <c r="A189" s="99" t="s">
        <v>61</v>
      </c>
      <c r="B189" s="100">
        <v>42046</v>
      </c>
      <c r="C189" s="100">
        <f t="shared" si="29"/>
        <v>44602</v>
      </c>
      <c r="D189" s="209">
        <v>243</v>
      </c>
      <c r="E189" s="217">
        <f t="shared" si="30"/>
        <v>5.05</v>
      </c>
      <c r="F189" s="218">
        <f t="shared" si="31"/>
        <v>6.04</v>
      </c>
      <c r="G189" s="219">
        <f t="shared" si="32"/>
        <v>6.05</v>
      </c>
      <c r="H189" s="220">
        <f t="shared" si="33"/>
        <v>7.04</v>
      </c>
      <c r="I189" s="257" t="str">
        <f t="shared" si="34"/>
        <v>6-7 years</v>
      </c>
      <c r="J189" s="211">
        <f t="shared" si="35"/>
        <v>0.83835616438356164</v>
      </c>
      <c r="K189" s="258">
        <f>$D189*J189*_xlfn.XLOOKUP($I189,'Sample Size cal and results'!$B$24:$B$25,'Sample Size cal and results'!$H$24:$H$25)</f>
        <v>167.03136996046481</v>
      </c>
      <c r="L189" s="211">
        <f t="shared" si="36"/>
        <v>0.16164383561643836</v>
      </c>
      <c r="M189" s="211">
        <f>$D189*L189*_xlfn.XLOOKUP($I189,'Sample Size cal and results'!$B$24:$B$25,'Sample Size cal and results'!$I$24:$I$25)</f>
        <v>33.043065467500966</v>
      </c>
      <c r="N189" s="214">
        <f t="shared" si="37"/>
        <v>200.0744354279658</v>
      </c>
      <c r="O189" s="225" t="str">
        <f t="shared" si="38"/>
        <v>7-8 years</v>
      </c>
      <c r="P189" s="226">
        <f t="shared" si="39"/>
        <v>0.9506849315068493</v>
      </c>
      <c r="Q189" s="227">
        <f>$D189*P189*_xlfn.XLOOKUP($O189,'Sample Size cal and results'!$B$26:$B$27,'Sample Size cal and results'!$I$26:$I$27)</f>
        <v>150.10789165147133</v>
      </c>
      <c r="R189" s="330"/>
    </row>
    <row r="190" spans="1:18" ht="12.75">
      <c r="A190" s="99" t="s">
        <v>148</v>
      </c>
      <c r="B190" s="100">
        <v>42046</v>
      </c>
      <c r="C190" s="100">
        <f t="shared" si="29"/>
        <v>44602</v>
      </c>
      <c r="D190" s="209">
        <v>59</v>
      </c>
      <c r="E190" s="217">
        <f t="shared" si="30"/>
        <v>5.05</v>
      </c>
      <c r="F190" s="218">
        <f t="shared" si="31"/>
        <v>6.04</v>
      </c>
      <c r="G190" s="219">
        <f t="shared" si="32"/>
        <v>6.05</v>
      </c>
      <c r="H190" s="220">
        <f t="shared" si="33"/>
        <v>7.04</v>
      </c>
      <c r="I190" s="257" t="str">
        <f t="shared" si="34"/>
        <v>6-7 years</v>
      </c>
      <c r="J190" s="211">
        <f t="shared" si="35"/>
        <v>0.83835616438356164</v>
      </c>
      <c r="K190" s="258">
        <f>$D190*J190*_xlfn.XLOOKUP($I190,'Sample Size cal and results'!$B$24:$B$25,'Sample Size cal and results'!$H$24:$H$25)</f>
        <v>40.554941677643718</v>
      </c>
      <c r="L190" s="211">
        <f t="shared" si="36"/>
        <v>0.16164383561643836</v>
      </c>
      <c r="M190" s="211">
        <f>$D190*L190*_xlfn.XLOOKUP($I190,'Sample Size cal and results'!$B$24:$B$25,'Sample Size cal and results'!$I$24:$I$25)</f>
        <v>8.0228019036319207</v>
      </c>
      <c r="N190" s="214">
        <f t="shared" si="37"/>
        <v>48.577743581275641</v>
      </c>
      <c r="O190" s="225" t="str">
        <f t="shared" si="38"/>
        <v>7-8 years</v>
      </c>
      <c r="P190" s="226">
        <f t="shared" si="39"/>
        <v>0.9506849315068493</v>
      </c>
      <c r="Q190" s="227">
        <f>$D190*P190*_xlfn.XLOOKUP($O190,'Sample Size cal and results'!$B$26:$B$27,'Sample Size cal and results'!$I$26:$I$27)</f>
        <v>36.445949001797565</v>
      </c>
      <c r="R190" s="330"/>
    </row>
    <row r="191" spans="1:18" ht="12.75">
      <c r="A191" s="99" t="s">
        <v>146</v>
      </c>
      <c r="B191" s="100">
        <v>42046</v>
      </c>
      <c r="C191" s="100">
        <f t="shared" si="29"/>
        <v>44602</v>
      </c>
      <c r="D191" s="209">
        <v>18</v>
      </c>
      <c r="E191" s="217">
        <f t="shared" si="30"/>
        <v>5.05</v>
      </c>
      <c r="F191" s="218">
        <f t="shared" si="31"/>
        <v>6.04</v>
      </c>
      <c r="G191" s="219">
        <f t="shared" si="32"/>
        <v>6.05</v>
      </c>
      <c r="H191" s="220">
        <f t="shared" si="33"/>
        <v>7.04</v>
      </c>
      <c r="I191" s="257" t="str">
        <f t="shared" si="34"/>
        <v>6-7 years</v>
      </c>
      <c r="J191" s="211">
        <f t="shared" si="35"/>
        <v>0.83835616438356164</v>
      </c>
      <c r="K191" s="258">
        <f>$D191*J191*_xlfn.XLOOKUP($I191,'Sample Size cal and results'!$B$24:$B$25,'Sample Size cal and results'!$H$24:$H$25)</f>
        <v>12.372694071145542</v>
      </c>
      <c r="L191" s="211">
        <f t="shared" si="36"/>
        <v>0.16164383561643836</v>
      </c>
      <c r="M191" s="211">
        <f>$D191*L191*_xlfn.XLOOKUP($I191,'Sample Size cal and results'!$B$24:$B$25,'Sample Size cal and results'!$I$24:$I$25)</f>
        <v>2.447634479074146</v>
      </c>
      <c r="N191" s="214">
        <f t="shared" si="37"/>
        <v>14.820328550219688</v>
      </c>
      <c r="O191" s="225" t="str">
        <f t="shared" si="38"/>
        <v>7-8 years</v>
      </c>
      <c r="P191" s="226">
        <f t="shared" si="39"/>
        <v>0.9506849315068493</v>
      </c>
      <c r="Q191" s="227">
        <f>$D191*P191*_xlfn.XLOOKUP($O191,'Sample Size cal and results'!$B$26:$B$27,'Sample Size cal and results'!$I$26:$I$27)</f>
        <v>11.119103085294173</v>
      </c>
      <c r="R191" s="330"/>
    </row>
    <row r="192" spans="1:18" ht="12.75">
      <c r="A192" s="99" t="s">
        <v>61</v>
      </c>
      <c r="B192" s="100">
        <v>42045</v>
      </c>
      <c r="C192" s="100">
        <f t="shared" si="29"/>
        <v>44601</v>
      </c>
      <c r="D192" s="209">
        <v>306</v>
      </c>
      <c r="E192" s="217">
        <f t="shared" si="30"/>
        <v>5.05</v>
      </c>
      <c r="F192" s="218">
        <f t="shared" si="31"/>
        <v>6.05</v>
      </c>
      <c r="G192" s="219">
        <f t="shared" si="32"/>
        <v>6.05</v>
      </c>
      <c r="H192" s="220">
        <f t="shared" si="33"/>
        <v>7.04</v>
      </c>
      <c r="I192" s="257" t="str">
        <f t="shared" si="34"/>
        <v>6-7 years</v>
      </c>
      <c r="J192" s="211">
        <f t="shared" si="35"/>
        <v>0.83835616438356164</v>
      </c>
      <c r="K192" s="258">
        <f>$D192*J192*_xlfn.XLOOKUP($I192,'Sample Size cal and results'!$B$24:$B$25,'Sample Size cal and results'!$H$24:$H$25)</f>
        <v>210.33579920947417</v>
      </c>
      <c r="L192" s="211">
        <f t="shared" si="36"/>
        <v>0.16164383561643836</v>
      </c>
      <c r="M192" s="211">
        <f>$D192*L192*_xlfn.XLOOKUP($I192,'Sample Size cal and results'!$B$24:$B$25,'Sample Size cal and results'!$I$24:$I$25)</f>
        <v>41.609786144260475</v>
      </c>
      <c r="N192" s="214">
        <f t="shared" si="37"/>
        <v>251.94558535373466</v>
      </c>
      <c r="O192" s="225" t="str">
        <f t="shared" si="38"/>
        <v>7-8 years</v>
      </c>
      <c r="P192" s="226">
        <f t="shared" si="39"/>
        <v>0.94794520547945205</v>
      </c>
      <c r="Q192" s="227">
        <f>$D192*P192*_xlfn.XLOOKUP($O192,'Sample Size cal and results'!$B$26:$B$27,'Sample Size cal and results'!$I$26:$I$27)</f>
        <v>188.48001252939576</v>
      </c>
      <c r="R192" s="330"/>
    </row>
    <row r="193" spans="1:18" ht="12.75">
      <c r="A193" s="99" t="s">
        <v>148</v>
      </c>
      <c r="B193" s="100">
        <v>42045</v>
      </c>
      <c r="C193" s="100">
        <f t="shared" si="29"/>
        <v>44601</v>
      </c>
      <c r="D193" s="209">
        <v>64</v>
      </c>
      <c r="E193" s="217">
        <f t="shared" si="30"/>
        <v>5.05</v>
      </c>
      <c r="F193" s="218">
        <f t="shared" si="31"/>
        <v>6.05</v>
      </c>
      <c r="G193" s="219">
        <f t="shared" si="32"/>
        <v>6.05</v>
      </c>
      <c r="H193" s="220">
        <f t="shared" si="33"/>
        <v>7.04</v>
      </c>
      <c r="I193" s="257" t="str">
        <f t="shared" si="34"/>
        <v>6-7 years</v>
      </c>
      <c r="J193" s="211">
        <f t="shared" si="35"/>
        <v>0.83835616438356164</v>
      </c>
      <c r="K193" s="258">
        <f>$D193*J193*_xlfn.XLOOKUP($I193,'Sample Size cal and results'!$B$24:$B$25,'Sample Size cal and results'!$H$24:$H$25)</f>
        <v>43.991801141850814</v>
      </c>
      <c r="L193" s="211">
        <f t="shared" si="36"/>
        <v>0.16164383561643836</v>
      </c>
      <c r="M193" s="211">
        <f>$D193*L193*_xlfn.XLOOKUP($I193,'Sample Size cal and results'!$B$24:$B$25,'Sample Size cal and results'!$I$24:$I$25)</f>
        <v>8.7027003700414074</v>
      </c>
      <c r="N193" s="214">
        <f t="shared" si="37"/>
        <v>52.69450151189222</v>
      </c>
      <c r="O193" s="225" t="str">
        <f t="shared" si="38"/>
        <v>7-8 years</v>
      </c>
      <c r="P193" s="226">
        <f t="shared" si="39"/>
        <v>0.94794520547945205</v>
      </c>
      <c r="Q193" s="227">
        <f>$D193*P193*_xlfn.XLOOKUP($O193,'Sample Size cal and results'!$B$26:$B$27,'Sample Size cal and results'!$I$26:$I$27)</f>
        <v>39.420656215298457</v>
      </c>
      <c r="R193" s="330"/>
    </row>
    <row r="194" spans="1:18" ht="12.75">
      <c r="A194" s="99" t="s">
        <v>146</v>
      </c>
      <c r="B194" s="100">
        <v>42045</v>
      </c>
      <c r="C194" s="100">
        <f t="shared" si="29"/>
        <v>44601</v>
      </c>
      <c r="D194" s="209">
        <v>20</v>
      </c>
      <c r="E194" s="217">
        <f t="shared" si="30"/>
        <v>5.05</v>
      </c>
      <c r="F194" s="218">
        <f t="shared" si="31"/>
        <v>6.05</v>
      </c>
      <c r="G194" s="219">
        <f t="shared" si="32"/>
        <v>6.05</v>
      </c>
      <c r="H194" s="220">
        <f t="shared" si="33"/>
        <v>7.04</v>
      </c>
      <c r="I194" s="257" t="str">
        <f t="shared" si="34"/>
        <v>6-7 years</v>
      </c>
      <c r="J194" s="211">
        <f t="shared" si="35"/>
        <v>0.83835616438356164</v>
      </c>
      <c r="K194" s="258">
        <f>$D194*J194*_xlfn.XLOOKUP($I194,'Sample Size cal and results'!$B$24:$B$25,'Sample Size cal and results'!$H$24:$H$25)</f>
        <v>13.747437856828379</v>
      </c>
      <c r="L194" s="211">
        <f t="shared" si="36"/>
        <v>0.16164383561643836</v>
      </c>
      <c r="M194" s="211">
        <f>$D194*L194*_xlfn.XLOOKUP($I194,'Sample Size cal and results'!$B$24:$B$25,'Sample Size cal and results'!$I$24:$I$25)</f>
        <v>2.7195938656379397</v>
      </c>
      <c r="N194" s="214">
        <f t="shared" si="37"/>
        <v>16.467031722466317</v>
      </c>
      <c r="O194" s="225" t="str">
        <f t="shared" si="38"/>
        <v>7-8 years</v>
      </c>
      <c r="P194" s="226">
        <f t="shared" si="39"/>
        <v>0.94794520547945205</v>
      </c>
      <c r="Q194" s="227">
        <f>$D194*P194*_xlfn.XLOOKUP($O194,'Sample Size cal and results'!$B$26:$B$27,'Sample Size cal and results'!$I$26:$I$27)</f>
        <v>12.31895506728077</v>
      </c>
      <c r="R194" s="330"/>
    </row>
    <row r="195" spans="1:18" ht="12.75">
      <c r="A195" s="99" t="s">
        <v>61</v>
      </c>
      <c r="B195" s="100">
        <v>42044</v>
      </c>
      <c r="C195" s="100">
        <f t="shared" ref="C195:C258" si="40">EDATE(B195,84)-1</f>
        <v>44600</v>
      </c>
      <c r="D195" s="209">
        <v>224</v>
      </c>
      <c r="E195" s="217">
        <f t="shared" ref="E195:E258" si="41">ROUNDDOWN(YEARFRAC($B195,$AB$4,1),2)</f>
        <v>5.05</v>
      </c>
      <c r="F195" s="218">
        <f t="shared" ref="F195:F258" si="42">ROUNDDOWN(YEARFRAC($B195,$AB$5,1),2)</f>
        <v>6.05</v>
      </c>
      <c r="G195" s="219">
        <f t="shared" ref="G195:G258" si="43">ROUNDDOWN(YEARFRAC($B195,$AC$4,1),2)</f>
        <v>6.05</v>
      </c>
      <c r="H195" s="220">
        <f t="shared" ref="H195:H258" si="44">ROUNDDOWN(YEARFRAC($B195,$AC$5,1),2)</f>
        <v>7.05</v>
      </c>
      <c r="I195" s="257" t="str">
        <f t="shared" ref="I195:I258" si="45">IF(DATEDIF($B195,$AB$5,"y")=5,"5-6 years","6-7 years")</f>
        <v>6-7 years</v>
      </c>
      <c r="J195" s="211">
        <f t="shared" ref="J195:J258" si="46">MAX(MIN($AC$7,C195)-MAX($AB$4,$B195,_xlfn.XLOOKUP($A195,$AE$3:$AE$37,$AF$3:$AF$37))+1,0)/365</f>
        <v>0.83835616438356164</v>
      </c>
      <c r="K195" s="258">
        <f>$D195*J195*_xlfn.XLOOKUP($I195,'Sample Size cal and results'!$B$24:$B$25,'Sample Size cal and results'!$H$24:$H$25)</f>
        <v>153.97130399647784</v>
      </c>
      <c r="L195" s="211">
        <f t="shared" ref="L195:L258" si="47">MAX(MIN($AB$5,C195)-MAX($AC$8,$B195,_xlfn.XLOOKUP($A195,$AE$3:$AE$37,$AF$3:$AF$37))+1,0)/365</f>
        <v>0.16164383561643836</v>
      </c>
      <c r="M195" s="211">
        <f>$D195*L195*_xlfn.XLOOKUP($I195,'Sample Size cal and results'!$B$24:$B$25,'Sample Size cal and results'!$I$24:$I$25)</f>
        <v>30.45945129514492</v>
      </c>
      <c r="N195" s="214">
        <f t="shared" ref="N195:N258" si="48">M195+K195</f>
        <v>184.43075529162277</v>
      </c>
      <c r="O195" s="225" t="str">
        <f t="shared" ref="O195:O258" si="49">IF(DATEDIF($B195,$AC$5,"y")=6,"6-7 years","7-8 years")</f>
        <v>7-8 years</v>
      </c>
      <c r="P195" s="226">
        <f t="shared" ref="P195:P258" si="50">MAX(MIN($AC$5,C195)-MAX($AC$4,$B195,_xlfn.XLOOKUP($A195,$AE$3:$AE$37,$AF$3:$AF$37))+1,0)/365</f>
        <v>0.9452054794520548</v>
      </c>
      <c r="Q195" s="227">
        <f>$D195*P195*_xlfn.XLOOKUP($O195,'Sample Size cal and results'!$B$26:$B$27,'Sample Size cal and results'!$I$26:$I$27)</f>
        <v>137.57353289009507</v>
      </c>
      <c r="R195" s="330"/>
    </row>
    <row r="196" spans="1:18" ht="12.75">
      <c r="A196" s="99" t="s">
        <v>148</v>
      </c>
      <c r="B196" s="100">
        <v>42044</v>
      </c>
      <c r="C196" s="100">
        <f t="shared" si="40"/>
        <v>44600</v>
      </c>
      <c r="D196" s="209">
        <v>54</v>
      </c>
      <c r="E196" s="217">
        <f t="shared" si="41"/>
        <v>5.05</v>
      </c>
      <c r="F196" s="218">
        <f t="shared" si="42"/>
        <v>6.05</v>
      </c>
      <c r="G196" s="219">
        <f t="shared" si="43"/>
        <v>6.05</v>
      </c>
      <c r="H196" s="220">
        <f t="shared" si="44"/>
        <v>7.05</v>
      </c>
      <c r="I196" s="257" t="str">
        <f t="shared" si="45"/>
        <v>6-7 years</v>
      </c>
      <c r="J196" s="211">
        <f t="shared" si="46"/>
        <v>0.83835616438356164</v>
      </c>
      <c r="K196" s="258">
        <f>$D196*J196*_xlfn.XLOOKUP($I196,'Sample Size cal and results'!$B$24:$B$25,'Sample Size cal and results'!$H$24:$H$25)</f>
        <v>37.118082213436622</v>
      </c>
      <c r="L196" s="211">
        <f t="shared" si="47"/>
        <v>0.16164383561643836</v>
      </c>
      <c r="M196" s="211">
        <f>$D196*L196*_xlfn.XLOOKUP($I196,'Sample Size cal and results'!$B$24:$B$25,'Sample Size cal and results'!$I$24:$I$25)</f>
        <v>7.3429034372224367</v>
      </c>
      <c r="N196" s="214">
        <f t="shared" si="48"/>
        <v>44.460985650659062</v>
      </c>
      <c r="O196" s="225" t="str">
        <f t="shared" si="49"/>
        <v>7-8 years</v>
      </c>
      <c r="P196" s="226">
        <f t="shared" si="50"/>
        <v>0.9452054794520548</v>
      </c>
      <c r="Q196" s="227">
        <f>$D196*P196*_xlfn.XLOOKUP($O196,'Sample Size cal and results'!$B$26:$B$27,'Sample Size cal and results'!$I$26:$I$27)</f>
        <v>33.165048107433627</v>
      </c>
      <c r="R196" s="330"/>
    </row>
    <row r="197" spans="1:18" ht="12.75">
      <c r="A197" s="99" t="s">
        <v>146</v>
      </c>
      <c r="B197" s="100">
        <v>42044</v>
      </c>
      <c r="C197" s="100">
        <f t="shared" si="40"/>
        <v>44600</v>
      </c>
      <c r="D197" s="209">
        <v>15</v>
      </c>
      <c r="E197" s="217">
        <f t="shared" si="41"/>
        <v>5.05</v>
      </c>
      <c r="F197" s="218">
        <f t="shared" si="42"/>
        <v>6.05</v>
      </c>
      <c r="G197" s="219">
        <f t="shared" si="43"/>
        <v>6.05</v>
      </c>
      <c r="H197" s="220">
        <f t="shared" si="44"/>
        <v>7.05</v>
      </c>
      <c r="I197" s="257" t="str">
        <f t="shared" si="45"/>
        <v>6-7 years</v>
      </c>
      <c r="J197" s="211">
        <f t="shared" si="46"/>
        <v>0.83835616438356164</v>
      </c>
      <c r="K197" s="258">
        <f>$D197*J197*_xlfn.XLOOKUP($I197,'Sample Size cal and results'!$B$24:$B$25,'Sample Size cal and results'!$H$24:$H$25)</f>
        <v>10.310578392621284</v>
      </c>
      <c r="L197" s="211">
        <f t="shared" si="47"/>
        <v>0.16164383561643836</v>
      </c>
      <c r="M197" s="211">
        <f>$D197*L197*_xlfn.XLOOKUP($I197,'Sample Size cal and results'!$B$24:$B$25,'Sample Size cal and results'!$I$24:$I$25)</f>
        <v>2.0396953992284548</v>
      </c>
      <c r="N197" s="214">
        <f t="shared" si="48"/>
        <v>12.350273791849739</v>
      </c>
      <c r="O197" s="225" t="str">
        <f t="shared" si="49"/>
        <v>7-8 years</v>
      </c>
      <c r="P197" s="226">
        <f t="shared" si="50"/>
        <v>0.9452054794520548</v>
      </c>
      <c r="Q197" s="227">
        <f>$D197*P197*_xlfn.XLOOKUP($O197,'Sample Size cal and results'!$B$26:$B$27,'Sample Size cal and results'!$I$26:$I$27)</f>
        <v>9.2125133631760079</v>
      </c>
      <c r="R197" s="330"/>
    </row>
    <row r="198" spans="1:18" ht="12.75">
      <c r="A198" s="99" t="s">
        <v>61</v>
      </c>
      <c r="B198" s="100">
        <v>42043</v>
      </c>
      <c r="C198" s="100">
        <f t="shared" si="40"/>
        <v>44599</v>
      </c>
      <c r="D198" s="209">
        <v>226</v>
      </c>
      <c r="E198" s="217">
        <f t="shared" si="41"/>
        <v>5.05</v>
      </c>
      <c r="F198" s="218">
        <f t="shared" si="42"/>
        <v>6.05</v>
      </c>
      <c r="G198" s="219">
        <f t="shared" si="43"/>
        <v>6.05</v>
      </c>
      <c r="H198" s="220">
        <f t="shared" si="44"/>
        <v>7.05</v>
      </c>
      <c r="I198" s="257" t="str">
        <f t="shared" si="45"/>
        <v>6-7 years</v>
      </c>
      <c r="J198" s="211">
        <f t="shared" si="46"/>
        <v>0.83835616438356164</v>
      </c>
      <c r="K198" s="258">
        <f>$D198*J198*_xlfn.XLOOKUP($I198,'Sample Size cal and results'!$B$24:$B$25,'Sample Size cal and results'!$H$24:$H$25)</f>
        <v>155.3460477821607</v>
      </c>
      <c r="L198" s="211">
        <f t="shared" si="47"/>
        <v>0.16164383561643836</v>
      </c>
      <c r="M198" s="211">
        <f>$D198*L198*_xlfn.XLOOKUP($I198,'Sample Size cal and results'!$B$24:$B$25,'Sample Size cal and results'!$I$24:$I$25)</f>
        <v>30.73141068170872</v>
      </c>
      <c r="N198" s="214">
        <f t="shared" si="48"/>
        <v>186.07745846386942</v>
      </c>
      <c r="O198" s="225" t="str">
        <f t="shared" si="49"/>
        <v>7-8 years</v>
      </c>
      <c r="P198" s="226">
        <f t="shared" si="50"/>
        <v>0.94246575342465755</v>
      </c>
      <c r="Q198" s="227">
        <f>$D198*P198*_xlfn.XLOOKUP($O198,'Sample Size cal and results'!$B$26:$B$27,'Sample Size cal and results'!$I$26:$I$27)</f>
        <v>138.39954375009771</v>
      </c>
      <c r="R198" s="330"/>
    </row>
    <row r="199" spans="1:18" ht="12.75">
      <c r="A199" s="99" t="s">
        <v>148</v>
      </c>
      <c r="B199" s="100">
        <v>42043</v>
      </c>
      <c r="C199" s="100">
        <f t="shared" si="40"/>
        <v>44599</v>
      </c>
      <c r="D199" s="209">
        <v>59</v>
      </c>
      <c r="E199" s="217">
        <f t="shared" si="41"/>
        <v>5.05</v>
      </c>
      <c r="F199" s="218">
        <f t="shared" si="42"/>
        <v>6.05</v>
      </c>
      <c r="G199" s="219">
        <f t="shared" si="43"/>
        <v>6.05</v>
      </c>
      <c r="H199" s="220">
        <f t="shared" si="44"/>
        <v>7.05</v>
      </c>
      <c r="I199" s="257" t="str">
        <f t="shared" si="45"/>
        <v>6-7 years</v>
      </c>
      <c r="J199" s="211">
        <f t="shared" si="46"/>
        <v>0.83835616438356164</v>
      </c>
      <c r="K199" s="258">
        <f>$D199*J199*_xlfn.XLOOKUP($I199,'Sample Size cal and results'!$B$24:$B$25,'Sample Size cal and results'!$H$24:$H$25)</f>
        <v>40.554941677643718</v>
      </c>
      <c r="L199" s="211">
        <f t="shared" si="47"/>
        <v>0.16164383561643836</v>
      </c>
      <c r="M199" s="211">
        <f>$D199*L199*_xlfn.XLOOKUP($I199,'Sample Size cal and results'!$B$24:$B$25,'Sample Size cal and results'!$I$24:$I$25)</f>
        <v>8.0228019036319207</v>
      </c>
      <c r="N199" s="214">
        <f t="shared" si="48"/>
        <v>48.577743581275641</v>
      </c>
      <c r="O199" s="225" t="str">
        <f t="shared" si="49"/>
        <v>7-8 years</v>
      </c>
      <c r="P199" s="226">
        <f t="shared" si="50"/>
        <v>0.94246575342465755</v>
      </c>
      <c r="Q199" s="227">
        <f>$D199*P199*_xlfn.XLOOKUP($O199,'Sample Size cal and results'!$B$26:$B$27,'Sample Size cal and results'!$I$26:$I$27)</f>
        <v>36.130854341839665</v>
      </c>
      <c r="R199" s="330"/>
    </row>
    <row r="200" spans="1:18" ht="12.75">
      <c r="A200" s="99" t="s">
        <v>146</v>
      </c>
      <c r="B200" s="100">
        <v>42043</v>
      </c>
      <c r="C200" s="100">
        <f t="shared" si="40"/>
        <v>44599</v>
      </c>
      <c r="D200" s="209">
        <v>20</v>
      </c>
      <c r="E200" s="217">
        <f t="shared" si="41"/>
        <v>5.05</v>
      </c>
      <c r="F200" s="218">
        <f t="shared" si="42"/>
        <v>6.05</v>
      </c>
      <c r="G200" s="219">
        <f t="shared" si="43"/>
        <v>6.05</v>
      </c>
      <c r="H200" s="220">
        <f t="shared" si="44"/>
        <v>7.05</v>
      </c>
      <c r="I200" s="257" t="str">
        <f t="shared" si="45"/>
        <v>6-7 years</v>
      </c>
      <c r="J200" s="211">
        <f t="shared" si="46"/>
        <v>0.83835616438356164</v>
      </c>
      <c r="K200" s="258">
        <f>$D200*J200*_xlfn.XLOOKUP($I200,'Sample Size cal and results'!$B$24:$B$25,'Sample Size cal and results'!$H$24:$H$25)</f>
        <v>13.747437856828379</v>
      </c>
      <c r="L200" s="211">
        <f t="shared" si="47"/>
        <v>0.16164383561643836</v>
      </c>
      <c r="M200" s="211">
        <f>$D200*L200*_xlfn.XLOOKUP($I200,'Sample Size cal and results'!$B$24:$B$25,'Sample Size cal and results'!$I$24:$I$25)</f>
        <v>2.7195938656379397</v>
      </c>
      <c r="N200" s="214">
        <f t="shared" si="48"/>
        <v>16.467031722466317</v>
      </c>
      <c r="O200" s="225" t="str">
        <f t="shared" si="49"/>
        <v>7-8 years</v>
      </c>
      <c r="P200" s="226">
        <f t="shared" si="50"/>
        <v>0.94246575342465755</v>
      </c>
      <c r="Q200" s="227">
        <f>$D200*P200*_xlfn.XLOOKUP($O200,'Sample Size cal and results'!$B$26:$B$27,'Sample Size cal and results'!$I$26:$I$27)</f>
        <v>12.24774723452192</v>
      </c>
      <c r="R200" s="330"/>
    </row>
    <row r="201" spans="1:18" ht="12.75">
      <c r="A201" s="99" t="s">
        <v>61</v>
      </c>
      <c r="B201" s="100">
        <v>42042</v>
      </c>
      <c r="C201" s="100">
        <f t="shared" si="40"/>
        <v>44598</v>
      </c>
      <c r="D201" s="209">
        <v>231</v>
      </c>
      <c r="E201" s="217">
        <f t="shared" si="41"/>
        <v>5.0599999999999996</v>
      </c>
      <c r="F201" s="218">
        <f t="shared" si="42"/>
        <v>6.05</v>
      </c>
      <c r="G201" s="219">
        <f t="shared" si="43"/>
        <v>6.06</v>
      </c>
      <c r="H201" s="220">
        <f t="shared" si="44"/>
        <v>7.05</v>
      </c>
      <c r="I201" s="257" t="str">
        <f t="shared" si="45"/>
        <v>6-7 years</v>
      </c>
      <c r="J201" s="211">
        <f t="shared" si="46"/>
        <v>0.83835616438356164</v>
      </c>
      <c r="K201" s="258">
        <f>$D201*J201*_xlfn.XLOOKUP($I201,'Sample Size cal and results'!$B$24:$B$25,'Sample Size cal and results'!$H$24:$H$25)</f>
        <v>158.78290724636778</v>
      </c>
      <c r="L201" s="211">
        <f t="shared" si="47"/>
        <v>0.16164383561643836</v>
      </c>
      <c r="M201" s="211">
        <f>$D201*L201*_xlfn.XLOOKUP($I201,'Sample Size cal and results'!$B$24:$B$25,'Sample Size cal and results'!$I$24:$I$25)</f>
        <v>31.411309148118203</v>
      </c>
      <c r="N201" s="214">
        <f t="shared" si="48"/>
        <v>190.19421639448598</v>
      </c>
      <c r="O201" s="225" t="str">
        <f t="shared" si="49"/>
        <v>7-8 years</v>
      </c>
      <c r="P201" s="226">
        <f t="shared" si="50"/>
        <v>0.9397260273972603</v>
      </c>
      <c r="Q201" s="227">
        <f>$D201*P201*_xlfn.XLOOKUP($O201,'Sample Size cal and results'!$B$26:$B$27,'Sample Size cal and results'!$I$26:$I$27)</f>
        <v>141.05025532454582</v>
      </c>
      <c r="R201" s="330"/>
    </row>
    <row r="202" spans="1:18" ht="12.75">
      <c r="A202" s="99" t="s">
        <v>148</v>
      </c>
      <c r="B202" s="100">
        <v>42042</v>
      </c>
      <c r="C202" s="100">
        <f t="shared" si="40"/>
        <v>44598</v>
      </c>
      <c r="D202" s="209">
        <v>58</v>
      </c>
      <c r="E202" s="217">
        <f t="shared" si="41"/>
        <v>5.0599999999999996</v>
      </c>
      <c r="F202" s="218">
        <f t="shared" si="42"/>
        <v>6.05</v>
      </c>
      <c r="G202" s="219">
        <f t="shared" si="43"/>
        <v>6.06</v>
      </c>
      <c r="H202" s="220">
        <f t="shared" si="44"/>
        <v>7.05</v>
      </c>
      <c r="I202" s="257" t="str">
        <f t="shared" si="45"/>
        <v>6-7 years</v>
      </c>
      <c r="J202" s="211">
        <f t="shared" si="46"/>
        <v>0.83835616438356164</v>
      </c>
      <c r="K202" s="258">
        <f>$D202*J202*_xlfn.XLOOKUP($I202,'Sample Size cal and results'!$B$24:$B$25,'Sample Size cal and results'!$H$24:$H$25)</f>
        <v>39.867569784802299</v>
      </c>
      <c r="L202" s="211">
        <f t="shared" si="47"/>
        <v>0.16164383561643836</v>
      </c>
      <c r="M202" s="211">
        <f>$D202*L202*_xlfn.XLOOKUP($I202,'Sample Size cal and results'!$B$24:$B$25,'Sample Size cal and results'!$I$24:$I$25)</f>
        <v>7.886822210350025</v>
      </c>
      <c r="N202" s="214">
        <f t="shared" si="48"/>
        <v>47.754391995152325</v>
      </c>
      <c r="O202" s="225" t="str">
        <f t="shared" si="49"/>
        <v>7-8 years</v>
      </c>
      <c r="P202" s="226">
        <f t="shared" si="50"/>
        <v>0.9397260273972603</v>
      </c>
      <c r="Q202" s="227">
        <f>$D202*P202*_xlfn.XLOOKUP($O202,'Sample Size cal and results'!$B$26:$B$27,'Sample Size cal and results'!$I$26:$I$27)</f>
        <v>35.415215622613239</v>
      </c>
      <c r="R202" s="330"/>
    </row>
    <row r="203" spans="1:18" ht="12.75">
      <c r="A203" s="99" t="s">
        <v>146</v>
      </c>
      <c r="B203" s="100">
        <v>42042</v>
      </c>
      <c r="C203" s="100">
        <f t="shared" si="40"/>
        <v>44598</v>
      </c>
      <c r="D203" s="209">
        <v>23</v>
      </c>
      <c r="E203" s="217">
        <f t="shared" si="41"/>
        <v>5.0599999999999996</v>
      </c>
      <c r="F203" s="218">
        <f t="shared" si="42"/>
        <v>6.05</v>
      </c>
      <c r="G203" s="219">
        <f t="shared" si="43"/>
        <v>6.06</v>
      </c>
      <c r="H203" s="220">
        <f t="shared" si="44"/>
        <v>7.05</v>
      </c>
      <c r="I203" s="257" t="str">
        <f t="shared" si="45"/>
        <v>6-7 years</v>
      </c>
      <c r="J203" s="211">
        <f t="shared" si="46"/>
        <v>0.83835616438356164</v>
      </c>
      <c r="K203" s="258">
        <f>$D203*J203*_xlfn.XLOOKUP($I203,'Sample Size cal and results'!$B$24:$B$25,'Sample Size cal and results'!$H$24:$H$25)</f>
        <v>15.809553535352636</v>
      </c>
      <c r="L203" s="211">
        <f t="shared" si="47"/>
        <v>0.16164383561643836</v>
      </c>
      <c r="M203" s="211">
        <f>$D203*L203*_xlfn.XLOOKUP($I203,'Sample Size cal and results'!$B$24:$B$25,'Sample Size cal and results'!$I$24:$I$25)</f>
        <v>3.1275329454836305</v>
      </c>
      <c r="N203" s="214">
        <f t="shared" si="48"/>
        <v>18.937086480836268</v>
      </c>
      <c r="O203" s="225" t="str">
        <f t="shared" si="49"/>
        <v>7-8 years</v>
      </c>
      <c r="P203" s="226">
        <f t="shared" si="50"/>
        <v>0.9397260273972603</v>
      </c>
      <c r="Q203" s="227">
        <f>$D203*P203*_xlfn.XLOOKUP($O203,'Sample Size cal and results'!$B$26:$B$27,'Sample Size cal and results'!$I$26:$I$27)</f>
        <v>14.043964815863871</v>
      </c>
      <c r="R203" s="330"/>
    </row>
    <row r="204" spans="1:18" ht="12.75">
      <c r="A204" s="99" t="s">
        <v>61</v>
      </c>
      <c r="B204" s="100">
        <v>42041</v>
      </c>
      <c r="C204" s="100">
        <f t="shared" si="40"/>
        <v>44597</v>
      </c>
      <c r="D204" s="209">
        <v>183</v>
      </c>
      <c r="E204" s="217">
        <f t="shared" si="41"/>
        <v>5.0599999999999996</v>
      </c>
      <c r="F204" s="218">
        <f t="shared" si="42"/>
        <v>6.06</v>
      </c>
      <c r="G204" s="219">
        <f t="shared" si="43"/>
        <v>6.06</v>
      </c>
      <c r="H204" s="220">
        <f t="shared" si="44"/>
        <v>7.06</v>
      </c>
      <c r="I204" s="257" t="str">
        <f t="shared" si="45"/>
        <v>6-7 years</v>
      </c>
      <c r="J204" s="211">
        <f t="shared" si="46"/>
        <v>0.83835616438356164</v>
      </c>
      <c r="K204" s="258">
        <f>$D204*J204*_xlfn.XLOOKUP($I204,'Sample Size cal and results'!$B$24:$B$25,'Sample Size cal and results'!$H$24:$H$25)</f>
        <v>125.78905638997968</v>
      </c>
      <c r="L204" s="211">
        <f t="shared" si="47"/>
        <v>0.16164383561643836</v>
      </c>
      <c r="M204" s="211">
        <f>$D204*L204*_xlfn.XLOOKUP($I204,'Sample Size cal and results'!$B$24:$B$25,'Sample Size cal and results'!$I$24:$I$25)</f>
        <v>24.884283870587147</v>
      </c>
      <c r="N204" s="214">
        <f t="shared" si="48"/>
        <v>150.67334026056682</v>
      </c>
      <c r="O204" s="225" t="str">
        <f t="shared" si="49"/>
        <v>7-8 years</v>
      </c>
      <c r="P204" s="226">
        <f t="shared" si="50"/>
        <v>0.93698630136986305</v>
      </c>
      <c r="Q204" s="227">
        <f>$D204*P204*_xlfn.XLOOKUP($O204,'Sample Size cal and results'!$B$26:$B$27,'Sample Size cal and results'!$I$26:$I$27)</f>
        <v>111.41533552613211</v>
      </c>
      <c r="R204" s="330"/>
    </row>
    <row r="205" spans="1:18" ht="12.75">
      <c r="A205" s="99" t="s">
        <v>148</v>
      </c>
      <c r="B205" s="100">
        <v>42041</v>
      </c>
      <c r="C205" s="100">
        <f t="shared" si="40"/>
        <v>44597</v>
      </c>
      <c r="D205" s="209">
        <v>49</v>
      </c>
      <c r="E205" s="217">
        <f t="shared" si="41"/>
        <v>5.0599999999999996</v>
      </c>
      <c r="F205" s="218">
        <f t="shared" si="42"/>
        <v>6.06</v>
      </c>
      <c r="G205" s="219">
        <f t="shared" si="43"/>
        <v>6.06</v>
      </c>
      <c r="H205" s="220">
        <f t="shared" si="44"/>
        <v>7.06</v>
      </c>
      <c r="I205" s="257" t="str">
        <f t="shared" si="45"/>
        <v>6-7 years</v>
      </c>
      <c r="J205" s="211">
        <f t="shared" si="46"/>
        <v>0.83835616438356164</v>
      </c>
      <c r="K205" s="258">
        <f>$D205*J205*_xlfn.XLOOKUP($I205,'Sample Size cal and results'!$B$24:$B$25,'Sample Size cal and results'!$H$24:$H$25)</f>
        <v>33.681222749229526</v>
      </c>
      <c r="L205" s="211">
        <f t="shared" si="47"/>
        <v>0.16164383561643836</v>
      </c>
      <c r="M205" s="211">
        <f>$D205*L205*_xlfn.XLOOKUP($I205,'Sample Size cal and results'!$B$24:$B$25,'Sample Size cal and results'!$I$24:$I$25)</f>
        <v>6.6630049708129517</v>
      </c>
      <c r="N205" s="214">
        <f t="shared" si="48"/>
        <v>40.344227720042475</v>
      </c>
      <c r="O205" s="225" t="str">
        <f t="shared" si="49"/>
        <v>7-8 years</v>
      </c>
      <c r="P205" s="226">
        <f t="shared" si="50"/>
        <v>0.93698630136986305</v>
      </c>
      <c r="Q205" s="227">
        <f>$D205*P205*_xlfn.XLOOKUP($O205,'Sample Size cal and results'!$B$26:$B$27,'Sample Size cal and results'!$I$26:$I$27)</f>
        <v>29.832521534319529</v>
      </c>
      <c r="R205" s="330"/>
    </row>
    <row r="206" spans="1:18" ht="12.75">
      <c r="A206" s="99" t="s">
        <v>146</v>
      </c>
      <c r="B206" s="100">
        <v>42041</v>
      </c>
      <c r="C206" s="100">
        <f t="shared" si="40"/>
        <v>44597</v>
      </c>
      <c r="D206" s="209">
        <v>12</v>
      </c>
      <c r="E206" s="217">
        <f t="shared" si="41"/>
        <v>5.0599999999999996</v>
      </c>
      <c r="F206" s="218">
        <f t="shared" si="42"/>
        <v>6.06</v>
      </c>
      <c r="G206" s="219">
        <f t="shared" si="43"/>
        <v>6.06</v>
      </c>
      <c r="H206" s="220">
        <f t="shared" si="44"/>
        <v>7.06</v>
      </c>
      <c r="I206" s="257" t="str">
        <f t="shared" si="45"/>
        <v>6-7 years</v>
      </c>
      <c r="J206" s="211">
        <f t="shared" si="46"/>
        <v>0.83835616438356164</v>
      </c>
      <c r="K206" s="258">
        <f>$D206*J206*_xlfn.XLOOKUP($I206,'Sample Size cal and results'!$B$24:$B$25,'Sample Size cal and results'!$H$24:$H$25)</f>
        <v>8.2484627140970268</v>
      </c>
      <c r="L206" s="211">
        <f t="shared" si="47"/>
        <v>0.16164383561643836</v>
      </c>
      <c r="M206" s="211">
        <f>$D206*L206*_xlfn.XLOOKUP($I206,'Sample Size cal and results'!$B$24:$B$25,'Sample Size cal and results'!$I$24:$I$25)</f>
        <v>1.6317563193827638</v>
      </c>
      <c r="N206" s="214">
        <f t="shared" si="48"/>
        <v>9.8802190334797899</v>
      </c>
      <c r="O206" s="225" t="str">
        <f t="shared" si="49"/>
        <v>7-8 years</v>
      </c>
      <c r="P206" s="226">
        <f t="shared" si="50"/>
        <v>0.93698630136986305</v>
      </c>
      <c r="Q206" s="227">
        <f>$D206*P206*_xlfn.XLOOKUP($O206,'Sample Size cal and results'!$B$26:$B$27,'Sample Size cal and results'!$I$26:$I$27)</f>
        <v>7.3059236410578441</v>
      </c>
      <c r="R206" s="330"/>
    </row>
    <row r="207" spans="1:18" ht="12.75">
      <c r="A207" s="99" t="s">
        <v>61</v>
      </c>
      <c r="B207" s="100">
        <v>42040</v>
      </c>
      <c r="C207" s="100">
        <f t="shared" si="40"/>
        <v>44596</v>
      </c>
      <c r="D207" s="209">
        <v>239</v>
      </c>
      <c r="E207" s="217">
        <f t="shared" si="41"/>
        <v>5.0599999999999996</v>
      </c>
      <c r="F207" s="218">
        <f t="shared" si="42"/>
        <v>6.06</v>
      </c>
      <c r="G207" s="219">
        <f t="shared" si="43"/>
        <v>6.06</v>
      </c>
      <c r="H207" s="220">
        <f t="shared" si="44"/>
        <v>7.06</v>
      </c>
      <c r="I207" s="257" t="str">
        <f t="shared" si="45"/>
        <v>6-7 years</v>
      </c>
      <c r="J207" s="211">
        <f t="shared" si="46"/>
        <v>0.83835616438356164</v>
      </c>
      <c r="K207" s="258">
        <f>$D207*J207*_xlfn.XLOOKUP($I207,'Sample Size cal and results'!$B$24:$B$25,'Sample Size cal and results'!$H$24:$H$25)</f>
        <v>164.28188238909914</v>
      </c>
      <c r="L207" s="211">
        <f t="shared" si="47"/>
        <v>0.16164383561643836</v>
      </c>
      <c r="M207" s="211">
        <f>$D207*L207*_xlfn.XLOOKUP($I207,'Sample Size cal and results'!$B$24:$B$25,'Sample Size cal and results'!$I$24:$I$25)</f>
        <v>32.49914669437338</v>
      </c>
      <c r="N207" s="214">
        <f t="shared" si="48"/>
        <v>196.7810290834725</v>
      </c>
      <c r="O207" s="225" t="str">
        <f t="shared" si="49"/>
        <v>7-8 years</v>
      </c>
      <c r="P207" s="226">
        <f t="shared" si="50"/>
        <v>0.9342465753424658</v>
      </c>
      <c r="Q207" s="227">
        <f>$D207*P207*_xlfn.XLOOKUP($O207,'Sample Size cal and results'!$B$26:$B$27,'Sample Size cal and results'!$I$26:$I$27)</f>
        <v>145.0841790503346</v>
      </c>
      <c r="R207" s="330"/>
    </row>
    <row r="208" spans="1:18" ht="12.75">
      <c r="A208" s="99" t="s">
        <v>148</v>
      </c>
      <c r="B208" s="100">
        <v>42040</v>
      </c>
      <c r="C208" s="100">
        <f t="shared" si="40"/>
        <v>44596</v>
      </c>
      <c r="D208" s="209">
        <v>49</v>
      </c>
      <c r="E208" s="217">
        <f t="shared" si="41"/>
        <v>5.0599999999999996</v>
      </c>
      <c r="F208" s="218">
        <f t="shared" si="42"/>
        <v>6.06</v>
      </c>
      <c r="G208" s="219">
        <f t="shared" si="43"/>
        <v>6.06</v>
      </c>
      <c r="H208" s="220">
        <f t="shared" si="44"/>
        <v>7.06</v>
      </c>
      <c r="I208" s="257" t="str">
        <f t="shared" si="45"/>
        <v>6-7 years</v>
      </c>
      <c r="J208" s="211">
        <f t="shared" si="46"/>
        <v>0.83835616438356164</v>
      </c>
      <c r="K208" s="258">
        <f>$D208*J208*_xlfn.XLOOKUP($I208,'Sample Size cal and results'!$B$24:$B$25,'Sample Size cal and results'!$H$24:$H$25)</f>
        <v>33.681222749229526</v>
      </c>
      <c r="L208" s="211">
        <f t="shared" si="47"/>
        <v>0.16164383561643836</v>
      </c>
      <c r="M208" s="211">
        <f>$D208*L208*_xlfn.XLOOKUP($I208,'Sample Size cal and results'!$B$24:$B$25,'Sample Size cal and results'!$I$24:$I$25)</f>
        <v>6.6630049708129517</v>
      </c>
      <c r="N208" s="214">
        <f t="shared" si="48"/>
        <v>40.344227720042475</v>
      </c>
      <c r="O208" s="225" t="str">
        <f t="shared" si="49"/>
        <v>7-8 years</v>
      </c>
      <c r="P208" s="226">
        <f t="shared" si="50"/>
        <v>0.9342465753424658</v>
      </c>
      <c r="Q208" s="227">
        <f>$D208*P208*_xlfn.XLOOKUP($O208,'Sample Size cal and results'!$B$26:$B$27,'Sample Size cal and results'!$I$26:$I$27)</f>
        <v>29.74529193918994</v>
      </c>
      <c r="R208" s="330"/>
    </row>
    <row r="209" spans="1:18" ht="12.75">
      <c r="A209" s="99" t="s">
        <v>146</v>
      </c>
      <c r="B209" s="100">
        <v>42040</v>
      </c>
      <c r="C209" s="100">
        <f t="shared" si="40"/>
        <v>44596</v>
      </c>
      <c r="D209" s="209">
        <v>14</v>
      </c>
      <c r="E209" s="217">
        <f t="shared" si="41"/>
        <v>5.0599999999999996</v>
      </c>
      <c r="F209" s="218">
        <f t="shared" si="42"/>
        <v>6.06</v>
      </c>
      <c r="G209" s="219">
        <f t="shared" si="43"/>
        <v>6.06</v>
      </c>
      <c r="H209" s="220">
        <f t="shared" si="44"/>
        <v>7.06</v>
      </c>
      <c r="I209" s="257" t="str">
        <f t="shared" si="45"/>
        <v>6-7 years</v>
      </c>
      <c r="J209" s="211">
        <f t="shared" si="46"/>
        <v>0.83835616438356164</v>
      </c>
      <c r="K209" s="258">
        <f>$D209*J209*_xlfn.XLOOKUP($I209,'Sample Size cal and results'!$B$24:$B$25,'Sample Size cal and results'!$H$24:$H$25)</f>
        <v>9.6232064997798652</v>
      </c>
      <c r="L209" s="211">
        <f t="shared" si="47"/>
        <v>0.16164383561643836</v>
      </c>
      <c r="M209" s="211">
        <f>$D209*L209*_xlfn.XLOOKUP($I209,'Sample Size cal and results'!$B$24:$B$25,'Sample Size cal and results'!$I$24:$I$25)</f>
        <v>1.9037157059465575</v>
      </c>
      <c r="N209" s="214">
        <f t="shared" si="48"/>
        <v>11.526922205726423</v>
      </c>
      <c r="O209" s="225" t="str">
        <f t="shared" si="49"/>
        <v>7-8 years</v>
      </c>
      <c r="P209" s="226">
        <f t="shared" si="50"/>
        <v>0.9342465753424658</v>
      </c>
      <c r="Q209" s="227">
        <f>$D209*P209*_xlfn.XLOOKUP($O209,'Sample Size cal and results'!$B$26:$B$27,'Sample Size cal and results'!$I$26:$I$27)</f>
        <v>8.4986548397685535</v>
      </c>
      <c r="R209" s="330"/>
    </row>
    <row r="210" spans="1:18" ht="12.75">
      <c r="A210" s="99" t="s">
        <v>61</v>
      </c>
      <c r="B210" s="100">
        <v>42039</v>
      </c>
      <c r="C210" s="100">
        <f t="shared" si="40"/>
        <v>44595</v>
      </c>
      <c r="D210" s="209">
        <v>198</v>
      </c>
      <c r="E210" s="217">
        <f t="shared" si="41"/>
        <v>5.0599999999999996</v>
      </c>
      <c r="F210" s="218">
        <f t="shared" si="42"/>
        <v>6.06</v>
      </c>
      <c r="G210" s="219">
        <f t="shared" si="43"/>
        <v>6.06</v>
      </c>
      <c r="H210" s="220">
        <f t="shared" si="44"/>
        <v>7.06</v>
      </c>
      <c r="I210" s="257" t="str">
        <f t="shared" si="45"/>
        <v>6-7 years</v>
      </c>
      <c r="J210" s="211">
        <f t="shared" si="46"/>
        <v>0.83835616438356164</v>
      </c>
      <c r="K210" s="258">
        <f>$D210*J210*_xlfn.XLOOKUP($I210,'Sample Size cal and results'!$B$24:$B$25,'Sample Size cal and results'!$H$24:$H$25)</f>
        <v>136.09963478260096</v>
      </c>
      <c r="L210" s="211">
        <f t="shared" si="47"/>
        <v>0.16164383561643836</v>
      </c>
      <c r="M210" s="211">
        <f>$D210*L210*_xlfn.XLOOKUP($I210,'Sample Size cal and results'!$B$24:$B$25,'Sample Size cal and results'!$I$24:$I$25)</f>
        <v>26.9239792698156</v>
      </c>
      <c r="N210" s="214">
        <f t="shared" si="48"/>
        <v>163.02361405241655</v>
      </c>
      <c r="O210" s="225" t="str">
        <f t="shared" si="49"/>
        <v>7-8 years</v>
      </c>
      <c r="P210" s="226">
        <f t="shared" si="50"/>
        <v>0.93150684931506844</v>
      </c>
      <c r="Q210" s="227">
        <f>$D210*P210*_xlfn.XLOOKUP($O210,'Sample Size cal and results'!$B$26:$B$27,'Sample Size cal and results'!$I$26:$I$27)</f>
        <v>119.8427825331418</v>
      </c>
      <c r="R210" s="330"/>
    </row>
    <row r="211" spans="1:18" ht="12.75">
      <c r="A211" s="99" t="s">
        <v>148</v>
      </c>
      <c r="B211" s="100">
        <v>42039</v>
      </c>
      <c r="C211" s="100">
        <f t="shared" si="40"/>
        <v>44595</v>
      </c>
      <c r="D211" s="209">
        <v>50</v>
      </c>
      <c r="E211" s="217">
        <f t="shared" si="41"/>
        <v>5.0599999999999996</v>
      </c>
      <c r="F211" s="218">
        <f t="shared" si="42"/>
        <v>6.06</v>
      </c>
      <c r="G211" s="219">
        <f t="shared" si="43"/>
        <v>6.06</v>
      </c>
      <c r="H211" s="220">
        <f t="shared" si="44"/>
        <v>7.06</v>
      </c>
      <c r="I211" s="257" t="str">
        <f t="shared" si="45"/>
        <v>6-7 years</v>
      </c>
      <c r="J211" s="211">
        <f t="shared" si="46"/>
        <v>0.83835616438356164</v>
      </c>
      <c r="K211" s="258">
        <f>$D211*J211*_xlfn.XLOOKUP($I211,'Sample Size cal and results'!$B$24:$B$25,'Sample Size cal and results'!$H$24:$H$25)</f>
        <v>34.368594642070946</v>
      </c>
      <c r="L211" s="211">
        <f t="shared" si="47"/>
        <v>0.16164383561643836</v>
      </c>
      <c r="M211" s="211">
        <f>$D211*L211*_xlfn.XLOOKUP($I211,'Sample Size cal and results'!$B$24:$B$25,'Sample Size cal and results'!$I$24:$I$25)</f>
        <v>6.7989846640948484</v>
      </c>
      <c r="N211" s="214">
        <f t="shared" si="48"/>
        <v>41.167579306165791</v>
      </c>
      <c r="O211" s="225" t="str">
        <f t="shared" si="49"/>
        <v>7-8 years</v>
      </c>
      <c r="P211" s="226">
        <f t="shared" si="50"/>
        <v>0.93150684931506844</v>
      </c>
      <c r="Q211" s="227">
        <f>$D211*P211*_xlfn.XLOOKUP($O211,'Sample Size cal and results'!$B$26:$B$27,'Sample Size cal and results'!$I$26:$I$27)</f>
        <v>30.263328922510556</v>
      </c>
      <c r="R211" s="330"/>
    </row>
    <row r="212" spans="1:18" ht="12.75">
      <c r="A212" s="99" t="s">
        <v>146</v>
      </c>
      <c r="B212" s="100">
        <v>42039</v>
      </c>
      <c r="C212" s="100">
        <f t="shared" si="40"/>
        <v>44595</v>
      </c>
      <c r="D212" s="209">
        <v>8</v>
      </c>
      <c r="E212" s="217">
        <f t="shared" si="41"/>
        <v>5.0599999999999996</v>
      </c>
      <c r="F212" s="218">
        <f t="shared" si="42"/>
        <v>6.06</v>
      </c>
      <c r="G212" s="219">
        <f t="shared" si="43"/>
        <v>6.06</v>
      </c>
      <c r="H212" s="220">
        <f t="shared" si="44"/>
        <v>7.06</v>
      </c>
      <c r="I212" s="257" t="str">
        <f t="shared" si="45"/>
        <v>6-7 years</v>
      </c>
      <c r="J212" s="211">
        <f t="shared" si="46"/>
        <v>0.83835616438356164</v>
      </c>
      <c r="K212" s="258">
        <f>$D212*J212*_xlfn.XLOOKUP($I212,'Sample Size cal and results'!$B$24:$B$25,'Sample Size cal and results'!$H$24:$H$25)</f>
        <v>5.4989751427313518</v>
      </c>
      <c r="L212" s="211">
        <f t="shared" si="47"/>
        <v>0.16164383561643836</v>
      </c>
      <c r="M212" s="211">
        <f>$D212*L212*_xlfn.XLOOKUP($I212,'Sample Size cal and results'!$B$24:$B$25,'Sample Size cal and results'!$I$24:$I$25)</f>
        <v>1.0878375462551759</v>
      </c>
      <c r="N212" s="214">
        <f t="shared" si="48"/>
        <v>6.5868126889865275</v>
      </c>
      <c r="O212" s="225" t="str">
        <f t="shared" si="49"/>
        <v>7-8 years</v>
      </c>
      <c r="P212" s="226">
        <f t="shared" si="50"/>
        <v>0.93150684931506844</v>
      </c>
      <c r="Q212" s="227">
        <f>$D212*P212*_xlfn.XLOOKUP($O212,'Sample Size cal and results'!$B$26:$B$27,'Sample Size cal and results'!$I$26:$I$27)</f>
        <v>4.8421326276016892</v>
      </c>
      <c r="R212" s="330"/>
    </row>
    <row r="213" spans="1:18" ht="12.75">
      <c r="A213" s="99" t="s">
        <v>61</v>
      </c>
      <c r="B213" s="100">
        <v>42038</v>
      </c>
      <c r="C213" s="100">
        <f t="shared" si="40"/>
        <v>44594</v>
      </c>
      <c r="D213" s="209">
        <v>212</v>
      </c>
      <c r="E213" s="217">
        <f t="shared" si="41"/>
        <v>5.07</v>
      </c>
      <c r="F213" s="218">
        <f t="shared" si="42"/>
        <v>6.06</v>
      </c>
      <c r="G213" s="219">
        <f t="shared" si="43"/>
        <v>6.07</v>
      </c>
      <c r="H213" s="220">
        <f t="shared" si="44"/>
        <v>7.06</v>
      </c>
      <c r="I213" s="257" t="str">
        <f t="shared" si="45"/>
        <v>6-7 years</v>
      </c>
      <c r="J213" s="211">
        <f t="shared" si="46"/>
        <v>0.83835616438356164</v>
      </c>
      <c r="K213" s="258">
        <f>$D213*J213*_xlfn.XLOOKUP($I213,'Sample Size cal and results'!$B$24:$B$25,'Sample Size cal and results'!$H$24:$H$25)</f>
        <v>145.72284128238081</v>
      </c>
      <c r="L213" s="211">
        <f t="shared" si="47"/>
        <v>0.16164383561643836</v>
      </c>
      <c r="M213" s="211">
        <f>$D213*L213*_xlfn.XLOOKUP($I213,'Sample Size cal and results'!$B$24:$B$25,'Sample Size cal and results'!$I$24:$I$25)</f>
        <v>28.82769497576216</v>
      </c>
      <c r="N213" s="214">
        <f t="shared" si="48"/>
        <v>174.55053625814298</v>
      </c>
      <c r="O213" s="225" t="str">
        <f t="shared" si="49"/>
        <v>7-8 years</v>
      </c>
      <c r="P213" s="226">
        <f t="shared" si="50"/>
        <v>0.92876712328767119</v>
      </c>
      <c r="Q213" s="227">
        <f>$D213*P213*_xlfn.XLOOKUP($O213,'Sample Size cal and results'!$B$26:$B$27,'Sample Size cal and results'!$I$26:$I$27)</f>
        <v>127.93911311782287</v>
      </c>
      <c r="R213" s="330"/>
    </row>
    <row r="214" spans="1:18" ht="12.75">
      <c r="A214" s="99" t="s">
        <v>148</v>
      </c>
      <c r="B214" s="100">
        <v>42038</v>
      </c>
      <c r="C214" s="100">
        <f t="shared" si="40"/>
        <v>44594</v>
      </c>
      <c r="D214" s="209">
        <v>51</v>
      </c>
      <c r="E214" s="217">
        <f t="shared" si="41"/>
        <v>5.07</v>
      </c>
      <c r="F214" s="218">
        <f t="shared" si="42"/>
        <v>6.06</v>
      </c>
      <c r="G214" s="219">
        <f t="shared" si="43"/>
        <v>6.07</v>
      </c>
      <c r="H214" s="220">
        <f t="shared" si="44"/>
        <v>7.06</v>
      </c>
      <c r="I214" s="257" t="str">
        <f t="shared" si="45"/>
        <v>6-7 years</v>
      </c>
      <c r="J214" s="211">
        <f t="shared" si="46"/>
        <v>0.83835616438356164</v>
      </c>
      <c r="K214" s="258">
        <f>$D214*J214*_xlfn.XLOOKUP($I214,'Sample Size cal and results'!$B$24:$B$25,'Sample Size cal and results'!$H$24:$H$25)</f>
        <v>35.055966534912365</v>
      </c>
      <c r="L214" s="211">
        <f t="shared" si="47"/>
        <v>0.16164383561643836</v>
      </c>
      <c r="M214" s="211">
        <f>$D214*L214*_xlfn.XLOOKUP($I214,'Sample Size cal and results'!$B$24:$B$25,'Sample Size cal and results'!$I$24:$I$25)</f>
        <v>6.9349643573767468</v>
      </c>
      <c r="N214" s="214">
        <f t="shared" si="48"/>
        <v>41.990930892289114</v>
      </c>
      <c r="O214" s="225" t="str">
        <f t="shared" si="49"/>
        <v>7-8 years</v>
      </c>
      <c r="P214" s="226">
        <f t="shared" si="50"/>
        <v>0.92876712328767119</v>
      </c>
      <c r="Q214" s="227">
        <f>$D214*P214*_xlfn.XLOOKUP($O214,'Sample Size cal and results'!$B$26:$B$27,'Sample Size cal and results'!$I$26:$I$27)</f>
        <v>30.77780551419324</v>
      </c>
      <c r="R214" s="330"/>
    </row>
    <row r="215" spans="1:18" ht="12.75">
      <c r="A215" s="99" t="s">
        <v>146</v>
      </c>
      <c r="B215" s="100">
        <v>42038</v>
      </c>
      <c r="C215" s="100">
        <f t="shared" si="40"/>
        <v>44594</v>
      </c>
      <c r="D215" s="209">
        <v>8</v>
      </c>
      <c r="E215" s="217">
        <f t="shared" si="41"/>
        <v>5.07</v>
      </c>
      <c r="F215" s="218">
        <f t="shared" si="42"/>
        <v>6.06</v>
      </c>
      <c r="G215" s="219">
        <f t="shared" si="43"/>
        <v>6.07</v>
      </c>
      <c r="H215" s="220">
        <f t="shared" si="44"/>
        <v>7.06</v>
      </c>
      <c r="I215" s="257" t="str">
        <f t="shared" si="45"/>
        <v>6-7 years</v>
      </c>
      <c r="J215" s="211">
        <f t="shared" si="46"/>
        <v>0.83835616438356164</v>
      </c>
      <c r="K215" s="258">
        <f>$D215*J215*_xlfn.XLOOKUP($I215,'Sample Size cal and results'!$B$24:$B$25,'Sample Size cal and results'!$H$24:$H$25)</f>
        <v>5.4989751427313518</v>
      </c>
      <c r="L215" s="211">
        <f t="shared" si="47"/>
        <v>0.16164383561643836</v>
      </c>
      <c r="M215" s="211">
        <f>$D215*L215*_xlfn.XLOOKUP($I215,'Sample Size cal and results'!$B$24:$B$25,'Sample Size cal and results'!$I$24:$I$25)</f>
        <v>1.0878375462551759</v>
      </c>
      <c r="N215" s="214">
        <f t="shared" si="48"/>
        <v>6.5868126889865275</v>
      </c>
      <c r="O215" s="225" t="str">
        <f t="shared" si="49"/>
        <v>7-8 years</v>
      </c>
      <c r="P215" s="226">
        <f t="shared" si="50"/>
        <v>0.92876712328767119</v>
      </c>
      <c r="Q215" s="227">
        <f>$D215*P215*_xlfn.XLOOKUP($O215,'Sample Size cal and results'!$B$26:$B$27,'Sample Size cal and results'!$I$26:$I$27)</f>
        <v>4.8278910610499199</v>
      </c>
      <c r="R215" s="330"/>
    </row>
    <row r="216" spans="1:18" ht="12.75">
      <c r="A216" s="99" t="s">
        <v>61</v>
      </c>
      <c r="B216" s="100">
        <v>42037</v>
      </c>
      <c r="C216" s="100">
        <f t="shared" si="40"/>
        <v>44593</v>
      </c>
      <c r="D216" s="209">
        <v>234</v>
      </c>
      <c r="E216" s="217">
        <f t="shared" si="41"/>
        <v>5.07</v>
      </c>
      <c r="F216" s="218">
        <f t="shared" si="42"/>
        <v>6.07</v>
      </c>
      <c r="G216" s="219">
        <f t="shared" si="43"/>
        <v>6.07</v>
      </c>
      <c r="H216" s="220">
        <f t="shared" si="44"/>
        <v>7.07</v>
      </c>
      <c r="I216" s="257" t="str">
        <f t="shared" si="45"/>
        <v>6-7 years</v>
      </c>
      <c r="J216" s="211">
        <f t="shared" si="46"/>
        <v>0.83835616438356164</v>
      </c>
      <c r="K216" s="258">
        <f>$D216*J216*_xlfn.XLOOKUP($I216,'Sample Size cal and results'!$B$24:$B$25,'Sample Size cal and results'!$H$24:$H$25)</f>
        <v>160.84502292489205</v>
      </c>
      <c r="L216" s="211">
        <f t="shared" si="47"/>
        <v>0.16164383561643836</v>
      </c>
      <c r="M216" s="211">
        <f>$D216*L216*_xlfn.XLOOKUP($I216,'Sample Size cal and results'!$B$24:$B$25,'Sample Size cal and results'!$I$24:$I$25)</f>
        <v>31.819248227963893</v>
      </c>
      <c r="N216" s="214">
        <f t="shared" si="48"/>
        <v>192.66427115285595</v>
      </c>
      <c r="O216" s="225" t="str">
        <f t="shared" si="49"/>
        <v>7-8 years</v>
      </c>
      <c r="P216" s="226">
        <f t="shared" si="50"/>
        <v>0.92602739726027394</v>
      </c>
      <c r="Q216" s="227">
        <f>$D216*P216*_xlfn.XLOOKUP($O216,'Sample Size cal and results'!$B$26:$B$27,'Sample Size cal and results'!$I$26:$I$27)</f>
        <v>140.79924771407087</v>
      </c>
      <c r="R216" s="330"/>
    </row>
    <row r="217" spans="1:18" ht="12.75">
      <c r="A217" s="99" t="s">
        <v>148</v>
      </c>
      <c r="B217" s="100">
        <v>42037</v>
      </c>
      <c r="C217" s="100">
        <f t="shared" si="40"/>
        <v>44593</v>
      </c>
      <c r="D217" s="209">
        <v>53</v>
      </c>
      <c r="E217" s="217">
        <f t="shared" si="41"/>
        <v>5.07</v>
      </c>
      <c r="F217" s="218">
        <f t="shared" si="42"/>
        <v>6.07</v>
      </c>
      <c r="G217" s="219">
        <f t="shared" si="43"/>
        <v>6.07</v>
      </c>
      <c r="H217" s="220">
        <f t="shared" si="44"/>
        <v>7.07</v>
      </c>
      <c r="I217" s="257" t="str">
        <f t="shared" si="45"/>
        <v>6-7 years</v>
      </c>
      <c r="J217" s="211">
        <f t="shared" si="46"/>
        <v>0.83835616438356164</v>
      </c>
      <c r="K217" s="258">
        <f>$D217*J217*_xlfn.XLOOKUP($I217,'Sample Size cal and results'!$B$24:$B$25,'Sample Size cal and results'!$H$24:$H$25)</f>
        <v>36.430710320595203</v>
      </c>
      <c r="L217" s="211">
        <f t="shared" si="47"/>
        <v>0.16164383561643836</v>
      </c>
      <c r="M217" s="211">
        <f>$D217*L217*_xlfn.XLOOKUP($I217,'Sample Size cal and results'!$B$24:$B$25,'Sample Size cal and results'!$I$24:$I$25)</f>
        <v>7.20692374394054</v>
      </c>
      <c r="N217" s="214">
        <f t="shared" si="48"/>
        <v>43.637634064535746</v>
      </c>
      <c r="O217" s="225" t="str">
        <f t="shared" si="49"/>
        <v>7-8 years</v>
      </c>
      <c r="P217" s="226">
        <f t="shared" si="50"/>
        <v>0.92602739726027394</v>
      </c>
      <c r="Q217" s="227">
        <f>$D217*P217*_xlfn.XLOOKUP($O217,'Sample Size cal and results'!$B$26:$B$27,'Sample Size cal and results'!$I$26:$I$27)</f>
        <v>31.890427901050241</v>
      </c>
      <c r="R217" s="330"/>
    </row>
    <row r="218" spans="1:18" ht="12.75">
      <c r="A218" s="99" t="s">
        <v>146</v>
      </c>
      <c r="B218" s="100">
        <v>42037</v>
      </c>
      <c r="C218" s="100">
        <f t="shared" si="40"/>
        <v>44593</v>
      </c>
      <c r="D218" s="209">
        <v>10</v>
      </c>
      <c r="E218" s="217">
        <f t="shared" si="41"/>
        <v>5.07</v>
      </c>
      <c r="F218" s="218">
        <f t="shared" si="42"/>
        <v>6.07</v>
      </c>
      <c r="G218" s="219">
        <f t="shared" si="43"/>
        <v>6.07</v>
      </c>
      <c r="H218" s="220">
        <f t="shared" si="44"/>
        <v>7.07</v>
      </c>
      <c r="I218" s="257" t="str">
        <f t="shared" si="45"/>
        <v>6-7 years</v>
      </c>
      <c r="J218" s="211">
        <f t="shared" si="46"/>
        <v>0.83835616438356164</v>
      </c>
      <c r="K218" s="258">
        <f>$D218*J218*_xlfn.XLOOKUP($I218,'Sample Size cal and results'!$B$24:$B$25,'Sample Size cal and results'!$H$24:$H$25)</f>
        <v>6.8737189284141893</v>
      </c>
      <c r="L218" s="211">
        <f t="shared" si="47"/>
        <v>0.16164383561643836</v>
      </c>
      <c r="M218" s="211">
        <f>$D218*L218*_xlfn.XLOOKUP($I218,'Sample Size cal and results'!$B$24:$B$25,'Sample Size cal and results'!$I$24:$I$25)</f>
        <v>1.3597969328189699</v>
      </c>
      <c r="N218" s="214">
        <f t="shared" si="48"/>
        <v>8.2335158612331583</v>
      </c>
      <c r="O218" s="225" t="str">
        <f t="shared" si="49"/>
        <v>7-8 years</v>
      </c>
      <c r="P218" s="226">
        <f t="shared" si="50"/>
        <v>0.92602739726027394</v>
      </c>
      <c r="Q218" s="227">
        <f>$D218*P218*_xlfn.XLOOKUP($O218,'Sample Size cal and results'!$B$26:$B$27,'Sample Size cal and results'!$I$26:$I$27)</f>
        <v>6.0170618681226875</v>
      </c>
      <c r="R218" s="330"/>
    </row>
    <row r="219" spans="1:18" ht="12.75">
      <c r="A219" s="99" t="s">
        <v>61</v>
      </c>
      <c r="B219" s="100">
        <v>42036</v>
      </c>
      <c r="C219" s="100">
        <f t="shared" si="40"/>
        <v>44592</v>
      </c>
      <c r="D219" s="209">
        <v>713</v>
      </c>
      <c r="E219" s="217">
        <f t="shared" si="41"/>
        <v>5.07</v>
      </c>
      <c r="F219" s="218">
        <f t="shared" si="42"/>
        <v>6.07</v>
      </c>
      <c r="G219" s="219">
        <f t="shared" si="43"/>
        <v>6.07</v>
      </c>
      <c r="H219" s="220">
        <f t="shared" si="44"/>
        <v>7.07</v>
      </c>
      <c r="I219" s="257" t="str">
        <f t="shared" si="45"/>
        <v>6-7 years</v>
      </c>
      <c r="J219" s="211">
        <f t="shared" si="46"/>
        <v>0.83835616438356164</v>
      </c>
      <c r="K219" s="258">
        <f>$D219*J219*_xlfn.XLOOKUP($I219,'Sample Size cal and results'!$B$24:$B$25,'Sample Size cal and results'!$H$24:$H$25)</f>
        <v>490.09615959593174</v>
      </c>
      <c r="L219" s="211">
        <f t="shared" si="47"/>
        <v>0.16164383561643836</v>
      </c>
      <c r="M219" s="211">
        <f>$D219*L219*_xlfn.XLOOKUP($I219,'Sample Size cal and results'!$B$24:$B$25,'Sample Size cal and results'!$I$24:$I$25)</f>
        <v>96.953521309992539</v>
      </c>
      <c r="N219" s="214">
        <f t="shared" si="48"/>
        <v>587.04968090592433</v>
      </c>
      <c r="O219" s="225" t="str">
        <f t="shared" si="49"/>
        <v>7-8 years</v>
      </c>
      <c r="P219" s="226">
        <f t="shared" si="50"/>
        <v>0.92328767123287669</v>
      </c>
      <c r="Q219" s="227">
        <f>$D219*P219*_xlfn.XLOOKUP($O219,'Sample Size cal and results'!$B$26:$B$27,'Sample Size cal and results'!$I$26:$I$27)</f>
        <v>427.74723157822115</v>
      </c>
      <c r="R219" s="330"/>
    </row>
    <row r="220" spans="1:18" ht="12.75">
      <c r="A220" s="99" t="s">
        <v>148</v>
      </c>
      <c r="B220" s="100">
        <v>42036</v>
      </c>
      <c r="C220" s="100">
        <f t="shared" si="40"/>
        <v>44592</v>
      </c>
      <c r="D220" s="209">
        <v>27</v>
      </c>
      <c r="E220" s="217">
        <f t="shared" si="41"/>
        <v>5.07</v>
      </c>
      <c r="F220" s="218">
        <f t="shared" si="42"/>
        <v>6.07</v>
      </c>
      <c r="G220" s="219">
        <f t="shared" si="43"/>
        <v>6.07</v>
      </c>
      <c r="H220" s="220">
        <f t="shared" si="44"/>
        <v>7.07</v>
      </c>
      <c r="I220" s="257" t="str">
        <f t="shared" si="45"/>
        <v>6-7 years</v>
      </c>
      <c r="J220" s="211">
        <f t="shared" si="46"/>
        <v>0.83835616438356164</v>
      </c>
      <c r="K220" s="258">
        <f>$D220*J220*_xlfn.XLOOKUP($I220,'Sample Size cal and results'!$B$24:$B$25,'Sample Size cal and results'!$H$24:$H$25)</f>
        <v>18.559041106718311</v>
      </c>
      <c r="L220" s="211">
        <f t="shared" si="47"/>
        <v>0.16164383561643836</v>
      </c>
      <c r="M220" s="211">
        <f>$D220*L220*_xlfn.XLOOKUP($I220,'Sample Size cal and results'!$B$24:$B$25,'Sample Size cal and results'!$I$24:$I$25)</f>
        <v>3.6714517186112183</v>
      </c>
      <c r="N220" s="214">
        <f t="shared" si="48"/>
        <v>22.230492825329531</v>
      </c>
      <c r="O220" s="225" t="str">
        <f t="shared" si="49"/>
        <v>7-8 years</v>
      </c>
      <c r="P220" s="226">
        <f t="shared" si="50"/>
        <v>0.92328767123287669</v>
      </c>
      <c r="Q220" s="227">
        <f>$D220*P220*_xlfn.XLOOKUP($O220,'Sample Size cal and results'!$B$26:$B$27,'Sample Size cal and results'!$I$26:$I$27)</f>
        <v>16.198001756819032</v>
      </c>
      <c r="R220" s="330"/>
    </row>
    <row r="221" spans="1:18" ht="12.75">
      <c r="A221" s="99" t="s">
        <v>146</v>
      </c>
      <c r="B221" s="100">
        <v>42036</v>
      </c>
      <c r="C221" s="100">
        <f t="shared" si="40"/>
        <v>44592</v>
      </c>
      <c r="D221" s="209">
        <v>10</v>
      </c>
      <c r="E221" s="217">
        <f t="shared" si="41"/>
        <v>5.07</v>
      </c>
      <c r="F221" s="218">
        <f t="shared" si="42"/>
        <v>6.07</v>
      </c>
      <c r="G221" s="219">
        <f t="shared" si="43"/>
        <v>6.07</v>
      </c>
      <c r="H221" s="220">
        <f t="shared" si="44"/>
        <v>7.07</v>
      </c>
      <c r="I221" s="257" t="str">
        <f t="shared" si="45"/>
        <v>6-7 years</v>
      </c>
      <c r="J221" s="211">
        <f t="shared" si="46"/>
        <v>0.83835616438356164</v>
      </c>
      <c r="K221" s="258">
        <f>$D221*J221*_xlfn.XLOOKUP($I221,'Sample Size cal and results'!$B$24:$B$25,'Sample Size cal and results'!$H$24:$H$25)</f>
        <v>6.8737189284141893</v>
      </c>
      <c r="L221" s="211">
        <f t="shared" si="47"/>
        <v>0.16164383561643836</v>
      </c>
      <c r="M221" s="211">
        <f>$D221*L221*_xlfn.XLOOKUP($I221,'Sample Size cal and results'!$B$24:$B$25,'Sample Size cal and results'!$I$24:$I$25)</f>
        <v>1.3597969328189699</v>
      </c>
      <c r="N221" s="214">
        <f t="shared" si="48"/>
        <v>8.2335158612331583</v>
      </c>
      <c r="O221" s="225" t="str">
        <f t="shared" si="49"/>
        <v>7-8 years</v>
      </c>
      <c r="P221" s="226">
        <f t="shared" si="50"/>
        <v>0.92328767123287669</v>
      </c>
      <c r="Q221" s="227">
        <f>$D221*P221*_xlfn.XLOOKUP($O221,'Sample Size cal and results'!$B$26:$B$27,'Sample Size cal and results'!$I$26:$I$27)</f>
        <v>5.9992599099329755</v>
      </c>
      <c r="R221" s="330"/>
    </row>
    <row r="222" spans="1:18" ht="12.75">
      <c r="A222" s="99" t="s">
        <v>61</v>
      </c>
      <c r="B222" s="100">
        <v>42035</v>
      </c>
      <c r="C222" s="100">
        <f t="shared" si="40"/>
        <v>44591</v>
      </c>
      <c r="D222" s="209">
        <v>175</v>
      </c>
      <c r="E222" s="217">
        <f t="shared" si="41"/>
        <v>5.08</v>
      </c>
      <c r="F222" s="218">
        <f t="shared" si="42"/>
        <v>6.07</v>
      </c>
      <c r="G222" s="219">
        <f t="shared" si="43"/>
        <v>6.08</v>
      </c>
      <c r="H222" s="220">
        <f t="shared" si="44"/>
        <v>7.07</v>
      </c>
      <c r="I222" s="257" t="str">
        <f t="shared" si="45"/>
        <v>6-7 years</v>
      </c>
      <c r="J222" s="211">
        <f t="shared" si="46"/>
        <v>0.83835616438356164</v>
      </c>
      <c r="K222" s="258">
        <f>$D222*J222*_xlfn.XLOOKUP($I222,'Sample Size cal and results'!$B$24:$B$25,'Sample Size cal and results'!$H$24:$H$25)</f>
        <v>120.29008124724832</v>
      </c>
      <c r="L222" s="211">
        <f t="shared" si="47"/>
        <v>0.16164383561643836</v>
      </c>
      <c r="M222" s="211">
        <f>$D222*L222*_xlfn.XLOOKUP($I222,'Sample Size cal and results'!$B$24:$B$25,'Sample Size cal and results'!$I$24:$I$25)</f>
        <v>23.796446324331971</v>
      </c>
      <c r="N222" s="214">
        <f t="shared" si="48"/>
        <v>144.08652757158029</v>
      </c>
      <c r="O222" s="225" t="str">
        <f t="shared" si="49"/>
        <v>7-8 years</v>
      </c>
      <c r="P222" s="226">
        <f t="shared" si="50"/>
        <v>0.92054794520547945</v>
      </c>
      <c r="Q222" s="227">
        <f>$D222*P222*_xlfn.XLOOKUP($O222,'Sample Size cal and results'!$B$26:$B$27,'Sample Size cal and results'!$I$26:$I$27)</f>
        <v>104.6755141555071</v>
      </c>
      <c r="R222" s="330"/>
    </row>
    <row r="223" spans="1:18" ht="12.75">
      <c r="A223" s="99" t="s">
        <v>148</v>
      </c>
      <c r="B223" s="100">
        <v>42035</v>
      </c>
      <c r="C223" s="100">
        <f t="shared" si="40"/>
        <v>44591</v>
      </c>
      <c r="D223" s="209">
        <v>30</v>
      </c>
      <c r="E223" s="217">
        <f t="shared" si="41"/>
        <v>5.08</v>
      </c>
      <c r="F223" s="218">
        <f t="shared" si="42"/>
        <v>6.07</v>
      </c>
      <c r="G223" s="219">
        <f t="shared" si="43"/>
        <v>6.08</v>
      </c>
      <c r="H223" s="220">
        <f t="shared" si="44"/>
        <v>7.07</v>
      </c>
      <c r="I223" s="257" t="str">
        <f t="shared" si="45"/>
        <v>6-7 years</v>
      </c>
      <c r="J223" s="211">
        <f t="shared" si="46"/>
        <v>0.83835616438356164</v>
      </c>
      <c r="K223" s="258">
        <f>$D223*J223*_xlfn.XLOOKUP($I223,'Sample Size cal and results'!$B$24:$B$25,'Sample Size cal and results'!$H$24:$H$25)</f>
        <v>20.621156785242569</v>
      </c>
      <c r="L223" s="211">
        <f t="shared" si="47"/>
        <v>0.16164383561643836</v>
      </c>
      <c r="M223" s="211">
        <f>$D223*L223*_xlfn.XLOOKUP($I223,'Sample Size cal and results'!$B$24:$B$25,'Sample Size cal and results'!$I$24:$I$25)</f>
        <v>4.0793907984569096</v>
      </c>
      <c r="N223" s="214">
        <f t="shared" si="48"/>
        <v>24.700547583699478</v>
      </c>
      <c r="O223" s="225" t="str">
        <f t="shared" si="49"/>
        <v>7-8 years</v>
      </c>
      <c r="P223" s="226">
        <f t="shared" si="50"/>
        <v>0.92054794520547945</v>
      </c>
      <c r="Q223" s="227">
        <f>$D223*P223*_xlfn.XLOOKUP($O223,'Sample Size cal and results'!$B$26:$B$27,'Sample Size cal and results'!$I$26:$I$27)</f>
        <v>17.944373855229792</v>
      </c>
      <c r="R223" s="330"/>
    </row>
    <row r="224" spans="1:18" ht="12.75">
      <c r="A224" s="99" t="s">
        <v>146</v>
      </c>
      <c r="B224" s="100">
        <v>42035</v>
      </c>
      <c r="C224" s="100">
        <f t="shared" si="40"/>
        <v>44591</v>
      </c>
      <c r="D224" s="209">
        <v>5</v>
      </c>
      <c r="E224" s="217">
        <f t="shared" si="41"/>
        <v>5.08</v>
      </c>
      <c r="F224" s="218">
        <f t="shared" si="42"/>
        <v>6.07</v>
      </c>
      <c r="G224" s="219">
        <f t="shared" si="43"/>
        <v>6.08</v>
      </c>
      <c r="H224" s="220">
        <f t="shared" si="44"/>
        <v>7.07</v>
      </c>
      <c r="I224" s="257" t="str">
        <f t="shared" si="45"/>
        <v>6-7 years</v>
      </c>
      <c r="J224" s="211">
        <f t="shared" si="46"/>
        <v>0.83835616438356164</v>
      </c>
      <c r="K224" s="258">
        <f>$D224*J224*_xlfn.XLOOKUP($I224,'Sample Size cal and results'!$B$24:$B$25,'Sample Size cal and results'!$H$24:$H$25)</f>
        <v>3.4368594642070946</v>
      </c>
      <c r="L224" s="211">
        <f t="shared" si="47"/>
        <v>0.16164383561643836</v>
      </c>
      <c r="M224" s="211">
        <f>$D224*L224*_xlfn.XLOOKUP($I224,'Sample Size cal and results'!$B$24:$B$25,'Sample Size cal and results'!$I$24:$I$25)</f>
        <v>0.67989846640948493</v>
      </c>
      <c r="N224" s="214">
        <f t="shared" si="48"/>
        <v>4.1167579306165791</v>
      </c>
      <c r="O224" s="225" t="str">
        <f t="shared" si="49"/>
        <v>7-8 years</v>
      </c>
      <c r="P224" s="226">
        <f t="shared" si="50"/>
        <v>0.92054794520547945</v>
      </c>
      <c r="Q224" s="227">
        <f>$D224*P224*_xlfn.XLOOKUP($O224,'Sample Size cal and results'!$B$26:$B$27,'Sample Size cal and results'!$I$26:$I$27)</f>
        <v>2.9907289758716318</v>
      </c>
      <c r="R224" s="330"/>
    </row>
    <row r="225" spans="1:18" ht="12.75">
      <c r="A225" s="99" t="s">
        <v>61</v>
      </c>
      <c r="B225" s="100">
        <v>42034</v>
      </c>
      <c r="C225" s="100">
        <f t="shared" si="40"/>
        <v>44590</v>
      </c>
      <c r="D225" s="209">
        <v>174</v>
      </c>
      <c r="E225" s="217">
        <f t="shared" si="41"/>
        <v>5.08</v>
      </c>
      <c r="F225" s="218">
        <f t="shared" si="42"/>
        <v>6.08</v>
      </c>
      <c r="G225" s="219">
        <f t="shared" si="43"/>
        <v>6.08</v>
      </c>
      <c r="H225" s="220">
        <f t="shared" si="44"/>
        <v>7.08</v>
      </c>
      <c r="I225" s="257" t="str">
        <f t="shared" si="45"/>
        <v>6-7 years</v>
      </c>
      <c r="J225" s="211">
        <f t="shared" si="46"/>
        <v>0.83835616438356164</v>
      </c>
      <c r="K225" s="258">
        <f>$D225*J225*_xlfn.XLOOKUP($I225,'Sample Size cal and results'!$B$24:$B$25,'Sample Size cal and results'!$H$24:$H$25)</f>
        <v>119.60270935440688</v>
      </c>
      <c r="L225" s="211">
        <f t="shared" si="47"/>
        <v>0.16164383561643836</v>
      </c>
      <c r="M225" s="211">
        <f>$D225*L225*_xlfn.XLOOKUP($I225,'Sample Size cal and results'!$B$24:$B$25,'Sample Size cal and results'!$I$24:$I$25)</f>
        <v>23.660466631050074</v>
      </c>
      <c r="N225" s="214">
        <f t="shared" si="48"/>
        <v>143.26317598545697</v>
      </c>
      <c r="O225" s="225" t="str">
        <f t="shared" si="49"/>
        <v>7-8 years</v>
      </c>
      <c r="P225" s="226">
        <f t="shared" si="50"/>
        <v>0.9178082191780822</v>
      </c>
      <c r="Q225" s="227">
        <f>$D225*P225*_xlfn.XLOOKUP($O225,'Sample Size cal and results'!$B$26:$B$27,'Sample Size cal and results'!$I$26:$I$27)</f>
        <v>103.7676142878318</v>
      </c>
      <c r="R225" s="330"/>
    </row>
    <row r="226" spans="1:18" ht="12.75">
      <c r="A226" s="99" t="s">
        <v>148</v>
      </c>
      <c r="B226" s="100">
        <v>42034</v>
      </c>
      <c r="C226" s="100">
        <f t="shared" si="40"/>
        <v>44590</v>
      </c>
      <c r="D226" s="209">
        <v>38</v>
      </c>
      <c r="E226" s="217">
        <f t="shared" si="41"/>
        <v>5.08</v>
      </c>
      <c r="F226" s="218">
        <f t="shared" si="42"/>
        <v>6.08</v>
      </c>
      <c r="G226" s="219">
        <f t="shared" si="43"/>
        <v>6.08</v>
      </c>
      <c r="H226" s="220">
        <f t="shared" si="44"/>
        <v>7.08</v>
      </c>
      <c r="I226" s="257" t="str">
        <f t="shared" si="45"/>
        <v>6-7 years</v>
      </c>
      <c r="J226" s="211">
        <f t="shared" si="46"/>
        <v>0.83835616438356164</v>
      </c>
      <c r="K226" s="258">
        <f>$D226*J226*_xlfn.XLOOKUP($I226,'Sample Size cal and results'!$B$24:$B$25,'Sample Size cal and results'!$H$24:$H$25)</f>
        <v>26.120131927973919</v>
      </c>
      <c r="L226" s="211">
        <f t="shared" si="47"/>
        <v>0.16164383561643836</v>
      </c>
      <c r="M226" s="211">
        <f>$D226*L226*_xlfn.XLOOKUP($I226,'Sample Size cal and results'!$B$24:$B$25,'Sample Size cal and results'!$I$24:$I$25)</f>
        <v>5.1672283447120853</v>
      </c>
      <c r="N226" s="214">
        <f t="shared" si="48"/>
        <v>31.287360272686005</v>
      </c>
      <c r="O226" s="225" t="str">
        <f t="shared" si="49"/>
        <v>7-8 years</v>
      </c>
      <c r="P226" s="226">
        <f t="shared" si="50"/>
        <v>0.9178082191780822</v>
      </c>
      <c r="Q226" s="227">
        <f>$D226*P226*_xlfn.XLOOKUP($O226,'Sample Size cal and results'!$B$26:$B$27,'Sample Size cal and results'!$I$26:$I$27)</f>
        <v>22.661892775503496</v>
      </c>
      <c r="R226" s="330"/>
    </row>
    <row r="227" spans="1:18" ht="12.75">
      <c r="A227" s="99" t="s">
        <v>146</v>
      </c>
      <c r="B227" s="100">
        <v>42034</v>
      </c>
      <c r="C227" s="100">
        <f t="shared" si="40"/>
        <v>44590</v>
      </c>
      <c r="D227" s="209">
        <v>8</v>
      </c>
      <c r="E227" s="217">
        <f t="shared" si="41"/>
        <v>5.08</v>
      </c>
      <c r="F227" s="218">
        <f t="shared" si="42"/>
        <v>6.08</v>
      </c>
      <c r="G227" s="219">
        <f t="shared" si="43"/>
        <v>6.08</v>
      </c>
      <c r="H227" s="220">
        <f t="shared" si="44"/>
        <v>7.08</v>
      </c>
      <c r="I227" s="257" t="str">
        <f t="shared" si="45"/>
        <v>6-7 years</v>
      </c>
      <c r="J227" s="211">
        <f t="shared" si="46"/>
        <v>0.83835616438356164</v>
      </c>
      <c r="K227" s="258">
        <f>$D227*J227*_xlfn.XLOOKUP($I227,'Sample Size cal and results'!$B$24:$B$25,'Sample Size cal and results'!$H$24:$H$25)</f>
        <v>5.4989751427313518</v>
      </c>
      <c r="L227" s="211">
        <f t="shared" si="47"/>
        <v>0.16164383561643836</v>
      </c>
      <c r="M227" s="211">
        <f>$D227*L227*_xlfn.XLOOKUP($I227,'Sample Size cal and results'!$B$24:$B$25,'Sample Size cal and results'!$I$24:$I$25)</f>
        <v>1.0878375462551759</v>
      </c>
      <c r="N227" s="214">
        <f t="shared" si="48"/>
        <v>6.5868126889865275</v>
      </c>
      <c r="O227" s="225" t="str">
        <f t="shared" si="49"/>
        <v>7-8 years</v>
      </c>
      <c r="P227" s="226">
        <f t="shared" si="50"/>
        <v>0.9178082191780822</v>
      </c>
      <c r="Q227" s="227">
        <f>$D227*P227*_xlfn.XLOOKUP($O227,'Sample Size cal and results'!$B$26:$B$27,'Sample Size cal and results'!$I$26:$I$27)</f>
        <v>4.7709247948428413</v>
      </c>
      <c r="R227" s="330"/>
    </row>
    <row r="228" spans="1:18" ht="12.75">
      <c r="A228" s="99" t="s">
        <v>61</v>
      </c>
      <c r="B228" s="100">
        <v>42033</v>
      </c>
      <c r="C228" s="100">
        <f t="shared" si="40"/>
        <v>44589</v>
      </c>
      <c r="D228" s="209">
        <v>241</v>
      </c>
      <c r="E228" s="217">
        <f t="shared" si="41"/>
        <v>5.08</v>
      </c>
      <c r="F228" s="218">
        <f t="shared" si="42"/>
        <v>6.08</v>
      </c>
      <c r="G228" s="219">
        <f t="shared" si="43"/>
        <v>6.08</v>
      </c>
      <c r="H228" s="220">
        <f t="shared" si="44"/>
        <v>7.08</v>
      </c>
      <c r="I228" s="257" t="str">
        <f t="shared" si="45"/>
        <v>6-7 years</v>
      </c>
      <c r="J228" s="211">
        <f t="shared" si="46"/>
        <v>0.83835616438356164</v>
      </c>
      <c r="K228" s="258">
        <f>$D228*J228*_xlfn.XLOOKUP($I228,'Sample Size cal and results'!$B$24:$B$25,'Sample Size cal and results'!$H$24:$H$25)</f>
        <v>165.65662617478196</v>
      </c>
      <c r="L228" s="211">
        <f t="shared" si="47"/>
        <v>0.16164383561643836</v>
      </c>
      <c r="M228" s="211">
        <f>$D228*L228*_xlfn.XLOOKUP($I228,'Sample Size cal and results'!$B$24:$B$25,'Sample Size cal and results'!$I$24:$I$25)</f>
        <v>32.771106080937173</v>
      </c>
      <c r="N228" s="214">
        <f t="shared" si="48"/>
        <v>198.42773225571915</v>
      </c>
      <c r="O228" s="225" t="str">
        <f t="shared" si="49"/>
        <v>7-8 years</v>
      </c>
      <c r="P228" s="226">
        <f t="shared" si="50"/>
        <v>0.91506849315068495</v>
      </c>
      <c r="Q228" s="227">
        <f>$D228*P228*_xlfn.XLOOKUP($O228,'Sample Size cal and results'!$B$26:$B$27,'Sample Size cal and results'!$I$26:$I$27)</f>
        <v>143.29508225226851</v>
      </c>
      <c r="R228" s="330"/>
    </row>
    <row r="229" spans="1:18" ht="12.75">
      <c r="A229" s="99" t="s">
        <v>148</v>
      </c>
      <c r="B229" s="100">
        <v>42033</v>
      </c>
      <c r="C229" s="100">
        <f t="shared" si="40"/>
        <v>44589</v>
      </c>
      <c r="D229" s="209">
        <v>39</v>
      </c>
      <c r="E229" s="217">
        <f t="shared" si="41"/>
        <v>5.08</v>
      </c>
      <c r="F229" s="218">
        <f t="shared" si="42"/>
        <v>6.08</v>
      </c>
      <c r="G229" s="219">
        <f t="shared" si="43"/>
        <v>6.08</v>
      </c>
      <c r="H229" s="220">
        <f t="shared" si="44"/>
        <v>7.08</v>
      </c>
      <c r="I229" s="257" t="str">
        <f t="shared" si="45"/>
        <v>6-7 years</v>
      </c>
      <c r="J229" s="211">
        <f t="shared" si="46"/>
        <v>0.83835616438356164</v>
      </c>
      <c r="K229" s="258">
        <f>$D229*J229*_xlfn.XLOOKUP($I229,'Sample Size cal and results'!$B$24:$B$25,'Sample Size cal and results'!$H$24:$H$25)</f>
        <v>26.807503820815338</v>
      </c>
      <c r="L229" s="211">
        <f t="shared" si="47"/>
        <v>0.16164383561643836</v>
      </c>
      <c r="M229" s="211">
        <f>$D229*L229*_xlfn.XLOOKUP($I229,'Sample Size cal and results'!$B$24:$B$25,'Sample Size cal and results'!$I$24:$I$25)</f>
        <v>5.3032080379939828</v>
      </c>
      <c r="N229" s="214">
        <f t="shared" si="48"/>
        <v>32.110711858809324</v>
      </c>
      <c r="O229" s="225" t="str">
        <f t="shared" si="49"/>
        <v>7-8 years</v>
      </c>
      <c r="P229" s="226">
        <f t="shared" si="50"/>
        <v>0.91506849315068495</v>
      </c>
      <c r="Q229" s="227">
        <f>$D229*P229*_xlfn.XLOOKUP($O229,'Sample Size cal and results'!$B$26:$B$27,'Sample Size cal and results'!$I$26:$I$27)</f>
        <v>23.18883073791897</v>
      </c>
      <c r="R229" s="330"/>
    </row>
    <row r="230" spans="1:18" ht="12.75">
      <c r="A230" s="99" t="s">
        <v>146</v>
      </c>
      <c r="B230" s="100">
        <v>42033</v>
      </c>
      <c r="C230" s="100">
        <f t="shared" si="40"/>
        <v>44589</v>
      </c>
      <c r="D230" s="209">
        <v>8</v>
      </c>
      <c r="E230" s="217">
        <f t="shared" si="41"/>
        <v>5.08</v>
      </c>
      <c r="F230" s="218">
        <f t="shared" si="42"/>
        <v>6.08</v>
      </c>
      <c r="G230" s="219">
        <f t="shared" si="43"/>
        <v>6.08</v>
      </c>
      <c r="H230" s="220">
        <f t="shared" si="44"/>
        <v>7.08</v>
      </c>
      <c r="I230" s="257" t="str">
        <f t="shared" si="45"/>
        <v>6-7 years</v>
      </c>
      <c r="J230" s="211">
        <f t="shared" si="46"/>
        <v>0.83835616438356164</v>
      </c>
      <c r="K230" s="258">
        <f>$D230*J230*_xlfn.XLOOKUP($I230,'Sample Size cal and results'!$B$24:$B$25,'Sample Size cal and results'!$H$24:$H$25)</f>
        <v>5.4989751427313518</v>
      </c>
      <c r="L230" s="211">
        <f t="shared" si="47"/>
        <v>0.16164383561643836</v>
      </c>
      <c r="M230" s="211">
        <f>$D230*L230*_xlfn.XLOOKUP($I230,'Sample Size cal and results'!$B$24:$B$25,'Sample Size cal and results'!$I$24:$I$25)</f>
        <v>1.0878375462551759</v>
      </c>
      <c r="N230" s="214">
        <f t="shared" si="48"/>
        <v>6.5868126889865275</v>
      </c>
      <c r="O230" s="225" t="str">
        <f t="shared" si="49"/>
        <v>7-8 years</v>
      </c>
      <c r="P230" s="226">
        <f t="shared" si="50"/>
        <v>0.91506849315068495</v>
      </c>
      <c r="Q230" s="227">
        <f>$D230*P230*_xlfn.XLOOKUP($O230,'Sample Size cal and results'!$B$26:$B$27,'Sample Size cal and results'!$I$26:$I$27)</f>
        <v>4.7566832282910712</v>
      </c>
      <c r="R230" s="330"/>
    </row>
    <row r="231" spans="1:18" ht="12.75">
      <c r="A231" s="99" t="s">
        <v>61</v>
      </c>
      <c r="B231" s="100">
        <v>42032</v>
      </c>
      <c r="C231" s="100">
        <f t="shared" si="40"/>
        <v>44588</v>
      </c>
      <c r="D231" s="209">
        <v>445</v>
      </c>
      <c r="E231" s="217">
        <f t="shared" si="41"/>
        <v>5.08</v>
      </c>
      <c r="F231" s="218">
        <f t="shared" si="42"/>
        <v>6.08</v>
      </c>
      <c r="G231" s="219">
        <f t="shared" si="43"/>
        <v>6.08</v>
      </c>
      <c r="H231" s="220">
        <f t="shared" si="44"/>
        <v>7.08</v>
      </c>
      <c r="I231" s="257" t="str">
        <f t="shared" si="45"/>
        <v>6-7 years</v>
      </c>
      <c r="J231" s="211">
        <f t="shared" si="46"/>
        <v>0.83835616438356164</v>
      </c>
      <c r="K231" s="258">
        <f>$D231*J231*_xlfn.XLOOKUP($I231,'Sample Size cal and results'!$B$24:$B$25,'Sample Size cal and results'!$H$24:$H$25)</f>
        <v>305.88049231443148</v>
      </c>
      <c r="L231" s="211">
        <f t="shared" si="47"/>
        <v>0.16164383561643836</v>
      </c>
      <c r="M231" s="211">
        <f>$D231*L231*_xlfn.XLOOKUP($I231,'Sample Size cal and results'!$B$24:$B$25,'Sample Size cal and results'!$I$24:$I$25)</f>
        <v>60.510963510444157</v>
      </c>
      <c r="N231" s="214">
        <f t="shared" si="48"/>
        <v>366.39145582487561</v>
      </c>
      <c r="O231" s="225" t="str">
        <f t="shared" si="49"/>
        <v>7-8 years</v>
      </c>
      <c r="P231" s="226">
        <f t="shared" si="50"/>
        <v>0.9123287671232877</v>
      </c>
      <c r="Q231" s="227">
        <f>$D231*P231*_xlfn.XLOOKUP($O231,'Sample Size cal and results'!$B$26:$B$27,'Sample Size cal and results'!$I$26:$I$27)</f>
        <v>263.7983174342487</v>
      </c>
      <c r="R231" s="330"/>
    </row>
    <row r="232" spans="1:18" ht="12.75">
      <c r="A232" s="99" t="s">
        <v>148</v>
      </c>
      <c r="B232" s="100">
        <v>42032</v>
      </c>
      <c r="C232" s="100">
        <f t="shared" si="40"/>
        <v>44588</v>
      </c>
      <c r="D232" s="209">
        <v>47</v>
      </c>
      <c r="E232" s="217">
        <f t="shared" si="41"/>
        <v>5.08</v>
      </c>
      <c r="F232" s="218">
        <f t="shared" si="42"/>
        <v>6.08</v>
      </c>
      <c r="G232" s="219">
        <f t="shared" si="43"/>
        <v>6.08</v>
      </c>
      <c r="H232" s="220">
        <f t="shared" si="44"/>
        <v>7.08</v>
      </c>
      <c r="I232" s="257" t="str">
        <f t="shared" si="45"/>
        <v>6-7 years</v>
      </c>
      <c r="J232" s="211">
        <f t="shared" si="46"/>
        <v>0.83835616438356164</v>
      </c>
      <c r="K232" s="258">
        <f>$D232*J232*_xlfn.XLOOKUP($I232,'Sample Size cal and results'!$B$24:$B$25,'Sample Size cal and results'!$H$24:$H$25)</f>
        <v>32.306478963546688</v>
      </c>
      <c r="L232" s="211">
        <f t="shared" si="47"/>
        <v>0.16164383561643836</v>
      </c>
      <c r="M232" s="211">
        <f>$D232*L232*_xlfn.XLOOKUP($I232,'Sample Size cal and results'!$B$24:$B$25,'Sample Size cal and results'!$I$24:$I$25)</f>
        <v>6.3910455842491585</v>
      </c>
      <c r="N232" s="214">
        <f t="shared" si="48"/>
        <v>38.697524547795844</v>
      </c>
      <c r="O232" s="225" t="str">
        <f t="shared" si="49"/>
        <v>7-8 years</v>
      </c>
      <c r="P232" s="226">
        <f t="shared" si="50"/>
        <v>0.9123287671232877</v>
      </c>
      <c r="Q232" s="227">
        <f>$D232*P232*_xlfn.XLOOKUP($O232,'Sample Size cal and results'!$B$26:$B$27,'Sample Size cal and results'!$I$26:$I$27)</f>
        <v>27.861844762718398</v>
      </c>
      <c r="R232" s="330"/>
    </row>
    <row r="233" spans="1:18" ht="12.75">
      <c r="A233" s="99" t="s">
        <v>146</v>
      </c>
      <c r="B233" s="100">
        <v>42032</v>
      </c>
      <c r="C233" s="100">
        <f t="shared" si="40"/>
        <v>44588</v>
      </c>
      <c r="D233" s="209">
        <v>5</v>
      </c>
      <c r="E233" s="217">
        <f t="shared" si="41"/>
        <v>5.08</v>
      </c>
      <c r="F233" s="218">
        <f t="shared" si="42"/>
        <v>6.08</v>
      </c>
      <c r="G233" s="219">
        <f t="shared" si="43"/>
        <v>6.08</v>
      </c>
      <c r="H233" s="220">
        <f t="shared" si="44"/>
        <v>7.08</v>
      </c>
      <c r="I233" s="257" t="str">
        <f t="shared" si="45"/>
        <v>6-7 years</v>
      </c>
      <c r="J233" s="211">
        <f t="shared" si="46"/>
        <v>0.83835616438356164</v>
      </c>
      <c r="K233" s="258">
        <f>$D233*J233*_xlfn.XLOOKUP($I233,'Sample Size cal and results'!$B$24:$B$25,'Sample Size cal and results'!$H$24:$H$25)</f>
        <v>3.4368594642070946</v>
      </c>
      <c r="L233" s="211">
        <f t="shared" si="47"/>
        <v>0.16164383561643836</v>
      </c>
      <c r="M233" s="211">
        <f>$D233*L233*_xlfn.XLOOKUP($I233,'Sample Size cal and results'!$B$24:$B$25,'Sample Size cal and results'!$I$24:$I$25)</f>
        <v>0.67989846640948493</v>
      </c>
      <c r="N233" s="214">
        <f t="shared" si="48"/>
        <v>4.1167579306165791</v>
      </c>
      <c r="O233" s="225" t="str">
        <f t="shared" si="49"/>
        <v>7-8 years</v>
      </c>
      <c r="P233" s="226">
        <f t="shared" si="50"/>
        <v>0.9123287671232877</v>
      </c>
      <c r="Q233" s="227">
        <f>$D233*P233*_xlfn.XLOOKUP($O233,'Sample Size cal and results'!$B$26:$B$27,'Sample Size cal and results'!$I$26:$I$27)</f>
        <v>2.9640260385870638</v>
      </c>
      <c r="R233" s="330"/>
    </row>
    <row r="234" spans="1:18" ht="12.75">
      <c r="A234" s="99" t="s">
        <v>61</v>
      </c>
      <c r="B234" s="100">
        <v>42031</v>
      </c>
      <c r="C234" s="100">
        <f t="shared" si="40"/>
        <v>44587</v>
      </c>
      <c r="D234" s="209">
        <v>242</v>
      </c>
      <c r="E234" s="217">
        <f t="shared" si="41"/>
        <v>5.09</v>
      </c>
      <c r="F234" s="218">
        <f t="shared" si="42"/>
        <v>6.08</v>
      </c>
      <c r="G234" s="219">
        <f t="shared" si="43"/>
        <v>6.09</v>
      </c>
      <c r="H234" s="220">
        <f t="shared" si="44"/>
        <v>7.08</v>
      </c>
      <c r="I234" s="257" t="str">
        <f t="shared" si="45"/>
        <v>6-7 years</v>
      </c>
      <c r="J234" s="211">
        <f t="shared" si="46"/>
        <v>0.83835616438356164</v>
      </c>
      <c r="K234" s="258">
        <f>$D234*J234*_xlfn.XLOOKUP($I234,'Sample Size cal and results'!$B$24:$B$25,'Sample Size cal and results'!$H$24:$H$25)</f>
        <v>166.3439980676234</v>
      </c>
      <c r="L234" s="211">
        <f t="shared" si="47"/>
        <v>0.16164383561643836</v>
      </c>
      <c r="M234" s="211">
        <f>$D234*L234*_xlfn.XLOOKUP($I234,'Sample Size cal and results'!$B$24:$B$25,'Sample Size cal and results'!$I$24:$I$25)</f>
        <v>32.90708577421907</v>
      </c>
      <c r="N234" s="214">
        <f t="shared" si="48"/>
        <v>199.25108384184247</v>
      </c>
      <c r="O234" s="225" t="str">
        <f t="shared" si="49"/>
        <v>7-8 years</v>
      </c>
      <c r="P234" s="226">
        <f t="shared" si="50"/>
        <v>0.90958904109589045</v>
      </c>
      <c r="Q234" s="227">
        <f>$D234*P234*_xlfn.XLOOKUP($O234,'Sample Size cal and results'!$B$26:$B$27,'Sample Size cal and results'!$I$26:$I$27)</f>
        <v>143.02805287942286</v>
      </c>
      <c r="R234" s="330"/>
    </row>
    <row r="235" spans="1:18" ht="12.75">
      <c r="A235" s="99" t="s">
        <v>148</v>
      </c>
      <c r="B235" s="100">
        <v>42031</v>
      </c>
      <c r="C235" s="100">
        <f t="shared" si="40"/>
        <v>44587</v>
      </c>
      <c r="D235" s="209">
        <v>55</v>
      </c>
      <c r="E235" s="217">
        <f t="shared" si="41"/>
        <v>5.09</v>
      </c>
      <c r="F235" s="218">
        <f t="shared" si="42"/>
        <v>6.08</v>
      </c>
      <c r="G235" s="219">
        <f t="shared" si="43"/>
        <v>6.09</v>
      </c>
      <c r="H235" s="220">
        <f t="shared" si="44"/>
        <v>7.08</v>
      </c>
      <c r="I235" s="257" t="str">
        <f t="shared" si="45"/>
        <v>6-7 years</v>
      </c>
      <c r="J235" s="211">
        <f t="shared" si="46"/>
        <v>0.83835616438356164</v>
      </c>
      <c r="K235" s="258">
        <f>$D235*J235*_xlfn.XLOOKUP($I235,'Sample Size cal and results'!$B$24:$B$25,'Sample Size cal and results'!$H$24:$H$25)</f>
        <v>37.805454106278042</v>
      </c>
      <c r="L235" s="211">
        <f t="shared" si="47"/>
        <v>0.16164383561643836</v>
      </c>
      <c r="M235" s="211">
        <f>$D235*L235*_xlfn.XLOOKUP($I235,'Sample Size cal and results'!$B$24:$B$25,'Sample Size cal and results'!$I$24:$I$25)</f>
        <v>7.4788831305043333</v>
      </c>
      <c r="N235" s="214">
        <f t="shared" si="48"/>
        <v>45.284337236782378</v>
      </c>
      <c r="O235" s="225" t="str">
        <f t="shared" si="49"/>
        <v>7-8 years</v>
      </c>
      <c r="P235" s="226">
        <f t="shared" si="50"/>
        <v>0.90958904109589045</v>
      </c>
      <c r="Q235" s="227">
        <f>$D235*P235*_xlfn.XLOOKUP($O235,'Sample Size cal and results'!$B$26:$B$27,'Sample Size cal and results'!$I$26:$I$27)</f>
        <v>32.506375654414285</v>
      </c>
      <c r="R235" s="330"/>
    </row>
    <row r="236" spans="1:18" ht="12.75">
      <c r="A236" s="99" t="s">
        <v>146</v>
      </c>
      <c r="B236" s="100">
        <v>42031</v>
      </c>
      <c r="C236" s="100">
        <f t="shared" si="40"/>
        <v>44587</v>
      </c>
      <c r="D236" s="209">
        <v>8</v>
      </c>
      <c r="E236" s="217">
        <f t="shared" si="41"/>
        <v>5.09</v>
      </c>
      <c r="F236" s="218">
        <f t="shared" si="42"/>
        <v>6.08</v>
      </c>
      <c r="G236" s="219">
        <f t="shared" si="43"/>
        <v>6.09</v>
      </c>
      <c r="H236" s="220">
        <f t="shared" si="44"/>
        <v>7.08</v>
      </c>
      <c r="I236" s="257" t="str">
        <f t="shared" si="45"/>
        <v>6-7 years</v>
      </c>
      <c r="J236" s="211">
        <f t="shared" si="46"/>
        <v>0.83835616438356164</v>
      </c>
      <c r="K236" s="258">
        <f>$D236*J236*_xlfn.XLOOKUP($I236,'Sample Size cal and results'!$B$24:$B$25,'Sample Size cal and results'!$H$24:$H$25)</f>
        <v>5.4989751427313518</v>
      </c>
      <c r="L236" s="211">
        <f t="shared" si="47"/>
        <v>0.16164383561643836</v>
      </c>
      <c r="M236" s="211">
        <f>$D236*L236*_xlfn.XLOOKUP($I236,'Sample Size cal and results'!$B$24:$B$25,'Sample Size cal and results'!$I$24:$I$25)</f>
        <v>1.0878375462551759</v>
      </c>
      <c r="N236" s="214">
        <f t="shared" si="48"/>
        <v>6.5868126889865275</v>
      </c>
      <c r="O236" s="225" t="str">
        <f t="shared" si="49"/>
        <v>7-8 years</v>
      </c>
      <c r="P236" s="226">
        <f t="shared" si="50"/>
        <v>0.90958904109589045</v>
      </c>
      <c r="Q236" s="227">
        <f>$D236*P236*_xlfn.XLOOKUP($O236,'Sample Size cal and results'!$B$26:$B$27,'Sample Size cal and results'!$I$26:$I$27)</f>
        <v>4.7282000951875318</v>
      </c>
      <c r="R236" s="330"/>
    </row>
    <row r="237" spans="1:18" ht="12.75">
      <c r="A237" s="99" t="s">
        <v>61</v>
      </c>
      <c r="B237" s="100">
        <v>42030</v>
      </c>
      <c r="C237" s="100">
        <f t="shared" si="40"/>
        <v>44586</v>
      </c>
      <c r="D237" s="209">
        <v>340</v>
      </c>
      <c r="E237" s="217">
        <f t="shared" si="41"/>
        <v>5.09</v>
      </c>
      <c r="F237" s="218">
        <f t="shared" si="42"/>
        <v>6.09</v>
      </c>
      <c r="G237" s="219">
        <f t="shared" si="43"/>
        <v>6.09</v>
      </c>
      <c r="H237" s="220">
        <f t="shared" si="44"/>
        <v>7.09</v>
      </c>
      <c r="I237" s="257" t="str">
        <f t="shared" si="45"/>
        <v>6-7 years</v>
      </c>
      <c r="J237" s="211">
        <f t="shared" si="46"/>
        <v>0.83835616438356164</v>
      </c>
      <c r="K237" s="258">
        <f>$D237*J237*_xlfn.XLOOKUP($I237,'Sample Size cal and results'!$B$24:$B$25,'Sample Size cal and results'!$H$24:$H$25)</f>
        <v>233.70644356608247</v>
      </c>
      <c r="L237" s="211">
        <f t="shared" si="47"/>
        <v>0.16164383561643836</v>
      </c>
      <c r="M237" s="211">
        <f>$D237*L237*_xlfn.XLOOKUP($I237,'Sample Size cal and results'!$B$24:$B$25,'Sample Size cal and results'!$I$24:$I$25)</f>
        <v>46.233095715844975</v>
      </c>
      <c r="N237" s="214">
        <f t="shared" si="48"/>
        <v>279.93953928192747</v>
      </c>
      <c r="O237" s="225" t="str">
        <f t="shared" si="49"/>
        <v>7-8 years</v>
      </c>
      <c r="P237" s="226">
        <f t="shared" si="50"/>
        <v>0.9068493150684932</v>
      </c>
      <c r="Q237" s="227">
        <f>$D237*P237*_xlfn.XLOOKUP($O237,'Sample Size cal and results'!$B$26:$B$27,'Sample Size cal and results'!$I$26:$I$27)</f>
        <v>200.34323746701989</v>
      </c>
      <c r="R237" s="330"/>
    </row>
    <row r="238" spans="1:18" ht="12.75">
      <c r="A238" s="99" t="s">
        <v>148</v>
      </c>
      <c r="B238" s="100">
        <v>42030</v>
      </c>
      <c r="C238" s="100">
        <f t="shared" si="40"/>
        <v>44586</v>
      </c>
      <c r="D238" s="209">
        <v>52</v>
      </c>
      <c r="E238" s="217">
        <f t="shared" si="41"/>
        <v>5.09</v>
      </c>
      <c r="F238" s="218">
        <f t="shared" si="42"/>
        <v>6.09</v>
      </c>
      <c r="G238" s="219">
        <f t="shared" si="43"/>
        <v>6.09</v>
      </c>
      <c r="H238" s="220">
        <f t="shared" si="44"/>
        <v>7.09</v>
      </c>
      <c r="I238" s="257" t="str">
        <f t="shared" si="45"/>
        <v>6-7 years</v>
      </c>
      <c r="J238" s="211">
        <f t="shared" si="46"/>
        <v>0.83835616438356164</v>
      </c>
      <c r="K238" s="258">
        <f>$D238*J238*_xlfn.XLOOKUP($I238,'Sample Size cal and results'!$B$24:$B$25,'Sample Size cal and results'!$H$24:$H$25)</f>
        <v>35.743338427753784</v>
      </c>
      <c r="L238" s="211">
        <f t="shared" si="47"/>
        <v>0.16164383561643836</v>
      </c>
      <c r="M238" s="211">
        <f>$D238*L238*_xlfn.XLOOKUP($I238,'Sample Size cal and results'!$B$24:$B$25,'Sample Size cal and results'!$I$24:$I$25)</f>
        <v>7.0709440506586434</v>
      </c>
      <c r="N238" s="214">
        <f t="shared" si="48"/>
        <v>42.81428247841243</v>
      </c>
      <c r="O238" s="225" t="str">
        <f t="shared" si="49"/>
        <v>7-8 years</v>
      </c>
      <c r="P238" s="226">
        <f t="shared" si="50"/>
        <v>0.9068493150684932</v>
      </c>
      <c r="Q238" s="227">
        <f>$D238*P238*_xlfn.XLOOKUP($O238,'Sample Size cal and results'!$B$26:$B$27,'Sample Size cal and results'!$I$26:$I$27)</f>
        <v>30.640730436132458</v>
      </c>
      <c r="R238" s="330"/>
    </row>
    <row r="239" spans="1:18" ht="12.75">
      <c r="A239" s="99" t="s">
        <v>146</v>
      </c>
      <c r="B239" s="100">
        <v>42030</v>
      </c>
      <c r="C239" s="100">
        <f t="shared" si="40"/>
        <v>44586</v>
      </c>
      <c r="D239" s="209">
        <v>11</v>
      </c>
      <c r="E239" s="217">
        <f t="shared" si="41"/>
        <v>5.09</v>
      </c>
      <c r="F239" s="218">
        <f t="shared" si="42"/>
        <v>6.09</v>
      </c>
      <c r="G239" s="219">
        <f t="shared" si="43"/>
        <v>6.09</v>
      </c>
      <c r="H239" s="220">
        <f t="shared" si="44"/>
        <v>7.09</v>
      </c>
      <c r="I239" s="257" t="str">
        <f t="shared" si="45"/>
        <v>6-7 years</v>
      </c>
      <c r="J239" s="211">
        <f t="shared" si="46"/>
        <v>0.83835616438356164</v>
      </c>
      <c r="K239" s="258">
        <f>$D239*J239*_xlfn.XLOOKUP($I239,'Sample Size cal and results'!$B$24:$B$25,'Sample Size cal and results'!$H$24:$H$25)</f>
        <v>7.5610908212556085</v>
      </c>
      <c r="L239" s="211">
        <f t="shared" si="47"/>
        <v>0.16164383561643836</v>
      </c>
      <c r="M239" s="211">
        <f>$D239*L239*_xlfn.XLOOKUP($I239,'Sample Size cal and results'!$B$24:$B$25,'Sample Size cal and results'!$I$24:$I$25)</f>
        <v>1.4957766261008667</v>
      </c>
      <c r="N239" s="214">
        <f t="shared" si="48"/>
        <v>9.0568674473564759</v>
      </c>
      <c r="O239" s="225" t="str">
        <f t="shared" si="49"/>
        <v>7-8 years</v>
      </c>
      <c r="P239" s="226">
        <f t="shared" si="50"/>
        <v>0.9068493150684932</v>
      </c>
      <c r="Q239" s="227">
        <f>$D239*P239*_xlfn.XLOOKUP($O239,'Sample Size cal and results'!$B$26:$B$27,'Sample Size cal and results'!$I$26:$I$27)</f>
        <v>6.4816929768741733</v>
      </c>
      <c r="R239" s="330"/>
    </row>
    <row r="240" spans="1:18" ht="12.75">
      <c r="A240" s="99" t="s">
        <v>61</v>
      </c>
      <c r="B240" s="100">
        <v>42029</v>
      </c>
      <c r="C240" s="100">
        <f t="shared" si="40"/>
        <v>44585</v>
      </c>
      <c r="D240" s="209">
        <v>307</v>
      </c>
      <c r="E240" s="217">
        <f t="shared" si="41"/>
        <v>5.09</v>
      </c>
      <c r="F240" s="218">
        <f t="shared" si="42"/>
        <v>6.09</v>
      </c>
      <c r="G240" s="219">
        <f t="shared" si="43"/>
        <v>6.09</v>
      </c>
      <c r="H240" s="220">
        <f t="shared" si="44"/>
        <v>7.09</v>
      </c>
      <c r="I240" s="257" t="str">
        <f t="shared" si="45"/>
        <v>6-7 years</v>
      </c>
      <c r="J240" s="211">
        <f t="shared" si="46"/>
        <v>0.83835616438356164</v>
      </c>
      <c r="K240" s="258">
        <f>$D240*J240*_xlfn.XLOOKUP($I240,'Sample Size cal and results'!$B$24:$B$25,'Sample Size cal and results'!$H$24:$H$25)</f>
        <v>211.02317110231562</v>
      </c>
      <c r="L240" s="211">
        <f t="shared" si="47"/>
        <v>0.16164383561643836</v>
      </c>
      <c r="M240" s="211">
        <f>$D240*L240*_xlfn.XLOOKUP($I240,'Sample Size cal and results'!$B$24:$B$25,'Sample Size cal and results'!$I$24:$I$25)</f>
        <v>41.745765837542372</v>
      </c>
      <c r="N240" s="214">
        <f t="shared" si="48"/>
        <v>252.76893693985798</v>
      </c>
      <c r="O240" s="225" t="str">
        <f t="shared" si="49"/>
        <v>7-8 years</v>
      </c>
      <c r="P240" s="226">
        <f t="shared" si="50"/>
        <v>0.90410958904109584</v>
      </c>
      <c r="Q240" s="227">
        <f>$D240*P240*_xlfn.XLOOKUP($O240,'Sample Size cal and results'!$B$26:$B$27,'Sample Size cal and results'!$I$26:$I$27)</f>
        <v>180.35163841997323</v>
      </c>
      <c r="R240" s="330"/>
    </row>
    <row r="241" spans="1:18" ht="12.75">
      <c r="A241" s="99" t="s">
        <v>148</v>
      </c>
      <c r="B241" s="100">
        <v>42029</v>
      </c>
      <c r="C241" s="100">
        <f t="shared" si="40"/>
        <v>44585</v>
      </c>
      <c r="D241" s="209">
        <v>72</v>
      </c>
      <c r="E241" s="217">
        <f t="shared" si="41"/>
        <v>5.09</v>
      </c>
      <c r="F241" s="218">
        <f t="shared" si="42"/>
        <v>6.09</v>
      </c>
      <c r="G241" s="219">
        <f t="shared" si="43"/>
        <v>6.09</v>
      </c>
      <c r="H241" s="220">
        <f t="shared" si="44"/>
        <v>7.09</v>
      </c>
      <c r="I241" s="257" t="str">
        <f t="shared" si="45"/>
        <v>6-7 years</v>
      </c>
      <c r="J241" s="211">
        <f t="shared" si="46"/>
        <v>0.83835616438356164</v>
      </c>
      <c r="K241" s="258">
        <f>$D241*J241*_xlfn.XLOOKUP($I241,'Sample Size cal and results'!$B$24:$B$25,'Sample Size cal and results'!$H$24:$H$25)</f>
        <v>49.490776284582168</v>
      </c>
      <c r="L241" s="211">
        <f t="shared" si="47"/>
        <v>0.16164383561643836</v>
      </c>
      <c r="M241" s="211">
        <f>$D241*L241*_xlfn.XLOOKUP($I241,'Sample Size cal and results'!$B$24:$B$25,'Sample Size cal and results'!$I$24:$I$25)</f>
        <v>9.790537916296584</v>
      </c>
      <c r="N241" s="214">
        <f t="shared" si="48"/>
        <v>59.281314200878754</v>
      </c>
      <c r="O241" s="225" t="str">
        <f t="shared" si="49"/>
        <v>7-8 years</v>
      </c>
      <c r="P241" s="226">
        <f t="shared" si="50"/>
        <v>0.90410958904109584</v>
      </c>
      <c r="Q241" s="227">
        <f>$D241*P241*_xlfn.XLOOKUP($O241,'Sample Size cal and results'!$B$26:$B$27,'Sample Size cal and results'!$I$26:$I$27)</f>
        <v>42.29745265875593</v>
      </c>
      <c r="R241" s="330"/>
    </row>
    <row r="242" spans="1:18" ht="12.75">
      <c r="A242" s="99" t="s">
        <v>146</v>
      </c>
      <c r="B242" s="100">
        <v>42029</v>
      </c>
      <c r="C242" s="100">
        <f t="shared" si="40"/>
        <v>44585</v>
      </c>
      <c r="D242" s="209">
        <v>17</v>
      </c>
      <c r="E242" s="217">
        <f t="shared" si="41"/>
        <v>5.09</v>
      </c>
      <c r="F242" s="218">
        <f t="shared" si="42"/>
        <v>6.09</v>
      </c>
      <c r="G242" s="219">
        <f t="shared" si="43"/>
        <v>6.09</v>
      </c>
      <c r="H242" s="220">
        <f t="shared" si="44"/>
        <v>7.09</v>
      </c>
      <c r="I242" s="257" t="str">
        <f t="shared" si="45"/>
        <v>6-7 years</v>
      </c>
      <c r="J242" s="211">
        <f t="shared" si="46"/>
        <v>0.83835616438356164</v>
      </c>
      <c r="K242" s="258">
        <f>$D242*J242*_xlfn.XLOOKUP($I242,'Sample Size cal and results'!$B$24:$B$25,'Sample Size cal and results'!$H$24:$H$25)</f>
        <v>11.685322178304123</v>
      </c>
      <c r="L242" s="211">
        <f t="shared" si="47"/>
        <v>0.16164383561643836</v>
      </c>
      <c r="M242" s="211">
        <f>$D242*L242*_xlfn.XLOOKUP($I242,'Sample Size cal and results'!$B$24:$B$25,'Sample Size cal and results'!$I$24:$I$25)</f>
        <v>2.3116547857922489</v>
      </c>
      <c r="N242" s="214">
        <f t="shared" si="48"/>
        <v>13.996976964096373</v>
      </c>
      <c r="O242" s="225" t="str">
        <f t="shared" si="49"/>
        <v>7-8 years</v>
      </c>
      <c r="P242" s="226">
        <f t="shared" si="50"/>
        <v>0.90410958904109584</v>
      </c>
      <c r="Q242" s="227">
        <f>$D242*P242*_xlfn.XLOOKUP($O242,'Sample Size cal and results'!$B$26:$B$27,'Sample Size cal and results'!$I$26:$I$27)</f>
        <v>9.9868985444284828</v>
      </c>
      <c r="R242" s="330"/>
    </row>
    <row r="243" spans="1:18" ht="12.75">
      <c r="A243" s="99" t="s">
        <v>61</v>
      </c>
      <c r="B243" s="100">
        <v>42028</v>
      </c>
      <c r="C243" s="100">
        <f t="shared" si="40"/>
        <v>44584</v>
      </c>
      <c r="D243" s="209">
        <v>138</v>
      </c>
      <c r="E243" s="217">
        <f t="shared" si="41"/>
        <v>5.09</v>
      </c>
      <c r="F243" s="218">
        <f t="shared" si="42"/>
        <v>6.09</v>
      </c>
      <c r="G243" s="219">
        <f t="shared" si="43"/>
        <v>6.09</v>
      </c>
      <c r="H243" s="220">
        <f t="shared" si="44"/>
        <v>7.09</v>
      </c>
      <c r="I243" s="257" t="str">
        <f t="shared" si="45"/>
        <v>6-7 years</v>
      </c>
      <c r="J243" s="211">
        <f t="shared" si="46"/>
        <v>0.83835616438356164</v>
      </c>
      <c r="K243" s="258">
        <f>$D243*J243*_xlfn.XLOOKUP($I243,'Sample Size cal and results'!$B$24:$B$25,'Sample Size cal and results'!$H$24:$H$25)</f>
        <v>94.857321212115821</v>
      </c>
      <c r="L243" s="211">
        <f t="shared" si="47"/>
        <v>0.16164383561643836</v>
      </c>
      <c r="M243" s="211">
        <f>$D243*L243*_xlfn.XLOOKUP($I243,'Sample Size cal and results'!$B$24:$B$25,'Sample Size cal and results'!$I$24:$I$25)</f>
        <v>18.765197672901785</v>
      </c>
      <c r="N243" s="214">
        <f t="shared" si="48"/>
        <v>113.6225188850176</v>
      </c>
      <c r="O243" s="225" t="str">
        <f t="shared" si="49"/>
        <v>7-8 years</v>
      </c>
      <c r="P243" s="226">
        <f t="shared" si="50"/>
        <v>0.90136986301369859</v>
      </c>
      <c r="Q243" s="227">
        <f>$D243*P243*_xlfn.XLOOKUP($O243,'Sample Size cal and results'!$B$26:$B$27,'Sample Size cal and results'!$I$26:$I$27)</f>
        <v>80.824450572930843</v>
      </c>
      <c r="R243" s="330"/>
    </row>
    <row r="244" spans="1:18" ht="12.75">
      <c r="A244" s="99" t="s">
        <v>60</v>
      </c>
      <c r="B244" s="100">
        <v>42028</v>
      </c>
      <c r="C244" s="100">
        <f t="shared" si="40"/>
        <v>44584</v>
      </c>
      <c r="D244" s="209">
        <v>76</v>
      </c>
      <c r="E244" s="217">
        <f t="shared" si="41"/>
        <v>5.09</v>
      </c>
      <c r="F244" s="218">
        <f t="shared" si="42"/>
        <v>6.09</v>
      </c>
      <c r="G244" s="219">
        <f t="shared" si="43"/>
        <v>6.09</v>
      </c>
      <c r="H244" s="220">
        <f t="shared" si="44"/>
        <v>7.09</v>
      </c>
      <c r="I244" s="257" t="str">
        <f t="shared" si="45"/>
        <v>6-7 years</v>
      </c>
      <c r="J244" s="211">
        <f t="shared" si="46"/>
        <v>0.83835616438356164</v>
      </c>
      <c r="K244" s="258">
        <f>$D244*J244*_xlfn.XLOOKUP($I244,'Sample Size cal and results'!$B$24:$B$25,'Sample Size cal and results'!$H$24:$H$25)</f>
        <v>52.240263855947838</v>
      </c>
      <c r="L244" s="211">
        <f t="shared" si="47"/>
        <v>0.16164383561643836</v>
      </c>
      <c r="M244" s="211">
        <f>$D244*L244*_xlfn.XLOOKUP($I244,'Sample Size cal and results'!$B$24:$B$25,'Sample Size cal and results'!$I$24:$I$25)</f>
        <v>10.334456689424171</v>
      </c>
      <c r="N244" s="214">
        <f t="shared" si="48"/>
        <v>62.57472054537201</v>
      </c>
      <c r="O244" s="225" t="str">
        <f t="shared" si="49"/>
        <v>7-8 years</v>
      </c>
      <c r="P244" s="226">
        <f t="shared" si="50"/>
        <v>0.90136986301369859</v>
      </c>
      <c r="Q244" s="227">
        <f>$D244*P244*_xlfn.XLOOKUP($O244,'Sample Size cal and results'!$B$26:$B$27,'Sample Size cal and results'!$I$26:$I$27)</f>
        <v>44.51201625755612</v>
      </c>
      <c r="R244" s="330"/>
    </row>
    <row r="245" spans="1:18" ht="12.75">
      <c r="A245" s="99" t="s">
        <v>148</v>
      </c>
      <c r="B245" s="100">
        <v>42028</v>
      </c>
      <c r="C245" s="100">
        <f t="shared" si="40"/>
        <v>44584</v>
      </c>
      <c r="D245" s="209">
        <v>64</v>
      </c>
      <c r="E245" s="217">
        <f t="shared" si="41"/>
        <v>5.09</v>
      </c>
      <c r="F245" s="218">
        <f t="shared" si="42"/>
        <v>6.09</v>
      </c>
      <c r="G245" s="219">
        <f t="shared" si="43"/>
        <v>6.09</v>
      </c>
      <c r="H245" s="220">
        <f t="shared" si="44"/>
        <v>7.09</v>
      </c>
      <c r="I245" s="257" t="str">
        <f t="shared" si="45"/>
        <v>6-7 years</v>
      </c>
      <c r="J245" s="211">
        <f t="shared" si="46"/>
        <v>0.83835616438356164</v>
      </c>
      <c r="K245" s="258">
        <f>$D245*J245*_xlfn.XLOOKUP($I245,'Sample Size cal and results'!$B$24:$B$25,'Sample Size cal and results'!$H$24:$H$25)</f>
        <v>43.991801141850814</v>
      </c>
      <c r="L245" s="211">
        <f t="shared" si="47"/>
        <v>0.16164383561643836</v>
      </c>
      <c r="M245" s="211">
        <f>$D245*L245*_xlfn.XLOOKUP($I245,'Sample Size cal and results'!$B$24:$B$25,'Sample Size cal and results'!$I$24:$I$25)</f>
        <v>8.7027003700414074</v>
      </c>
      <c r="N245" s="214">
        <f t="shared" si="48"/>
        <v>52.69450151189222</v>
      </c>
      <c r="O245" s="225" t="str">
        <f t="shared" si="49"/>
        <v>7-8 years</v>
      </c>
      <c r="P245" s="226">
        <f t="shared" si="50"/>
        <v>0.90136986301369859</v>
      </c>
      <c r="Q245" s="227">
        <f>$D245*P245*_xlfn.XLOOKUP($O245,'Sample Size cal and results'!$B$26:$B$27,'Sample Size cal and results'!$I$26:$I$27)</f>
        <v>37.483803164257786</v>
      </c>
      <c r="R245" s="330"/>
    </row>
    <row r="246" spans="1:18" ht="12.75">
      <c r="A246" s="99" t="s">
        <v>146</v>
      </c>
      <c r="B246" s="100">
        <v>42028</v>
      </c>
      <c r="C246" s="100">
        <f t="shared" si="40"/>
        <v>44584</v>
      </c>
      <c r="D246" s="209">
        <v>4</v>
      </c>
      <c r="E246" s="217">
        <f t="shared" si="41"/>
        <v>5.09</v>
      </c>
      <c r="F246" s="218">
        <f t="shared" si="42"/>
        <v>6.09</v>
      </c>
      <c r="G246" s="219">
        <f t="shared" si="43"/>
        <v>6.09</v>
      </c>
      <c r="H246" s="220">
        <f t="shared" si="44"/>
        <v>7.09</v>
      </c>
      <c r="I246" s="257" t="str">
        <f t="shared" si="45"/>
        <v>6-7 years</v>
      </c>
      <c r="J246" s="211">
        <f t="shared" si="46"/>
        <v>0.83835616438356164</v>
      </c>
      <c r="K246" s="258">
        <f>$D246*J246*_xlfn.XLOOKUP($I246,'Sample Size cal and results'!$B$24:$B$25,'Sample Size cal and results'!$H$24:$H$25)</f>
        <v>2.7494875713656759</v>
      </c>
      <c r="L246" s="211">
        <f t="shared" si="47"/>
        <v>0.16164383561643836</v>
      </c>
      <c r="M246" s="211">
        <f>$D246*L246*_xlfn.XLOOKUP($I246,'Sample Size cal and results'!$B$24:$B$25,'Sample Size cal and results'!$I$24:$I$25)</f>
        <v>0.54391877312758796</v>
      </c>
      <c r="N246" s="214">
        <f t="shared" si="48"/>
        <v>3.2934063444932637</v>
      </c>
      <c r="O246" s="225" t="str">
        <f t="shared" si="49"/>
        <v>7-8 years</v>
      </c>
      <c r="P246" s="226">
        <f t="shared" si="50"/>
        <v>0.90136986301369859</v>
      </c>
      <c r="Q246" s="227">
        <f>$D246*P246*_xlfn.XLOOKUP($O246,'Sample Size cal and results'!$B$26:$B$27,'Sample Size cal and results'!$I$26:$I$27)</f>
        <v>2.3427376977661116</v>
      </c>
      <c r="R246" s="330"/>
    </row>
    <row r="247" spans="1:18" ht="12.75">
      <c r="A247" s="99" t="s">
        <v>60</v>
      </c>
      <c r="B247" s="100">
        <v>42027</v>
      </c>
      <c r="C247" s="100">
        <f t="shared" si="40"/>
        <v>44583</v>
      </c>
      <c r="D247" s="209">
        <v>218</v>
      </c>
      <c r="E247" s="217">
        <f t="shared" si="41"/>
        <v>5.0999999999999996</v>
      </c>
      <c r="F247" s="218">
        <f t="shared" si="42"/>
        <v>6.09</v>
      </c>
      <c r="G247" s="219">
        <f t="shared" si="43"/>
        <v>6.1</v>
      </c>
      <c r="H247" s="220">
        <f t="shared" si="44"/>
        <v>7.09</v>
      </c>
      <c r="I247" s="257" t="str">
        <f t="shared" si="45"/>
        <v>6-7 years</v>
      </c>
      <c r="J247" s="211">
        <f t="shared" si="46"/>
        <v>0.83835616438356164</v>
      </c>
      <c r="K247" s="258">
        <f>$D247*J247*_xlfn.XLOOKUP($I247,'Sample Size cal and results'!$B$24:$B$25,'Sample Size cal and results'!$H$24:$H$25)</f>
        <v>149.84707263942934</v>
      </c>
      <c r="L247" s="211">
        <f t="shared" si="47"/>
        <v>0.16164383561643836</v>
      </c>
      <c r="M247" s="211">
        <f>$D247*L247*_xlfn.XLOOKUP($I247,'Sample Size cal and results'!$B$24:$B$25,'Sample Size cal and results'!$I$24:$I$25)</f>
        <v>29.64357313545354</v>
      </c>
      <c r="N247" s="214">
        <f t="shared" si="48"/>
        <v>179.49064577488289</v>
      </c>
      <c r="O247" s="225" t="str">
        <f t="shared" si="49"/>
        <v>7-8 years</v>
      </c>
      <c r="P247" s="226">
        <f t="shared" si="50"/>
        <v>0.89863013698630134</v>
      </c>
      <c r="Q247" s="227">
        <f>$D247*P247*_xlfn.XLOOKUP($O247,'Sample Size cal and results'!$B$26:$B$27,'Sample Size cal and results'!$I$26:$I$27)</f>
        <v>127.29112183971735</v>
      </c>
      <c r="R247" s="330"/>
    </row>
    <row r="248" spans="1:18" ht="12.75">
      <c r="A248" s="99" t="s">
        <v>148</v>
      </c>
      <c r="B248" s="100">
        <v>42027</v>
      </c>
      <c r="C248" s="100">
        <f t="shared" si="40"/>
        <v>44583</v>
      </c>
      <c r="D248" s="209">
        <v>56</v>
      </c>
      <c r="E248" s="217">
        <f t="shared" si="41"/>
        <v>5.0999999999999996</v>
      </c>
      <c r="F248" s="218">
        <f t="shared" si="42"/>
        <v>6.09</v>
      </c>
      <c r="G248" s="219">
        <f t="shared" si="43"/>
        <v>6.1</v>
      </c>
      <c r="H248" s="220">
        <f t="shared" si="44"/>
        <v>7.09</v>
      </c>
      <c r="I248" s="257" t="str">
        <f t="shared" si="45"/>
        <v>6-7 years</v>
      </c>
      <c r="J248" s="211">
        <f t="shared" si="46"/>
        <v>0.83835616438356164</v>
      </c>
      <c r="K248" s="258">
        <f>$D248*J248*_xlfn.XLOOKUP($I248,'Sample Size cal and results'!$B$24:$B$25,'Sample Size cal and results'!$H$24:$H$25)</f>
        <v>38.492825999119461</v>
      </c>
      <c r="L248" s="211">
        <f t="shared" si="47"/>
        <v>0.16164383561643836</v>
      </c>
      <c r="M248" s="211">
        <f>$D248*L248*_xlfn.XLOOKUP($I248,'Sample Size cal and results'!$B$24:$B$25,'Sample Size cal and results'!$I$24:$I$25)</f>
        <v>7.6148628237862299</v>
      </c>
      <c r="N248" s="214">
        <f t="shared" si="48"/>
        <v>46.107688822905693</v>
      </c>
      <c r="O248" s="225" t="str">
        <f t="shared" si="49"/>
        <v>7-8 years</v>
      </c>
      <c r="P248" s="226">
        <f t="shared" si="50"/>
        <v>0.89863013698630134</v>
      </c>
      <c r="Q248" s="227">
        <f>$D248*P248*_xlfn.XLOOKUP($O248,'Sample Size cal and results'!$B$26:$B$27,'Sample Size cal and results'!$I$26:$I$27)</f>
        <v>32.69863680286317</v>
      </c>
      <c r="R248" s="330"/>
    </row>
    <row r="249" spans="1:18" ht="12.75">
      <c r="A249" s="99" t="s">
        <v>146</v>
      </c>
      <c r="B249" s="100">
        <v>42027</v>
      </c>
      <c r="C249" s="100">
        <f t="shared" si="40"/>
        <v>44583</v>
      </c>
      <c r="D249" s="209">
        <v>5</v>
      </c>
      <c r="E249" s="217">
        <f t="shared" si="41"/>
        <v>5.0999999999999996</v>
      </c>
      <c r="F249" s="218">
        <f t="shared" si="42"/>
        <v>6.09</v>
      </c>
      <c r="G249" s="219">
        <f t="shared" si="43"/>
        <v>6.1</v>
      </c>
      <c r="H249" s="220">
        <f t="shared" si="44"/>
        <v>7.09</v>
      </c>
      <c r="I249" s="257" t="str">
        <f t="shared" si="45"/>
        <v>6-7 years</v>
      </c>
      <c r="J249" s="211">
        <f t="shared" si="46"/>
        <v>0.83835616438356164</v>
      </c>
      <c r="K249" s="258">
        <f>$D249*J249*_xlfn.XLOOKUP($I249,'Sample Size cal and results'!$B$24:$B$25,'Sample Size cal and results'!$H$24:$H$25)</f>
        <v>3.4368594642070946</v>
      </c>
      <c r="L249" s="211">
        <f t="shared" si="47"/>
        <v>0.16164383561643836</v>
      </c>
      <c r="M249" s="211">
        <f>$D249*L249*_xlfn.XLOOKUP($I249,'Sample Size cal and results'!$B$24:$B$25,'Sample Size cal and results'!$I$24:$I$25)</f>
        <v>0.67989846640948493</v>
      </c>
      <c r="N249" s="214">
        <f t="shared" si="48"/>
        <v>4.1167579306165791</v>
      </c>
      <c r="O249" s="225" t="str">
        <f t="shared" si="49"/>
        <v>7-8 years</v>
      </c>
      <c r="P249" s="226">
        <f t="shared" si="50"/>
        <v>0.89863013698630134</v>
      </c>
      <c r="Q249" s="227">
        <f>$D249*P249*_xlfn.XLOOKUP($O249,'Sample Size cal and results'!$B$26:$B$27,'Sample Size cal and results'!$I$26:$I$27)</f>
        <v>2.9195211431127834</v>
      </c>
      <c r="R249" s="330"/>
    </row>
    <row r="250" spans="1:18" ht="12.75">
      <c r="A250" s="99" t="s">
        <v>60</v>
      </c>
      <c r="B250" s="100">
        <v>42026</v>
      </c>
      <c r="C250" s="100">
        <f t="shared" si="40"/>
        <v>44582</v>
      </c>
      <c r="D250" s="209">
        <v>253</v>
      </c>
      <c r="E250" s="217">
        <f t="shared" si="41"/>
        <v>5.0999999999999996</v>
      </c>
      <c r="F250" s="218">
        <f t="shared" si="42"/>
        <v>6.1</v>
      </c>
      <c r="G250" s="219">
        <f t="shared" si="43"/>
        <v>6.1</v>
      </c>
      <c r="H250" s="220">
        <f t="shared" si="44"/>
        <v>7.1</v>
      </c>
      <c r="I250" s="257" t="str">
        <f t="shared" si="45"/>
        <v>6-7 years</v>
      </c>
      <c r="J250" s="211">
        <f t="shared" si="46"/>
        <v>0.83835616438356164</v>
      </c>
      <c r="K250" s="258">
        <f>$D250*J250*_xlfn.XLOOKUP($I250,'Sample Size cal and results'!$B$24:$B$25,'Sample Size cal and results'!$H$24:$H$25)</f>
        <v>173.90508888887899</v>
      </c>
      <c r="L250" s="211">
        <f t="shared" si="47"/>
        <v>0.16164383561643836</v>
      </c>
      <c r="M250" s="211">
        <f>$D250*L250*_xlfn.XLOOKUP($I250,'Sample Size cal and results'!$B$24:$B$25,'Sample Size cal and results'!$I$24:$I$25)</f>
        <v>34.402862400319933</v>
      </c>
      <c r="N250" s="214">
        <f t="shared" si="48"/>
        <v>208.30795128919891</v>
      </c>
      <c r="O250" s="225" t="str">
        <f t="shared" si="49"/>
        <v>7-8 years</v>
      </c>
      <c r="P250" s="226">
        <f t="shared" si="50"/>
        <v>0.89589041095890409</v>
      </c>
      <c r="Q250" s="227">
        <f>$D250*P250*_xlfn.XLOOKUP($O250,'Sample Size cal and results'!$B$26:$B$27,'Sample Size cal and results'!$I$26:$I$27)</f>
        <v>147.27738029930711</v>
      </c>
      <c r="R250" s="330"/>
    </row>
    <row r="251" spans="1:18" ht="12.75">
      <c r="A251" s="99" t="s">
        <v>148</v>
      </c>
      <c r="B251" s="100">
        <v>42026</v>
      </c>
      <c r="C251" s="100">
        <f t="shared" si="40"/>
        <v>44582</v>
      </c>
      <c r="D251" s="209">
        <v>48</v>
      </c>
      <c r="E251" s="217">
        <f t="shared" si="41"/>
        <v>5.0999999999999996</v>
      </c>
      <c r="F251" s="218">
        <f t="shared" si="42"/>
        <v>6.1</v>
      </c>
      <c r="G251" s="219">
        <f t="shared" si="43"/>
        <v>6.1</v>
      </c>
      <c r="H251" s="220">
        <f t="shared" si="44"/>
        <v>7.1</v>
      </c>
      <c r="I251" s="257" t="str">
        <f t="shared" si="45"/>
        <v>6-7 years</v>
      </c>
      <c r="J251" s="211">
        <f t="shared" si="46"/>
        <v>0.83835616438356164</v>
      </c>
      <c r="K251" s="258">
        <f>$D251*J251*_xlfn.XLOOKUP($I251,'Sample Size cal and results'!$B$24:$B$25,'Sample Size cal and results'!$H$24:$H$25)</f>
        <v>32.993850856388107</v>
      </c>
      <c r="L251" s="211">
        <f t="shared" si="47"/>
        <v>0.16164383561643836</v>
      </c>
      <c r="M251" s="211">
        <f>$D251*L251*_xlfn.XLOOKUP($I251,'Sample Size cal and results'!$B$24:$B$25,'Sample Size cal and results'!$I$24:$I$25)</f>
        <v>6.5270252775310551</v>
      </c>
      <c r="N251" s="214">
        <f t="shared" si="48"/>
        <v>39.52087613391916</v>
      </c>
      <c r="O251" s="225" t="str">
        <f t="shared" si="49"/>
        <v>7-8 years</v>
      </c>
      <c r="P251" s="226">
        <f t="shared" si="50"/>
        <v>0.89589041095890409</v>
      </c>
      <c r="Q251" s="227">
        <f>$D251*P251*_xlfn.XLOOKUP($O251,'Sample Size cal and results'!$B$26:$B$27,'Sample Size cal and results'!$I$26:$I$27)</f>
        <v>27.941953574572103</v>
      </c>
      <c r="R251" s="330"/>
    </row>
    <row r="252" spans="1:18" ht="12.75">
      <c r="A252" s="99" t="s">
        <v>146</v>
      </c>
      <c r="B252" s="100">
        <v>42026</v>
      </c>
      <c r="C252" s="100">
        <f t="shared" si="40"/>
        <v>44582</v>
      </c>
      <c r="D252" s="209">
        <v>14</v>
      </c>
      <c r="E252" s="217">
        <f t="shared" si="41"/>
        <v>5.0999999999999996</v>
      </c>
      <c r="F252" s="218">
        <f t="shared" si="42"/>
        <v>6.1</v>
      </c>
      <c r="G252" s="219">
        <f t="shared" si="43"/>
        <v>6.1</v>
      </c>
      <c r="H252" s="220">
        <f t="shared" si="44"/>
        <v>7.1</v>
      </c>
      <c r="I252" s="257" t="str">
        <f t="shared" si="45"/>
        <v>6-7 years</v>
      </c>
      <c r="J252" s="211">
        <f t="shared" si="46"/>
        <v>0.83835616438356164</v>
      </c>
      <c r="K252" s="258">
        <f>$D252*J252*_xlfn.XLOOKUP($I252,'Sample Size cal and results'!$B$24:$B$25,'Sample Size cal and results'!$H$24:$H$25)</f>
        <v>9.6232064997798652</v>
      </c>
      <c r="L252" s="211">
        <f t="shared" si="47"/>
        <v>0.16164383561643836</v>
      </c>
      <c r="M252" s="211">
        <f>$D252*L252*_xlfn.XLOOKUP($I252,'Sample Size cal and results'!$B$24:$B$25,'Sample Size cal and results'!$I$24:$I$25)</f>
        <v>1.9037157059465575</v>
      </c>
      <c r="N252" s="214">
        <f t="shared" si="48"/>
        <v>11.526922205726423</v>
      </c>
      <c r="O252" s="225" t="str">
        <f t="shared" si="49"/>
        <v>7-8 years</v>
      </c>
      <c r="P252" s="226">
        <f t="shared" si="50"/>
        <v>0.89589041095890409</v>
      </c>
      <c r="Q252" s="227">
        <f>$D252*P252*_xlfn.XLOOKUP($O252,'Sample Size cal and results'!$B$26:$B$27,'Sample Size cal and results'!$I$26:$I$27)</f>
        <v>8.149736459250196</v>
      </c>
      <c r="R252" s="330"/>
    </row>
    <row r="253" spans="1:18" ht="12.75">
      <c r="A253" s="99" t="s">
        <v>60</v>
      </c>
      <c r="B253" s="100">
        <v>42025</v>
      </c>
      <c r="C253" s="100">
        <f t="shared" si="40"/>
        <v>44581</v>
      </c>
      <c r="D253" s="209">
        <v>742</v>
      </c>
      <c r="E253" s="217">
        <f t="shared" si="41"/>
        <v>5.0999999999999996</v>
      </c>
      <c r="F253" s="218">
        <f t="shared" si="42"/>
        <v>6.1</v>
      </c>
      <c r="G253" s="219">
        <f t="shared" si="43"/>
        <v>6.1</v>
      </c>
      <c r="H253" s="220">
        <f t="shared" si="44"/>
        <v>7.1</v>
      </c>
      <c r="I253" s="257" t="str">
        <f t="shared" si="45"/>
        <v>6-7 years</v>
      </c>
      <c r="J253" s="211">
        <f t="shared" si="46"/>
        <v>0.83835616438356164</v>
      </c>
      <c r="K253" s="258">
        <f>$D253*J253*_xlfn.XLOOKUP($I253,'Sample Size cal and results'!$B$24:$B$25,'Sample Size cal and results'!$H$24:$H$25)</f>
        <v>510.02994448833289</v>
      </c>
      <c r="L253" s="211">
        <f t="shared" si="47"/>
        <v>0.16164383561643836</v>
      </c>
      <c r="M253" s="211">
        <f>$D253*L253*_xlfn.XLOOKUP($I253,'Sample Size cal and results'!$B$24:$B$25,'Sample Size cal and results'!$I$24:$I$25)</f>
        <v>100.89693241516756</v>
      </c>
      <c r="N253" s="214">
        <f t="shared" si="48"/>
        <v>610.92687690350044</v>
      </c>
      <c r="O253" s="225" t="str">
        <f t="shared" si="49"/>
        <v>7-8 years</v>
      </c>
      <c r="P253" s="226">
        <f t="shared" si="50"/>
        <v>0.89315068493150684</v>
      </c>
      <c r="Q253" s="227">
        <f>$D253*P253*_xlfn.XLOOKUP($O253,'Sample Size cal and results'!$B$26:$B$27,'Sample Size cal and results'!$I$26:$I$27)</f>
        <v>430.61512704258377</v>
      </c>
      <c r="R253" s="330"/>
    </row>
    <row r="254" spans="1:18" ht="12.75">
      <c r="A254" s="99" t="s">
        <v>148</v>
      </c>
      <c r="B254" s="100">
        <v>42025</v>
      </c>
      <c r="C254" s="100">
        <f t="shared" si="40"/>
        <v>44581</v>
      </c>
      <c r="D254" s="209">
        <v>45</v>
      </c>
      <c r="E254" s="217">
        <f t="shared" si="41"/>
        <v>5.0999999999999996</v>
      </c>
      <c r="F254" s="218">
        <f t="shared" si="42"/>
        <v>6.1</v>
      </c>
      <c r="G254" s="219">
        <f t="shared" si="43"/>
        <v>6.1</v>
      </c>
      <c r="H254" s="220">
        <f t="shared" si="44"/>
        <v>7.1</v>
      </c>
      <c r="I254" s="257" t="str">
        <f t="shared" si="45"/>
        <v>6-7 years</v>
      </c>
      <c r="J254" s="211">
        <f t="shared" si="46"/>
        <v>0.83835616438356164</v>
      </c>
      <c r="K254" s="258">
        <f>$D254*J254*_xlfn.XLOOKUP($I254,'Sample Size cal and results'!$B$24:$B$25,'Sample Size cal and results'!$H$24:$H$25)</f>
        <v>30.931735177863853</v>
      </c>
      <c r="L254" s="211">
        <f t="shared" si="47"/>
        <v>0.16164383561643836</v>
      </c>
      <c r="M254" s="211">
        <f>$D254*L254*_xlfn.XLOOKUP($I254,'Sample Size cal and results'!$B$24:$B$25,'Sample Size cal and results'!$I$24:$I$25)</f>
        <v>6.1190861976853643</v>
      </c>
      <c r="N254" s="214">
        <f t="shared" si="48"/>
        <v>37.050821375549219</v>
      </c>
      <c r="O254" s="225" t="str">
        <f t="shared" si="49"/>
        <v>7-8 years</v>
      </c>
      <c r="P254" s="226">
        <f t="shared" si="50"/>
        <v>0.89315068493150684</v>
      </c>
      <c r="Q254" s="227">
        <f>$D254*P254*_xlfn.XLOOKUP($O254,'Sample Size cal and results'!$B$26:$B$27,'Sample Size cal and results'!$I$26:$I$27)</f>
        <v>26.115472664307642</v>
      </c>
      <c r="R254" s="330"/>
    </row>
    <row r="255" spans="1:18" ht="12.75">
      <c r="A255" s="99" t="s">
        <v>146</v>
      </c>
      <c r="B255" s="100">
        <v>42025</v>
      </c>
      <c r="C255" s="100">
        <f t="shared" si="40"/>
        <v>44581</v>
      </c>
      <c r="D255" s="209">
        <v>6</v>
      </c>
      <c r="E255" s="217">
        <f t="shared" si="41"/>
        <v>5.0999999999999996</v>
      </c>
      <c r="F255" s="218">
        <f t="shared" si="42"/>
        <v>6.1</v>
      </c>
      <c r="G255" s="219">
        <f t="shared" si="43"/>
        <v>6.1</v>
      </c>
      <c r="H255" s="220">
        <f t="shared" si="44"/>
        <v>7.1</v>
      </c>
      <c r="I255" s="257" t="str">
        <f t="shared" si="45"/>
        <v>6-7 years</v>
      </c>
      <c r="J255" s="211">
        <f t="shared" si="46"/>
        <v>0.83835616438356164</v>
      </c>
      <c r="K255" s="258">
        <f>$D255*J255*_xlfn.XLOOKUP($I255,'Sample Size cal and results'!$B$24:$B$25,'Sample Size cal and results'!$H$24:$H$25)</f>
        <v>4.1242313570485134</v>
      </c>
      <c r="L255" s="211">
        <f t="shared" si="47"/>
        <v>0.16164383561643836</v>
      </c>
      <c r="M255" s="211">
        <f>$D255*L255*_xlfn.XLOOKUP($I255,'Sample Size cal and results'!$B$24:$B$25,'Sample Size cal and results'!$I$24:$I$25)</f>
        <v>0.81587815969138189</v>
      </c>
      <c r="N255" s="214">
        <f t="shared" si="48"/>
        <v>4.940109516739895</v>
      </c>
      <c r="O255" s="225" t="str">
        <f t="shared" si="49"/>
        <v>7-8 years</v>
      </c>
      <c r="P255" s="226">
        <f t="shared" si="50"/>
        <v>0.89315068493150684</v>
      </c>
      <c r="Q255" s="227">
        <f>$D255*P255*_xlfn.XLOOKUP($O255,'Sample Size cal and results'!$B$26:$B$27,'Sample Size cal and results'!$I$26:$I$27)</f>
        <v>3.4820630219076851</v>
      </c>
      <c r="R255" s="330"/>
    </row>
    <row r="256" spans="1:18" ht="12.75">
      <c r="A256" s="99" t="s">
        <v>60</v>
      </c>
      <c r="B256" s="100">
        <v>42024</v>
      </c>
      <c r="C256" s="100">
        <f t="shared" si="40"/>
        <v>44580</v>
      </c>
      <c r="D256" s="209">
        <v>1146</v>
      </c>
      <c r="E256" s="217">
        <f t="shared" si="41"/>
        <v>5.1100000000000003</v>
      </c>
      <c r="F256" s="218">
        <f t="shared" si="42"/>
        <v>6.1</v>
      </c>
      <c r="G256" s="219">
        <f t="shared" si="43"/>
        <v>6.11</v>
      </c>
      <c r="H256" s="220">
        <f t="shared" si="44"/>
        <v>7.1</v>
      </c>
      <c r="I256" s="257" t="str">
        <f t="shared" si="45"/>
        <v>6-7 years</v>
      </c>
      <c r="J256" s="211">
        <f t="shared" si="46"/>
        <v>0.83835616438356164</v>
      </c>
      <c r="K256" s="258">
        <f>$D256*J256*_xlfn.XLOOKUP($I256,'Sample Size cal and results'!$B$24:$B$25,'Sample Size cal and results'!$H$24:$H$25)</f>
        <v>787.72818919626616</v>
      </c>
      <c r="L256" s="211">
        <f t="shared" si="47"/>
        <v>0.16164383561643836</v>
      </c>
      <c r="M256" s="211">
        <f>$D256*L256*_xlfn.XLOOKUP($I256,'Sample Size cal and results'!$B$24:$B$25,'Sample Size cal and results'!$I$24:$I$25)</f>
        <v>155.83272850105394</v>
      </c>
      <c r="N256" s="214">
        <f t="shared" si="48"/>
        <v>943.56091769732006</v>
      </c>
      <c r="O256" s="225" t="str">
        <f t="shared" si="49"/>
        <v>7-8 years</v>
      </c>
      <c r="P256" s="226">
        <f t="shared" si="50"/>
        <v>0.8904109589041096</v>
      </c>
      <c r="Q256" s="227">
        <f>$D256*P256*_xlfn.XLOOKUP($O256,'Sample Size cal and results'!$B$26:$B$27,'Sample Size cal and results'!$I$26:$I$27)</f>
        <v>663.033932775827</v>
      </c>
      <c r="R256" s="330"/>
    </row>
    <row r="257" spans="1:18" ht="12.75">
      <c r="A257" s="99" t="s">
        <v>148</v>
      </c>
      <c r="B257" s="100">
        <v>42024</v>
      </c>
      <c r="C257" s="100">
        <f t="shared" si="40"/>
        <v>44580</v>
      </c>
      <c r="D257" s="209">
        <v>49</v>
      </c>
      <c r="E257" s="217">
        <f t="shared" si="41"/>
        <v>5.1100000000000003</v>
      </c>
      <c r="F257" s="218">
        <f t="shared" si="42"/>
        <v>6.1</v>
      </c>
      <c r="G257" s="219">
        <f t="shared" si="43"/>
        <v>6.11</v>
      </c>
      <c r="H257" s="220">
        <f t="shared" si="44"/>
        <v>7.1</v>
      </c>
      <c r="I257" s="257" t="str">
        <f t="shared" si="45"/>
        <v>6-7 years</v>
      </c>
      <c r="J257" s="211">
        <f t="shared" si="46"/>
        <v>0.83835616438356164</v>
      </c>
      <c r="K257" s="258">
        <f>$D257*J257*_xlfn.XLOOKUP($I257,'Sample Size cal and results'!$B$24:$B$25,'Sample Size cal and results'!$H$24:$H$25)</f>
        <v>33.681222749229526</v>
      </c>
      <c r="L257" s="211">
        <f t="shared" si="47"/>
        <v>0.16164383561643836</v>
      </c>
      <c r="M257" s="211">
        <f>$D257*L257*_xlfn.XLOOKUP($I257,'Sample Size cal and results'!$B$24:$B$25,'Sample Size cal and results'!$I$24:$I$25)</f>
        <v>6.6630049708129517</v>
      </c>
      <c r="N257" s="214">
        <f t="shared" si="48"/>
        <v>40.344227720042475</v>
      </c>
      <c r="O257" s="225" t="str">
        <f t="shared" si="49"/>
        <v>7-8 years</v>
      </c>
      <c r="P257" s="226">
        <f t="shared" si="50"/>
        <v>0.8904109589041096</v>
      </c>
      <c r="Q257" s="227">
        <f>$D257*P257*_xlfn.XLOOKUP($O257,'Sample Size cal and results'!$B$26:$B$27,'Sample Size cal and results'!$I$26:$I$27)</f>
        <v>28.34961841711651</v>
      </c>
      <c r="R257" s="330"/>
    </row>
    <row r="258" spans="1:18" ht="12.75">
      <c r="A258" s="99" t="s">
        <v>146</v>
      </c>
      <c r="B258" s="100">
        <v>42024</v>
      </c>
      <c r="C258" s="100">
        <f t="shared" si="40"/>
        <v>44580</v>
      </c>
      <c r="D258" s="209">
        <v>8</v>
      </c>
      <c r="E258" s="217">
        <f t="shared" si="41"/>
        <v>5.1100000000000003</v>
      </c>
      <c r="F258" s="218">
        <f t="shared" si="42"/>
        <v>6.1</v>
      </c>
      <c r="G258" s="219">
        <f t="shared" si="43"/>
        <v>6.11</v>
      </c>
      <c r="H258" s="220">
        <f t="shared" si="44"/>
        <v>7.1</v>
      </c>
      <c r="I258" s="257" t="str">
        <f t="shared" si="45"/>
        <v>6-7 years</v>
      </c>
      <c r="J258" s="211">
        <f t="shared" si="46"/>
        <v>0.83835616438356164</v>
      </c>
      <c r="K258" s="258">
        <f>$D258*J258*_xlfn.XLOOKUP($I258,'Sample Size cal and results'!$B$24:$B$25,'Sample Size cal and results'!$H$24:$H$25)</f>
        <v>5.4989751427313518</v>
      </c>
      <c r="L258" s="211">
        <f t="shared" si="47"/>
        <v>0.16164383561643836</v>
      </c>
      <c r="M258" s="211">
        <f>$D258*L258*_xlfn.XLOOKUP($I258,'Sample Size cal and results'!$B$24:$B$25,'Sample Size cal and results'!$I$24:$I$25)</f>
        <v>1.0878375462551759</v>
      </c>
      <c r="N258" s="214">
        <f t="shared" si="48"/>
        <v>6.5868126889865275</v>
      </c>
      <c r="O258" s="225" t="str">
        <f t="shared" si="49"/>
        <v>7-8 years</v>
      </c>
      <c r="P258" s="226">
        <f t="shared" si="50"/>
        <v>0.8904109589041096</v>
      </c>
      <c r="Q258" s="227">
        <f>$D258*P258*_xlfn.XLOOKUP($O258,'Sample Size cal and results'!$B$26:$B$27,'Sample Size cal and results'!$I$26:$I$27)</f>
        <v>4.6285091293251446</v>
      </c>
      <c r="R258" s="330"/>
    </row>
    <row r="259" spans="1:18" ht="12.75">
      <c r="A259" s="99" t="s">
        <v>60</v>
      </c>
      <c r="B259" s="100">
        <v>42023</v>
      </c>
      <c r="C259" s="100">
        <f t="shared" ref="C259:C322" si="51">EDATE(B259,84)-1</f>
        <v>44579</v>
      </c>
      <c r="D259" s="209">
        <v>1485</v>
      </c>
      <c r="E259" s="217">
        <f t="shared" ref="E259:E322" si="52">ROUNDDOWN(YEARFRAC($B259,$AB$4,1),2)</f>
        <v>5.1100000000000003</v>
      </c>
      <c r="F259" s="218">
        <f t="shared" ref="F259:F322" si="53">ROUNDDOWN(YEARFRAC($B259,$AB$5,1),2)</f>
        <v>6.11</v>
      </c>
      <c r="G259" s="219">
        <f t="shared" ref="G259:G322" si="54">ROUNDDOWN(YEARFRAC($B259,$AC$4,1),2)</f>
        <v>6.11</v>
      </c>
      <c r="H259" s="220">
        <f t="shared" ref="H259:H322" si="55">ROUNDDOWN(YEARFRAC($B259,$AC$5,1),2)</f>
        <v>7.11</v>
      </c>
      <c r="I259" s="257" t="str">
        <f t="shared" ref="I259:I322" si="56">IF(DATEDIF($B259,$AB$5,"y")=5,"5-6 years","6-7 years")</f>
        <v>6-7 years</v>
      </c>
      <c r="J259" s="211">
        <f t="shared" ref="J259:J322" si="57">MAX(MIN($AC$7,C259)-MAX($AB$4,$B259,_xlfn.XLOOKUP($A259,$AE$3:$AE$37,$AF$3:$AF$37))+1,0)/365</f>
        <v>0.83835616438356164</v>
      </c>
      <c r="K259" s="258">
        <f>$D259*J259*_xlfn.XLOOKUP($I259,'Sample Size cal and results'!$B$24:$B$25,'Sample Size cal and results'!$H$24:$H$25)</f>
        <v>1020.747260869507</v>
      </c>
      <c r="L259" s="211">
        <f t="shared" ref="L259:L322" si="58">MAX(MIN($AB$5,C259)-MAX($AC$8,$B259,_xlfn.XLOOKUP($A259,$AE$3:$AE$37,$AF$3:$AF$37))+1,0)/365</f>
        <v>0.16164383561643836</v>
      </c>
      <c r="M259" s="211">
        <f>$D259*L259*_xlfn.XLOOKUP($I259,'Sample Size cal and results'!$B$24:$B$25,'Sample Size cal and results'!$I$24:$I$25)</f>
        <v>201.92984452361702</v>
      </c>
      <c r="N259" s="214">
        <f t="shared" ref="N259:N322" si="59">M259+K259</f>
        <v>1222.6771053931241</v>
      </c>
      <c r="O259" s="225" t="str">
        <f t="shared" ref="O259:O322" si="60">IF(DATEDIF($B259,$AC$5,"y")=6,"6-7 years","7-8 years")</f>
        <v>7-8 years</v>
      </c>
      <c r="P259" s="226">
        <f t="shared" ref="P259:P322" si="61">MAX(MIN($AC$5,C259)-MAX($AC$4,$B259,_xlfn.XLOOKUP($A259,$AE$3:$AE$37,$AF$3:$AF$37))+1,0)/365</f>
        <v>0.88767123287671235</v>
      </c>
      <c r="Q259" s="227">
        <f>$D259*P259*_xlfn.XLOOKUP($O259,'Sample Size cal and results'!$B$26:$B$27,'Sample Size cal and results'!$I$26:$I$27)</f>
        <v>856.52341633980768</v>
      </c>
      <c r="R259" s="330"/>
    </row>
    <row r="260" spans="1:18" ht="12.75">
      <c r="A260" s="99" t="s">
        <v>148</v>
      </c>
      <c r="B260" s="100">
        <v>42023</v>
      </c>
      <c r="C260" s="100">
        <f t="shared" si="51"/>
        <v>44579</v>
      </c>
      <c r="D260" s="209">
        <v>39</v>
      </c>
      <c r="E260" s="217">
        <f t="shared" si="52"/>
        <v>5.1100000000000003</v>
      </c>
      <c r="F260" s="218">
        <f t="shared" si="53"/>
        <v>6.11</v>
      </c>
      <c r="G260" s="219">
        <f t="shared" si="54"/>
        <v>6.11</v>
      </c>
      <c r="H260" s="220">
        <f t="shared" si="55"/>
        <v>7.11</v>
      </c>
      <c r="I260" s="257" t="str">
        <f t="shared" si="56"/>
        <v>6-7 years</v>
      </c>
      <c r="J260" s="211">
        <f t="shared" si="57"/>
        <v>0.83835616438356164</v>
      </c>
      <c r="K260" s="258">
        <f>$D260*J260*_xlfn.XLOOKUP($I260,'Sample Size cal and results'!$B$24:$B$25,'Sample Size cal and results'!$H$24:$H$25)</f>
        <v>26.807503820815338</v>
      </c>
      <c r="L260" s="211">
        <f t="shared" si="58"/>
        <v>0.16164383561643836</v>
      </c>
      <c r="M260" s="211">
        <f>$D260*L260*_xlfn.XLOOKUP($I260,'Sample Size cal and results'!$B$24:$B$25,'Sample Size cal and results'!$I$24:$I$25)</f>
        <v>5.3032080379939828</v>
      </c>
      <c r="N260" s="214">
        <f t="shared" si="59"/>
        <v>32.110711858809324</v>
      </c>
      <c r="O260" s="225" t="str">
        <f t="shared" si="60"/>
        <v>7-8 years</v>
      </c>
      <c r="P260" s="226">
        <f t="shared" si="61"/>
        <v>0.88767123287671235</v>
      </c>
      <c r="Q260" s="227">
        <f>$D260*P260*_xlfn.XLOOKUP($O260,'Sample Size cal and results'!$B$26:$B$27,'Sample Size cal and results'!$I$26:$I$27)</f>
        <v>22.494554368520202</v>
      </c>
      <c r="R260" s="330"/>
    </row>
    <row r="261" spans="1:18" ht="12.75">
      <c r="A261" s="99" t="s">
        <v>146</v>
      </c>
      <c r="B261" s="100">
        <v>42023</v>
      </c>
      <c r="C261" s="100">
        <f t="shared" si="51"/>
        <v>44579</v>
      </c>
      <c r="D261" s="209">
        <v>7</v>
      </c>
      <c r="E261" s="217">
        <f t="shared" si="52"/>
        <v>5.1100000000000003</v>
      </c>
      <c r="F261" s="218">
        <f t="shared" si="53"/>
        <v>6.11</v>
      </c>
      <c r="G261" s="219">
        <f t="shared" si="54"/>
        <v>6.11</v>
      </c>
      <c r="H261" s="220">
        <f t="shared" si="55"/>
        <v>7.11</v>
      </c>
      <c r="I261" s="257" t="str">
        <f t="shared" si="56"/>
        <v>6-7 years</v>
      </c>
      <c r="J261" s="211">
        <f t="shared" si="57"/>
        <v>0.83835616438356164</v>
      </c>
      <c r="K261" s="258">
        <f>$D261*J261*_xlfn.XLOOKUP($I261,'Sample Size cal and results'!$B$24:$B$25,'Sample Size cal and results'!$H$24:$H$25)</f>
        <v>4.8116032498899326</v>
      </c>
      <c r="L261" s="211">
        <f t="shared" si="58"/>
        <v>0.16164383561643836</v>
      </c>
      <c r="M261" s="211">
        <f>$D261*L261*_xlfn.XLOOKUP($I261,'Sample Size cal and results'!$B$24:$B$25,'Sample Size cal and results'!$I$24:$I$25)</f>
        <v>0.95185785297327874</v>
      </c>
      <c r="N261" s="214">
        <f t="shared" si="59"/>
        <v>5.7634611028632117</v>
      </c>
      <c r="O261" s="225" t="str">
        <f t="shared" si="60"/>
        <v>7-8 years</v>
      </c>
      <c r="P261" s="226">
        <f t="shared" si="61"/>
        <v>0.88767123287671235</v>
      </c>
      <c r="Q261" s="227">
        <f>$D261*P261*_xlfn.XLOOKUP($O261,'Sample Size cal and results'!$B$26:$B$27,'Sample Size cal and results'!$I$26:$I$27)</f>
        <v>4.0374841174267031</v>
      </c>
      <c r="R261" s="330"/>
    </row>
    <row r="262" spans="1:18" ht="12.75">
      <c r="A262" s="99" t="s">
        <v>60</v>
      </c>
      <c r="B262" s="100">
        <v>42022</v>
      </c>
      <c r="C262" s="100">
        <f t="shared" si="51"/>
        <v>44578</v>
      </c>
      <c r="D262" s="209">
        <v>272</v>
      </c>
      <c r="E262" s="217">
        <f t="shared" si="52"/>
        <v>5.1100000000000003</v>
      </c>
      <c r="F262" s="218">
        <f t="shared" si="53"/>
        <v>6.11</v>
      </c>
      <c r="G262" s="219">
        <f t="shared" si="54"/>
        <v>6.11</v>
      </c>
      <c r="H262" s="220">
        <f t="shared" si="55"/>
        <v>7.11</v>
      </c>
      <c r="I262" s="257" t="str">
        <f t="shared" si="56"/>
        <v>6-7 years</v>
      </c>
      <c r="J262" s="211">
        <f t="shared" si="57"/>
        <v>0.83835616438356164</v>
      </c>
      <c r="K262" s="258">
        <f>$D262*J262*_xlfn.XLOOKUP($I262,'Sample Size cal and results'!$B$24:$B$25,'Sample Size cal and results'!$H$24:$H$25)</f>
        <v>186.96515485286596</v>
      </c>
      <c r="L262" s="211">
        <f t="shared" si="58"/>
        <v>0.16164383561643836</v>
      </c>
      <c r="M262" s="211">
        <f>$D262*L262*_xlfn.XLOOKUP($I262,'Sample Size cal and results'!$B$24:$B$25,'Sample Size cal and results'!$I$24:$I$25)</f>
        <v>36.986476572675983</v>
      </c>
      <c r="N262" s="214">
        <f t="shared" si="59"/>
        <v>223.95163142554196</v>
      </c>
      <c r="O262" s="225" t="str">
        <f t="shared" si="60"/>
        <v>7-8 years</v>
      </c>
      <c r="P262" s="226">
        <f t="shared" si="61"/>
        <v>0.8849315068493151</v>
      </c>
      <c r="Q262" s="227">
        <f>$D262*P262*_xlfn.XLOOKUP($O262,'Sample Size cal and results'!$B$26:$B$27,'Sample Size cal and results'!$I$26:$I$27)</f>
        <v>156.40088387153457</v>
      </c>
      <c r="R262" s="330"/>
    </row>
    <row r="263" spans="1:18" ht="12.75">
      <c r="A263" s="99" t="s">
        <v>148</v>
      </c>
      <c r="B263" s="100">
        <v>42022</v>
      </c>
      <c r="C263" s="100">
        <f t="shared" si="51"/>
        <v>44578</v>
      </c>
      <c r="D263" s="209">
        <v>39</v>
      </c>
      <c r="E263" s="217">
        <f t="shared" si="52"/>
        <v>5.1100000000000003</v>
      </c>
      <c r="F263" s="218">
        <f t="shared" si="53"/>
        <v>6.11</v>
      </c>
      <c r="G263" s="219">
        <f t="shared" si="54"/>
        <v>6.11</v>
      </c>
      <c r="H263" s="220">
        <f t="shared" si="55"/>
        <v>7.11</v>
      </c>
      <c r="I263" s="257" t="str">
        <f t="shared" si="56"/>
        <v>6-7 years</v>
      </c>
      <c r="J263" s="211">
        <f t="shared" si="57"/>
        <v>0.83835616438356164</v>
      </c>
      <c r="K263" s="258">
        <f>$D263*J263*_xlfn.XLOOKUP($I263,'Sample Size cal and results'!$B$24:$B$25,'Sample Size cal and results'!$H$24:$H$25)</f>
        <v>26.807503820815338</v>
      </c>
      <c r="L263" s="211">
        <f t="shared" si="58"/>
        <v>0.16164383561643836</v>
      </c>
      <c r="M263" s="211">
        <f>$D263*L263*_xlfn.XLOOKUP($I263,'Sample Size cal and results'!$B$24:$B$25,'Sample Size cal and results'!$I$24:$I$25)</f>
        <v>5.3032080379939828</v>
      </c>
      <c r="N263" s="214">
        <f t="shared" si="59"/>
        <v>32.110711858809324</v>
      </c>
      <c r="O263" s="225" t="str">
        <f t="shared" si="60"/>
        <v>7-8 years</v>
      </c>
      <c r="P263" s="226">
        <f t="shared" si="61"/>
        <v>0.8849315068493151</v>
      </c>
      <c r="Q263" s="227">
        <f>$D263*P263*_xlfn.XLOOKUP($O263,'Sample Size cal and results'!$B$26:$B$27,'Sample Size cal and results'!$I$26:$I$27)</f>
        <v>22.425126731580324</v>
      </c>
      <c r="R263" s="330"/>
    </row>
    <row r="264" spans="1:18" ht="12.75">
      <c r="A264" s="99" t="s">
        <v>146</v>
      </c>
      <c r="B264" s="100">
        <v>42022</v>
      </c>
      <c r="C264" s="100">
        <f t="shared" si="51"/>
        <v>44578</v>
      </c>
      <c r="D264" s="209">
        <v>5</v>
      </c>
      <c r="E264" s="217">
        <f t="shared" si="52"/>
        <v>5.1100000000000003</v>
      </c>
      <c r="F264" s="218">
        <f t="shared" si="53"/>
        <v>6.11</v>
      </c>
      <c r="G264" s="219">
        <f t="shared" si="54"/>
        <v>6.11</v>
      </c>
      <c r="H264" s="220">
        <f t="shared" si="55"/>
        <v>7.11</v>
      </c>
      <c r="I264" s="257" t="str">
        <f t="shared" si="56"/>
        <v>6-7 years</v>
      </c>
      <c r="J264" s="211">
        <f t="shared" si="57"/>
        <v>0.83835616438356164</v>
      </c>
      <c r="K264" s="258">
        <f>$D264*J264*_xlfn.XLOOKUP($I264,'Sample Size cal and results'!$B$24:$B$25,'Sample Size cal and results'!$H$24:$H$25)</f>
        <v>3.4368594642070946</v>
      </c>
      <c r="L264" s="211">
        <f t="shared" si="58"/>
        <v>0.16164383561643836</v>
      </c>
      <c r="M264" s="211">
        <f>$D264*L264*_xlfn.XLOOKUP($I264,'Sample Size cal and results'!$B$24:$B$25,'Sample Size cal and results'!$I$24:$I$25)</f>
        <v>0.67989846640948493</v>
      </c>
      <c r="N264" s="214">
        <f t="shared" si="59"/>
        <v>4.1167579306165791</v>
      </c>
      <c r="O264" s="225" t="str">
        <f t="shared" si="60"/>
        <v>7-8 years</v>
      </c>
      <c r="P264" s="226">
        <f t="shared" si="61"/>
        <v>0.8849315068493151</v>
      </c>
      <c r="Q264" s="227">
        <f>$D264*P264*_xlfn.XLOOKUP($O264,'Sample Size cal and results'!$B$26:$B$27,'Sample Size cal and results'!$I$26:$I$27)</f>
        <v>2.8750162476385035</v>
      </c>
      <c r="R264" s="330"/>
    </row>
    <row r="265" spans="1:18" ht="12.75">
      <c r="A265" s="99" t="s">
        <v>60</v>
      </c>
      <c r="B265" s="100">
        <v>42021</v>
      </c>
      <c r="C265" s="100">
        <f t="shared" si="51"/>
        <v>44577</v>
      </c>
      <c r="D265" s="209">
        <v>703</v>
      </c>
      <c r="E265" s="217">
        <f t="shared" si="52"/>
        <v>5.1100000000000003</v>
      </c>
      <c r="F265" s="218">
        <f t="shared" si="53"/>
        <v>6.11</v>
      </c>
      <c r="G265" s="219">
        <f t="shared" si="54"/>
        <v>6.11</v>
      </c>
      <c r="H265" s="220">
        <f t="shared" si="55"/>
        <v>7.11</v>
      </c>
      <c r="I265" s="257" t="str">
        <f t="shared" si="56"/>
        <v>6-7 years</v>
      </c>
      <c r="J265" s="211">
        <f t="shared" si="57"/>
        <v>0.83835616438356164</v>
      </c>
      <c r="K265" s="258">
        <f>$D265*J265*_xlfn.XLOOKUP($I265,'Sample Size cal and results'!$B$24:$B$25,'Sample Size cal and results'!$H$24:$H$25)</f>
        <v>483.22244066751756</v>
      </c>
      <c r="L265" s="211">
        <f t="shared" si="58"/>
        <v>0.16164383561643836</v>
      </c>
      <c r="M265" s="211">
        <f>$D265*L265*_xlfn.XLOOKUP($I265,'Sample Size cal and results'!$B$24:$B$25,'Sample Size cal and results'!$I$24:$I$25)</f>
        <v>95.593724377173572</v>
      </c>
      <c r="N265" s="214">
        <f t="shared" si="59"/>
        <v>578.81616504469116</v>
      </c>
      <c r="O265" s="225" t="str">
        <f t="shared" si="60"/>
        <v>7-8 years</v>
      </c>
      <c r="P265" s="226">
        <f t="shared" si="61"/>
        <v>0.88219178082191785</v>
      </c>
      <c r="Q265" s="227">
        <f>$D265*P265*_xlfn.XLOOKUP($O265,'Sample Size cal and results'!$B$26:$B$27,'Sample Size cal and results'!$I$26:$I$27)</f>
        <v>402.97580675723674</v>
      </c>
      <c r="R265" s="330"/>
    </row>
    <row r="266" spans="1:18" ht="12.75">
      <c r="A266" s="99" t="s">
        <v>148</v>
      </c>
      <c r="B266" s="100">
        <v>42021</v>
      </c>
      <c r="C266" s="100">
        <f t="shared" si="51"/>
        <v>44577</v>
      </c>
      <c r="D266" s="209">
        <v>42</v>
      </c>
      <c r="E266" s="217">
        <f t="shared" si="52"/>
        <v>5.1100000000000003</v>
      </c>
      <c r="F266" s="218">
        <f t="shared" si="53"/>
        <v>6.11</v>
      </c>
      <c r="G266" s="219">
        <f t="shared" si="54"/>
        <v>6.11</v>
      </c>
      <c r="H266" s="220">
        <f t="shared" si="55"/>
        <v>7.11</v>
      </c>
      <c r="I266" s="257" t="str">
        <f t="shared" si="56"/>
        <v>6-7 years</v>
      </c>
      <c r="J266" s="211">
        <f t="shared" si="57"/>
        <v>0.83835616438356164</v>
      </c>
      <c r="K266" s="258">
        <f>$D266*J266*_xlfn.XLOOKUP($I266,'Sample Size cal and results'!$B$24:$B$25,'Sample Size cal and results'!$H$24:$H$25)</f>
        <v>28.869619499339596</v>
      </c>
      <c r="L266" s="211">
        <f t="shared" si="58"/>
        <v>0.16164383561643836</v>
      </c>
      <c r="M266" s="211">
        <f>$D266*L266*_xlfn.XLOOKUP($I266,'Sample Size cal and results'!$B$24:$B$25,'Sample Size cal and results'!$I$24:$I$25)</f>
        <v>5.7111471178396735</v>
      </c>
      <c r="N266" s="214">
        <f t="shared" si="59"/>
        <v>34.580766617179272</v>
      </c>
      <c r="O266" s="225" t="str">
        <f t="shared" si="60"/>
        <v>7-8 years</v>
      </c>
      <c r="P266" s="226">
        <f t="shared" si="61"/>
        <v>0.88219178082191785</v>
      </c>
      <c r="Q266" s="227">
        <f>$D266*P266*_xlfn.XLOOKUP($O266,'Sample Size cal and results'!$B$26:$B$27,'Sample Size cal and results'!$I$26:$I$27)</f>
        <v>24.075368255766637</v>
      </c>
      <c r="R266" s="330"/>
    </row>
    <row r="267" spans="1:18" ht="12.75">
      <c r="A267" s="99" t="s">
        <v>146</v>
      </c>
      <c r="B267" s="100">
        <v>42021</v>
      </c>
      <c r="C267" s="100">
        <f t="shared" si="51"/>
        <v>44577</v>
      </c>
      <c r="D267" s="209">
        <v>3</v>
      </c>
      <c r="E267" s="217">
        <f t="shared" si="52"/>
        <v>5.1100000000000003</v>
      </c>
      <c r="F267" s="218">
        <f t="shared" si="53"/>
        <v>6.11</v>
      </c>
      <c r="G267" s="219">
        <f t="shared" si="54"/>
        <v>6.11</v>
      </c>
      <c r="H267" s="220">
        <f t="shared" si="55"/>
        <v>7.11</v>
      </c>
      <c r="I267" s="257" t="str">
        <f t="shared" si="56"/>
        <v>6-7 years</v>
      </c>
      <c r="J267" s="211">
        <f t="shared" si="57"/>
        <v>0.83835616438356164</v>
      </c>
      <c r="K267" s="258">
        <f>$D267*J267*_xlfn.XLOOKUP($I267,'Sample Size cal and results'!$B$24:$B$25,'Sample Size cal and results'!$H$24:$H$25)</f>
        <v>2.0621156785242567</v>
      </c>
      <c r="L267" s="211">
        <f t="shared" si="58"/>
        <v>0.16164383561643836</v>
      </c>
      <c r="M267" s="211">
        <f>$D267*L267*_xlfn.XLOOKUP($I267,'Sample Size cal and results'!$B$24:$B$25,'Sample Size cal and results'!$I$24:$I$25)</f>
        <v>0.40793907984569094</v>
      </c>
      <c r="N267" s="214">
        <f t="shared" si="59"/>
        <v>2.4700547583699475</v>
      </c>
      <c r="O267" s="225" t="str">
        <f t="shared" si="60"/>
        <v>7-8 years</v>
      </c>
      <c r="P267" s="226">
        <f t="shared" si="61"/>
        <v>0.88219178082191785</v>
      </c>
      <c r="Q267" s="227">
        <f>$D267*P267*_xlfn.XLOOKUP($O267,'Sample Size cal and results'!$B$26:$B$27,'Sample Size cal and results'!$I$26:$I$27)</f>
        <v>1.7196691611261883</v>
      </c>
      <c r="R267" s="330"/>
    </row>
    <row r="268" spans="1:18" ht="12.75">
      <c r="A268" s="99" t="s">
        <v>60</v>
      </c>
      <c r="B268" s="100">
        <v>42020</v>
      </c>
      <c r="C268" s="100">
        <f t="shared" si="51"/>
        <v>44576</v>
      </c>
      <c r="D268" s="209">
        <v>401</v>
      </c>
      <c r="E268" s="217">
        <f t="shared" si="52"/>
        <v>5.12</v>
      </c>
      <c r="F268" s="218">
        <f t="shared" si="53"/>
        <v>6.11</v>
      </c>
      <c r="G268" s="219">
        <f t="shared" si="54"/>
        <v>6.12</v>
      </c>
      <c r="H268" s="220">
        <f t="shared" si="55"/>
        <v>7.11</v>
      </c>
      <c r="I268" s="257" t="str">
        <f t="shared" si="56"/>
        <v>6-7 years</v>
      </c>
      <c r="J268" s="211">
        <f t="shared" si="57"/>
        <v>0.83835616438356164</v>
      </c>
      <c r="K268" s="258">
        <f>$D268*J268*_xlfn.XLOOKUP($I268,'Sample Size cal and results'!$B$24:$B$25,'Sample Size cal and results'!$H$24:$H$25)</f>
        <v>275.63612902940901</v>
      </c>
      <c r="L268" s="211">
        <f t="shared" si="58"/>
        <v>0.16164383561643836</v>
      </c>
      <c r="M268" s="211">
        <f>$D268*L268*_xlfn.XLOOKUP($I268,'Sample Size cal and results'!$B$24:$B$25,'Sample Size cal and results'!$I$24:$I$25)</f>
        <v>54.527857006040691</v>
      </c>
      <c r="N268" s="214">
        <f t="shared" si="59"/>
        <v>330.16398603544968</v>
      </c>
      <c r="O268" s="225" t="str">
        <f t="shared" si="60"/>
        <v>7-8 years</v>
      </c>
      <c r="P268" s="226">
        <f t="shared" si="61"/>
        <v>0.8794520547945206</v>
      </c>
      <c r="Q268" s="227">
        <f>$D268*P268*_xlfn.XLOOKUP($O268,'Sample Size cal and results'!$B$26:$B$27,'Sample Size cal and results'!$I$26:$I$27)</f>
        <v>229.14858601379305</v>
      </c>
      <c r="R268" s="330"/>
    </row>
    <row r="269" spans="1:18" ht="12.75">
      <c r="A269" s="99" t="s">
        <v>148</v>
      </c>
      <c r="B269" s="100">
        <v>42020</v>
      </c>
      <c r="C269" s="100">
        <f t="shared" si="51"/>
        <v>44576</v>
      </c>
      <c r="D269" s="209">
        <v>34</v>
      </c>
      <c r="E269" s="217">
        <f t="shared" si="52"/>
        <v>5.12</v>
      </c>
      <c r="F269" s="218">
        <f t="shared" si="53"/>
        <v>6.11</v>
      </c>
      <c r="G269" s="219">
        <f t="shared" si="54"/>
        <v>6.12</v>
      </c>
      <c r="H269" s="220">
        <f t="shared" si="55"/>
        <v>7.11</v>
      </c>
      <c r="I269" s="257" t="str">
        <f t="shared" si="56"/>
        <v>6-7 years</v>
      </c>
      <c r="J269" s="211">
        <f t="shared" si="57"/>
        <v>0.83835616438356164</v>
      </c>
      <c r="K269" s="258">
        <f>$D269*J269*_xlfn.XLOOKUP($I269,'Sample Size cal and results'!$B$24:$B$25,'Sample Size cal and results'!$H$24:$H$25)</f>
        <v>23.370644356608246</v>
      </c>
      <c r="L269" s="211">
        <f t="shared" si="58"/>
        <v>0.16164383561643836</v>
      </c>
      <c r="M269" s="211">
        <f>$D269*L269*_xlfn.XLOOKUP($I269,'Sample Size cal and results'!$B$24:$B$25,'Sample Size cal and results'!$I$24:$I$25)</f>
        <v>4.6233095715844978</v>
      </c>
      <c r="N269" s="214">
        <f t="shared" si="59"/>
        <v>27.993953928192745</v>
      </c>
      <c r="O269" s="225" t="str">
        <f t="shared" si="60"/>
        <v>7-8 years</v>
      </c>
      <c r="P269" s="226">
        <f t="shared" si="61"/>
        <v>0.8794520547945206</v>
      </c>
      <c r="Q269" s="227">
        <f>$D269*P269*_xlfn.XLOOKUP($O269,'Sample Size cal and results'!$B$26:$B$27,'Sample Size cal and results'!$I$26:$I$27)</f>
        <v>19.429057168251777</v>
      </c>
      <c r="R269" s="330"/>
    </row>
    <row r="270" spans="1:18" ht="12.75">
      <c r="A270" s="99" t="s">
        <v>146</v>
      </c>
      <c r="B270" s="100">
        <v>42020</v>
      </c>
      <c r="C270" s="100">
        <f t="shared" si="51"/>
        <v>44576</v>
      </c>
      <c r="D270" s="209">
        <v>6</v>
      </c>
      <c r="E270" s="217">
        <f t="shared" si="52"/>
        <v>5.12</v>
      </c>
      <c r="F270" s="218">
        <f t="shared" si="53"/>
        <v>6.11</v>
      </c>
      <c r="G270" s="219">
        <f t="shared" si="54"/>
        <v>6.12</v>
      </c>
      <c r="H270" s="220">
        <f t="shared" si="55"/>
        <v>7.11</v>
      </c>
      <c r="I270" s="257" t="str">
        <f t="shared" si="56"/>
        <v>6-7 years</v>
      </c>
      <c r="J270" s="211">
        <f t="shared" si="57"/>
        <v>0.83835616438356164</v>
      </c>
      <c r="K270" s="258">
        <f>$D270*J270*_xlfn.XLOOKUP($I270,'Sample Size cal and results'!$B$24:$B$25,'Sample Size cal and results'!$H$24:$H$25)</f>
        <v>4.1242313570485134</v>
      </c>
      <c r="L270" s="211">
        <f t="shared" si="58"/>
        <v>0.16164383561643836</v>
      </c>
      <c r="M270" s="211">
        <f>$D270*L270*_xlfn.XLOOKUP($I270,'Sample Size cal and results'!$B$24:$B$25,'Sample Size cal and results'!$I$24:$I$25)</f>
        <v>0.81587815969138189</v>
      </c>
      <c r="N270" s="214">
        <f t="shared" si="59"/>
        <v>4.940109516739895</v>
      </c>
      <c r="O270" s="225" t="str">
        <f t="shared" si="60"/>
        <v>7-8 years</v>
      </c>
      <c r="P270" s="226">
        <f t="shared" si="61"/>
        <v>0.8794520547945206</v>
      </c>
      <c r="Q270" s="227">
        <f>$D270*P270*_xlfn.XLOOKUP($O270,'Sample Size cal and results'!$B$26:$B$27,'Sample Size cal and results'!$I$26:$I$27)</f>
        <v>3.4286571473385492</v>
      </c>
      <c r="R270" s="330"/>
    </row>
    <row r="271" spans="1:18" ht="12.75">
      <c r="A271" s="99" t="s">
        <v>59</v>
      </c>
      <c r="B271" s="100">
        <v>42019</v>
      </c>
      <c r="C271" s="100">
        <f t="shared" si="51"/>
        <v>44575</v>
      </c>
      <c r="D271" s="209">
        <v>2642</v>
      </c>
      <c r="E271" s="217">
        <f t="shared" si="52"/>
        <v>5.12</v>
      </c>
      <c r="F271" s="218">
        <f t="shared" si="53"/>
        <v>6.12</v>
      </c>
      <c r="G271" s="219">
        <f t="shared" si="54"/>
        <v>6.12</v>
      </c>
      <c r="H271" s="220">
        <f t="shared" si="55"/>
        <v>7.12</v>
      </c>
      <c r="I271" s="257" t="str">
        <f t="shared" si="56"/>
        <v>6-7 years</v>
      </c>
      <c r="J271" s="211">
        <f t="shared" si="57"/>
        <v>0.83835616438356164</v>
      </c>
      <c r="K271" s="258">
        <f>$D271*J271*_xlfn.XLOOKUP($I271,'Sample Size cal and results'!$B$24:$B$25,'Sample Size cal and results'!$H$24:$H$25)</f>
        <v>1816.0365408870289</v>
      </c>
      <c r="L271" s="211">
        <f t="shared" si="58"/>
        <v>0.16164383561643836</v>
      </c>
      <c r="M271" s="211">
        <f>$D271*L271*_xlfn.XLOOKUP($I271,'Sample Size cal and results'!$B$24:$B$25,'Sample Size cal and results'!$I$24:$I$25)</f>
        <v>359.25834965077178</v>
      </c>
      <c r="N271" s="214">
        <f t="shared" si="59"/>
        <v>2175.2948905378007</v>
      </c>
      <c r="O271" s="225" t="str">
        <f t="shared" si="60"/>
        <v>7-8 years</v>
      </c>
      <c r="P271" s="226">
        <f t="shared" si="61"/>
        <v>0.87671232876712324</v>
      </c>
      <c r="Q271" s="227">
        <f>$D271*P271*_xlfn.XLOOKUP($O271,'Sample Size cal and results'!$B$26:$B$27,'Sample Size cal and results'!$I$26:$I$27)</f>
        <v>1505.0487531910189</v>
      </c>
      <c r="R271" s="330"/>
    </row>
    <row r="272" spans="1:18" ht="12.75">
      <c r="A272" s="99" t="s">
        <v>146</v>
      </c>
      <c r="B272" s="100">
        <v>42019</v>
      </c>
      <c r="C272" s="100">
        <f t="shared" si="51"/>
        <v>44575</v>
      </c>
      <c r="D272" s="209">
        <v>570</v>
      </c>
      <c r="E272" s="217">
        <f t="shared" si="52"/>
        <v>5.12</v>
      </c>
      <c r="F272" s="218">
        <f t="shared" si="53"/>
        <v>6.12</v>
      </c>
      <c r="G272" s="219">
        <f t="shared" si="54"/>
        <v>6.12</v>
      </c>
      <c r="H272" s="220">
        <f t="shared" si="55"/>
        <v>7.12</v>
      </c>
      <c r="I272" s="257" t="str">
        <f t="shared" si="56"/>
        <v>6-7 years</v>
      </c>
      <c r="J272" s="211">
        <f t="shared" si="57"/>
        <v>0.83835616438356164</v>
      </c>
      <c r="K272" s="258">
        <f>$D272*J272*_xlfn.XLOOKUP($I272,'Sample Size cal and results'!$B$24:$B$25,'Sample Size cal and results'!$H$24:$H$25)</f>
        <v>391.80197891960881</v>
      </c>
      <c r="L272" s="211">
        <f t="shared" si="58"/>
        <v>0.16164383561643836</v>
      </c>
      <c r="M272" s="211">
        <f>$D272*L272*_xlfn.XLOOKUP($I272,'Sample Size cal and results'!$B$24:$B$25,'Sample Size cal and results'!$I$24:$I$25)</f>
        <v>77.508425170681278</v>
      </c>
      <c r="N272" s="214">
        <f t="shared" si="59"/>
        <v>469.31040409029009</v>
      </c>
      <c r="O272" s="225" t="str">
        <f t="shared" si="60"/>
        <v>7-8 years</v>
      </c>
      <c r="P272" s="226">
        <f t="shared" si="61"/>
        <v>0.87671232876712324</v>
      </c>
      <c r="Q272" s="227">
        <f>$D272*P272*_xlfn.XLOOKUP($O272,'Sample Size cal and results'!$B$26:$B$27,'Sample Size cal and results'!$I$26:$I$27)</f>
        <v>324.70771738034858</v>
      </c>
      <c r="R272" s="330"/>
    </row>
    <row r="273" spans="1:18" ht="12.75">
      <c r="A273" s="99" t="s">
        <v>148</v>
      </c>
      <c r="B273" s="100">
        <v>42019</v>
      </c>
      <c r="C273" s="100">
        <f t="shared" si="51"/>
        <v>44575</v>
      </c>
      <c r="D273" s="209">
        <v>284</v>
      </c>
      <c r="E273" s="217">
        <f t="shared" si="52"/>
        <v>5.12</v>
      </c>
      <c r="F273" s="218">
        <f t="shared" si="53"/>
        <v>6.12</v>
      </c>
      <c r="G273" s="219">
        <f t="shared" si="54"/>
        <v>6.12</v>
      </c>
      <c r="H273" s="220">
        <f t="shared" si="55"/>
        <v>7.12</v>
      </c>
      <c r="I273" s="257" t="str">
        <f t="shared" si="56"/>
        <v>6-7 years</v>
      </c>
      <c r="J273" s="211">
        <f t="shared" si="57"/>
        <v>0.83835616438356164</v>
      </c>
      <c r="K273" s="258">
        <f>$D273*J273*_xlfn.XLOOKUP($I273,'Sample Size cal and results'!$B$24:$B$25,'Sample Size cal and results'!$H$24:$H$25)</f>
        <v>195.21361756696299</v>
      </c>
      <c r="L273" s="211">
        <f t="shared" si="58"/>
        <v>0.16164383561643836</v>
      </c>
      <c r="M273" s="211">
        <f>$D273*L273*_xlfn.XLOOKUP($I273,'Sample Size cal and results'!$B$24:$B$25,'Sample Size cal and results'!$I$24:$I$25)</f>
        <v>38.618232892058742</v>
      </c>
      <c r="N273" s="214">
        <f t="shared" si="59"/>
        <v>233.83185045902172</v>
      </c>
      <c r="O273" s="225" t="str">
        <f t="shared" si="60"/>
        <v>7-8 years</v>
      </c>
      <c r="P273" s="226">
        <f t="shared" si="61"/>
        <v>0.87671232876712324</v>
      </c>
      <c r="Q273" s="227">
        <f>$D273*P273*_xlfn.XLOOKUP($O273,'Sample Size cal and results'!$B$26:$B$27,'Sample Size cal and results'!$I$26:$I$27)</f>
        <v>161.78419602810348</v>
      </c>
      <c r="R273" s="330"/>
    </row>
    <row r="274" spans="1:18" ht="12.75">
      <c r="A274" s="99" t="s">
        <v>60</v>
      </c>
      <c r="B274" s="100">
        <v>42019</v>
      </c>
      <c r="C274" s="100">
        <f t="shared" si="51"/>
        <v>44575</v>
      </c>
      <c r="D274" s="209">
        <v>36</v>
      </c>
      <c r="E274" s="217">
        <f t="shared" si="52"/>
        <v>5.12</v>
      </c>
      <c r="F274" s="218">
        <f t="shared" si="53"/>
        <v>6.12</v>
      </c>
      <c r="G274" s="219">
        <f t="shared" si="54"/>
        <v>6.12</v>
      </c>
      <c r="H274" s="220">
        <f t="shared" si="55"/>
        <v>7.12</v>
      </c>
      <c r="I274" s="257" t="str">
        <f t="shared" si="56"/>
        <v>6-7 years</v>
      </c>
      <c r="J274" s="211">
        <f t="shared" si="57"/>
        <v>0.83835616438356164</v>
      </c>
      <c r="K274" s="258">
        <f>$D274*J274*_xlfn.XLOOKUP($I274,'Sample Size cal and results'!$B$24:$B$25,'Sample Size cal and results'!$H$24:$H$25)</f>
        <v>24.745388142291084</v>
      </c>
      <c r="L274" s="211">
        <f t="shared" si="58"/>
        <v>0.16164383561643836</v>
      </c>
      <c r="M274" s="211">
        <f>$D274*L274*_xlfn.XLOOKUP($I274,'Sample Size cal and results'!$B$24:$B$25,'Sample Size cal and results'!$I$24:$I$25)</f>
        <v>4.895268958148292</v>
      </c>
      <c r="N274" s="214">
        <f t="shared" si="59"/>
        <v>29.640657100439377</v>
      </c>
      <c r="O274" s="225" t="str">
        <f t="shared" si="60"/>
        <v>7-8 years</v>
      </c>
      <c r="P274" s="226">
        <f t="shared" si="61"/>
        <v>0.87671232876712324</v>
      </c>
      <c r="Q274" s="227">
        <f>$D274*P274*_xlfn.XLOOKUP($O274,'Sample Size cal and results'!$B$26:$B$27,'Sample Size cal and results'!$I$26:$I$27)</f>
        <v>20.50785583454833</v>
      </c>
      <c r="R274" s="330"/>
    </row>
    <row r="275" spans="1:18" ht="12.75">
      <c r="A275" s="99" t="s">
        <v>59</v>
      </c>
      <c r="B275" s="100">
        <v>42018</v>
      </c>
      <c r="C275" s="100">
        <f t="shared" si="51"/>
        <v>44574</v>
      </c>
      <c r="D275" s="209">
        <v>226</v>
      </c>
      <c r="E275" s="217">
        <f t="shared" si="52"/>
        <v>5.12</v>
      </c>
      <c r="F275" s="218">
        <f t="shared" si="53"/>
        <v>6.12</v>
      </c>
      <c r="G275" s="219">
        <f t="shared" si="54"/>
        <v>6.12</v>
      </c>
      <c r="H275" s="220">
        <f t="shared" si="55"/>
        <v>7.12</v>
      </c>
      <c r="I275" s="257" t="str">
        <f t="shared" si="56"/>
        <v>6-7 years</v>
      </c>
      <c r="J275" s="211">
        <f t="shared" si="57"/>
        <v>0.83835616438356164</v>
      </c>
      <c r="K275" s="258">
        <f>$D275*J275*_xlfn.XLOOKUP($I275,'Sample Size cal and results'!$B$24:$B$25,'Sample Size cal and results'!$H$24:$H$25)</f>
        <v>155.3460477821607</v>
      </c>
      <c r="L275" s="211">
        <f t="shared" si="58"/>
        <v>0.16164383561643836</v>
      </c>
      <c r="M275" s="211">
        <f>$D275*L275*_xlfn.XLOOKUP($I275,'Sample Size cal and results'!$B$24:$B$25,'Sample Size cal and results'!$I$24:$I$25)</f>
        <v>30.73141068170872</v>
      </c>
      <c r="N275" s="214">
        <f t="shared" si="59"/>
        <v>186.07745846386942</v>
      </c>
      <c r="O275" s="225" t="str">
        <f t="shared" si="60"/>
        <v>7-8 years</v>
      </c>
      <c r="P275" s="226">
        <f t="shared" si="61"/>
        <v>0.87397260273972599</v>
      </c>
      <c r="Q275" s="227">
        <f>$D275*P275*_xlfn.XLOOKUP($O275,'Sample Size cal and results'!$B$26:$B$27,'Sample Size cal and results'!$I$26:$I$27)</f>
        <v>128.34143737291038</v>
      </c>
      <c r="R275" s="330"/>
    </row>
    <row r="276" spans="1:18" ht="12.75">
      <c r="A276" s="99" t="s">
        <v>148</v>
      </c>
      <c r="B276" s="100">
        <v>42018</v>
      </c>
      <c r="C276" s="100">
        <f t="shared" si="51"/>
        <v>44574</v>
      </c>
      <c r="D276" s="209">
        <v>18</v>
      </c>
      <c r="E276" s="217">
        <f t="shared" si="52"/>
        <v>5.12</v>
      </c>
      <c r="F276" s="218">
        <f t="shared" si="53"/>
        <v>6.12</v>
      </c>
      <c r="G276" s="219">
        <f t="shared" si="54"/>
        <v>6.12</v>
      </c>
      <c r="H276" s="220">
        <f t="shared" si="55"/>
        <v>7.12</v>
      </c>
      <c r="I276" s="257" t="str">
        <f t="shared" si="56"/>
        <v>6-7 years</v>
      </c>
      <c r="J276" s="211">
        <f t="shared" si="57"/>
        <v>0.83835616438356164</v>
      </c>
      <c r="K276" s="258">
        <f>$D276*J276*_xlfn.XLOOKUP($I276,'Sample Size cal and results'!$B$24:$B$25,'Sample Size cal and results'!$H$24:$H$25)</f>
        <v>12.372694071145542</v>
      </c>
      <c r="L276" s="211">
        <f t="shared" si="58"/>
        <v>0.16164383561643836</v>
      </c>
      <c r="M276" s="211">
        <f>$D276*L276*_xlfn.XLOOKUP($I276,'Sample Size cal and results'!$B$24:$B$25,'Sample Size cal and results'!$I$24:$I$25)</f>
        <v>2.447634479074146</v>
      </c>
      <c r="N276" s="214">
        <f t="shared" si="59"/>
        <v>14.820328550219688</v>
      </c>
      <c r="O276" s="225" t="str">
        <f t="shared" si="60"/>
        <v>7-8 years</v>
      </c>
      <c r="P276" s="226">
        <f t="shared" si="61"/>
        <v>0.87397260273972599</v>
      </c>
      <c r="Q276" s="227">
        <f>$D276*P276*_xlfn.XLOOKUP($O276,'Sample Size cal and results'!$B$26:$B$27,'Sample Size cal and results'!$I$26:$I$27)</f>
        <v>10.221884392532683</v>
      </c>
      <c r="R276" s="330"/>
    </row>
    <row r="277" spans="1:18" ht="12.75">
      <c r="A277" s="99" t="s">
        <v>146</v>
      </c>
      <c r="B277" s="100">
        <v>42018</v>
      </c>
      <c r="C277" s="100">
        <f t="shared" si="51"/>
        <v>44574</v>
      </c>
      <c r="D277" s="209">
        <v>9</v>
      </c>
      <c r="E277" s="217">
        <f t="shared" si="52"/>
        <v>5.12</v>
      </c>
      <c r="F277" s="218">
        <f t="shared" si="53"/>
        <v>6.12</v>
      </c>
      <c r="G277" s="219">
        <f t="shared" si="54"/>
        <v>6.12</v>
      </c>
      <c r="H277" s="220">
        <f t="shared" si="55"/>
        <v>7.12</v>
      </c>
      <c r="I277" s="257" t="str">
        <f t="shared" si="56"/>
        <v>6-7 years</v>
      </c>
      <c r="J277" s="211">
        <f t="shared" si="57"/>
        <v>0.83835616438356164</v>
      </c>
      <c r="K277" s="258">
        <f>$D277*J277*_xlfn.XLOOKUP($I277,'Sample Size cal and results'!$B$24:$B$25,'Sample Size cal and results'!$H$24:$H$25)</f>
        <v>6.186347035572771</v>
      </c>
      <c r="L277" s="211">
        <f t="shared" si="58"/>
        <v>0.16164383561643836</v>
      </c>
      <c r="M277" s="211">
        <f>$D277*L277*_xlfn.XLOOKUP($I277,'Sample Size cal and results'!$B$24:$B$25,'Sample Size cal and results'!$I$24:$I$25)</f>
        <v>1.223817239537073</v>
      </c>
      <c r="N277" s="214">
        <f t="shared" si="59"/>
        <v>7.4101642751098442</v>
      </c>
      <c r="O277" s="225" t="str">
        <f t="shared" si="60"/>
        <v>7-8 years</v>
      </c>
      <c r="P277" s="226">
        <f t="shared" si="61"/>
        <v>0.87397260273972599</v>
      </c>
      <c r="Q277" s="227">
        <f>$D277*P277*_xlfn.XLOOKUP($O277,'Sample Size cal and results'!$B$26:$B$27,'Sample Size cal and results'!$I$26:$I$27)</f>
        <v>5.1109421962663415</v>
      </c>
      <c r="R277" s="330"/>
    </row>
    <row r="278" spans="1:18" ht="12.75">
      <c r="A278" s="99" t="s">
        <v>59</v>
      </c>
      <c r="B278" s="100">
        <v>42017</v>
      </c>
      <c r="C278" s="100">
        <f t="shared" si="51"/>
        <v>44573</v>
      </c>
      <c r="D278" s="209">
        <v>2241</v>
      </c>
      <c r="E278" s="217">
        <f t="shared" si="52"/>
        <v>5.12</v>
      </c>
      <c r="F278" s="218">
        <f t="shared" si="53"/>
        <v>6.12</v>
      </c>
      <c r="G278" s="219">
        <f t="shared" si="54"/>
        <v>6.12</v>
      </c>
      <c r="H278" s="220">
        <f t="shared" si="55"/>
        <v>7.12</v>
      </c>
      <c r="I278" s="257" t="str">
        <f t="shared" si="56"/>
        <v>6-7 years</v>
      </c>
      <c r="J278" s="211">
        <f t="shared" si="57"/>
        <v>0.83835616438356164</v>
      </c>
      <c r="K278" s="258">
        <f>$D278*J278*_xlfn.XLOOKUP($I278,'Sample Size cal and results'!$B$24:$B$25,'Sample Size cal and results'!$H$24:$H$25)</f>
        <v>1540.4004118576197</v>
      </c>
      <c r="L278" s="211">
        <f t="shared" si="58"/>
        <v>0.16164383561643836</v>
      </c>
      <c r="M278" s="211">
        <f>$D278*L278*_xlfn.XLOOKUP($I278,'Sample Size cal and results'!$B$24:$B$25,'Sample Size cal and results'!$I$24:$I$25)</f>
        <v>304.73049264473116</v>
      </c>
      <c r="N278" s="214">
        <f t="shared" si="59"/>
        <v>1845.1309045023509</v>
      </c>
      <c r="O278" s="225" t="str">
        <f t="shared" si="60"/>
        <v>7-8 years</v>
      </c>
      <c r="P278" s="226">
        <f t="shared" si="61"/>
        <v>0.87123287671232874</v>
      </c>
      <c r="Q278" s="227">
        <f>$D278*P278*_xlfn.XLOOKUP($O278,'Sample Size cal and results'!$B$26:$B$27,'Sample Size cal and results'!$I$26:$I$27)</f>
        <v>1268.6351880400046</v>
      </c>
      <c r="R278" s="330"/>
    </row>
    <row r="279" spans="1:18" ht="12.75">
      <c r="A279" s="99" t="s">
        <v>148</v>
      </c>
      <c r="B279" s="100">
        <v>42017</v>
      </c>
      <c r="C279" s="100">
        <f t="shared" si="51"/>
        <v>44573</v>
      </c>
      <c r="D279" s="209">
        <v>31</v>
      </c>
      <c r="E279" s="217">
        <f t="shared" si="52"/>
        <v>5.12</v>
      </c>
      <c r="F279" s="218">
        <f t="shared" si="53"/>
        <v>6.12</v>
      </c>
      <c r="G279" s="219">
        <f t="shared" si="54"/>
        <v>6.12</v>
      </c>
      <c r="H279" s="220">
        <f t="shared" si="55"/>
        <v>7.12</v>
      </c>
      <c r="I279" s="257" t="str">
        <f t="shared" si="56"/>
        <v>6-7 years</v>
      </c>
      <c r="J279" s="211">
        <f t="shared" si="57"/>
        <v>0.83835616438356164</v>
      </c>
      <c r="K279" s="258">
        <f>$D279*J279*_xlfn.XLOOKUP($I279,'Sample Size cal and results'!$B$24:$B$25,'Sample Size cal and results'!$H$24:$H$25)</f>
        <v>21.308528678083988</v>
      </c>
      <c r="L279" s="211">
        <f t="shared" si="58"/>
        <v>0.16164383561643836</v>
      </c>
      <c r="M279" s="211">
        <f>$D279*L279*_xlfn.XLOOKUP($I279,'Sample Size cal and results'!$B$24:$B$25,'Sample Size cal and results'!$I$24:$I$25)</f>
        <v>4.2153704917388062</v>
      </c>
      <c r="N279" s="214">
        <f t="shared" si="59"/>
        <v>25.523899169822794</v>
      </c>
      <c r="O279" s="225" t="str">
        <f t="shared" si="60"/>
        <v>7-8 years</v>
      </c>
      <c r="P279" s="226">
        <f t="shared" si="61"/>
        <v>0.87123287671232874</v>
      </c>
      <c r="Q279" s="227">
        <f>$D279*P279*_xlfn.XLOOKUP($O279,'Sample Size cal and results'!$B$26:$B$27,'Sample Size cal and results'!$I$26:$I$27)</f>
        <v>17.549170383418179</v>
      </c>
      <c r="R279" s="330"/>
    </row>
    <row r="280" spans="1:18" ht="12.75">
      <c r="A280" s="99" t="s">
        <v>146</v>
      </c>
      <c r="B280" s="100">
        <v>42017</v>
      </c>
      <c r="C280" s="100">
        <f t="shared" si="51"/>
        <v>44573</v>
      </c>
      <c r="D280" s="209">
        <v>5</v>
      </c>
      <c r="E280" s="217">
        <f t="shared" si="52"/>
        <v>5.12</v>
      </c>
      <c r="F280" s="218">
        <f t="shared" si="53"/>
        <v>6.12</v>
      </c>
      <c r="G280" s="219">
        <f t="shared" si="54"/>
        <v>6.12</v>
      </c>
      <c r="H280" s="220">
        <f t="shared" si="55"/>
        <v>7.12</v>
      </c>
      <c r="I280" s="257" t="str">
        <f t="shared" si="56"/>
        <v>6-7 years</v>
      </c>
      <c r="J280" s="211">
        <f t="shared" si="57"/>
        <v>0.83835616438356164</v>
      </c>
      <c r="K280" s="258">
        <f>$D280*J280*_xlfn.XLOOKUP($I280,'Sample Size cal and results'!$B$24:$B$25,'Sample Size cal and results'!$H$24:$H$25)</f>
        <v>3.4368594642070946</v>
      </c>
      <c r="L280" s="211">
        <f t="shared" si="58"/>
        <v>0.16164383561643836</v>
      </c>
      <c r="M280" s="211">
        <f>$D280*L280*_xlfn.XLOOKUP($I280,'Sample Size cal and results'!$B$24:$B$25,'Sample Size cal and results'!$I$24:$I$25)</f>
        <v>0.67989846640948493</v>
      </c>
      <c r="N280" s="214">
        <f t="shared" si="59"/>
        <v>4.1167579306165791</v>
      </c>
      <c r="O280" s="225" t="str">
        <f t="shared" si="60"/>
        <v>7-8 years</v>
      </c>
      <c r="P280" s="226">
        <f t="shared" si="61"/>
        <v>0.87123287671232874</v>
      </c>
      <c r="Q280" s="227">
        <f>$D280*P280*_xlfn.XLOOKUP($O280,'Sample Size cal and results'!$B$26:$B$27,'Sample Size cal and results'!$I$26:$I$27)</f>
        <v>2.8305113521642227</v>
      </c>
      <c r="R280" s="330"/>
    </row>
    <row r="281" spans="1:18" ht="12.75">
      <c r="A281" s="99" t="s">
        <v>59</v>
      </c>
      <c r="B281" s="100">
        <v>42016</v>
      </c>
      <c r="C281" s="100">
        <f t="shared" si="51"/>
        <v>44572</v>
      </c>
      <c r="D281" s="209">
        <v>288</v>
      </c>
      <c r="E281" s="217">
        <f t="shared" si="52"/>
        <v>5.13</v>
      </c>
      <c r="F281" s="218">
        <f t="shared" si="53"/>
        <v>6.12</v>
      </c>
      <c r="G281" s="219">
        <f t="shared" si="54"/>
        <v>6.13</v>
      </c>
      <c r="H281" s="220">
        <f t="shared" si="55"/>
        <v>7.12</v>
      </c>
      <c r="I281" s="257" t="str">
        <f t="shared" si="56"/>
        <v>6-7 years</v>
      </c>
      <c r="J281" s="211">
        <f t="shared" si="57"/>
        <v>0.83835616438356164</v>
      </c>
      <c r="K281" s="258">
        <f>$D281*J281*_xlfn.XLOOKUP($I281,'Sample Size cal and results'!$B$24:$B$25,'Sample Size cal and results'!$H$24:$H$25)</f>
        <v>197.96310513832867</v>
      </c>
      <c r="L281" s="211">
        <f t="shared" si="58"/>
        <v>0.16164383561643836</v>
      </c>
      <c r="M281" s="211">
        <f>$D281*L281*_xlfn.XLOOKUP($I281,'Sample Size cal and results'!$B$24:$B$25,'Sample Size cal and results'!$I$24:$I$25)</f>
        <v>39.162151665186336</v>
      </c>
      <c r="N281" s="214">
        <f t="shared" si="59"/>
        <v>237.12525680351501</v>
      </c>
      <c r="O281" s="225" t="str">
        <f t="shared" si="60"/>
        <v>7-8 years</v>
      </c>
      <c r="P281" s="226">
        <f t="shared" si="61"/>
        <v>0.86849315068493149</v>
      </c>
      <c r="Q281" s="227">
        <f>$D281*P281*_xlfn.XLOOKUP($O281,'Sample Size cal and results'!$B$26:$B$27,'Sample Size cal and results'!$I$26:$I$27)</f>
        <v>162.52475748879553</v>
      </c>
      <c r="R281" s="330"/>
    </row>
    <row r="282" spans="1:18" ht="12.75">
      <c r="A282" s="99" t="s">
        <v>148</v>
      </c>
      <c r="B282" s="100">
        <v>42016</v>
      </c>
      <c r="C282" s="100">
        <f t="shared" si="51"/>
        <v>44572</v>
      </c>
      <c r="D282" s="209">
        <v>25</v>
      </c>
      <c r="E282" s="217">
        <f t="shared" si="52"/>
        <v>5.13</v>
      </c>
      <c r="F282" s="218">
        <f t="shared" si="53"/>
        <v>6.12</v>
      </c>
      <c r="G282" s="219">
        <f t="shared" si="54"/>
        <v>6.13</v>
      </c>
      <c r="H282" s="220">
        <f t="shared" si="55"/>
        <v>7.12</v>
      </c>
      <c r="I282" s="257" t="str">
        <f t="shared" si="56"/>
        <v>6-7 years</v>
      </c>
      <c r="J282" s="211">
        <f t="shared" si="57"/>
        <v>0.83835616438356164</v>
      </c>
      <c r="K282" s="258">
        <f>$D282*J282*_xlfn.XLOOKUP($I282,'Sample Size cal and results'!$B$24:$B$25,'Sample Size cal and results'!$H$24:$H$25)</f>
        <v>17.184297321035473</v>
      </c>
      <c r="L282" s="211">
        <f t="shared" si="58"/>
        <v>0.16164383561643836</v>
      </c>
      <c r="M282" s="211">
        <f>$D282*L282*_xlfn.XLOOKUP($I282,'Sample Size cal and results'!$B$24:$B$25,'Sample Size cal and results'!$I$24:$I$25)</f>
        <v>3.3994923320474242</v>
      </c>
      <c r="N282" s="214">
        <f t="shared" si="59"/>
        <v>20.583789653082896</v>
      </c>
      <c r="O282" s="225" t="str">
        <f t="shared" si="60"/>
        <v>7-8 years</v>
      </c>
      <c r="P282" s="226">
        <f t="shared" si="61"/>
        <v>0.86849315068493149</v>
      </c>
      <c r="Q282" s="227">
        <f>$D282*P282*_xlfn.XLOOKUP($O282,'Sample Size cal and results'!$B$26:$B$27,'Sample Size cal and results'!$I$26:$I$27)</f>
        <v>14.108051865346836</v>
      </c>
      <c r="R282" s="330"/>
    </row>
    <row r="283" spans="1:18" ht="12.75">
      <c r="A283" s="99" t="s">
        <v>146</v>
      </c>
      <c r="B283" s="100">
        <v>42016</v>
      </c>
      <c r="C283" s="100">
        <f t="shared" si="51"/>
        <v>44572</v>
      </c>
      <c r="D283" s="209">
        <v>7</v>
      </c>
      <c r="E283" s="217">
        <f t="shared" si="52"/>
        <v>5.13</v>
      </c>
      <c r="F283" s="218">
        <f t="shared" si="53"/>
        <v>6.12</v>
      </c>
      <c r="G283" s="219">
        <f t="shared" si="54"/>
        <v>6.13</v>
      </c>
      <c r="H283" s="220">
        <f t="shared" si="55"/>
        <v>7.12</v>
      </c>
      <c r="I283" s="257" t="str">
        <f t="shared" si="56"/>
        <v>6-7 years</v>
      </c>
      <c r="J283" s="211">
        <f t="shared" si="57"/>
        <v>0.83835616438356164</v>
      </c>
      <c r="K283" s="258">
        <f>$D283*J283*_xlfn.XLOOKUP($I283,'Sample Size cal and results'!$B$24:$B$25,'Sample Size cal and results'!$H$24:$H$25)</f>
        <v>4.8116032498899326</v>
      </c>
      <c r="L283" s="211">
        <f t="shared" si="58"/>
        <v>0.16164383561643836</v>
      </c>
      <c r="M283" s="211">
        <f>$D283*L283*_xlfn.XLOOKUP($I283,'Sample Size cal and results'!$B$24:$B$25,'Sample Size cal and results'!$I$24:$I$25)</f>
        <v>0.95185785297327874</v>
      </c>
      <c r="N283" s="214">
        <f t="shared" si="59"/>
        <v>5.7634611028632117</v>
      </c>
      <c r="O283" s="225" t="str">
        <f t="shared" si="60"/>
        <v>7-8 years</v>
      </c>
      <c r="P283" s="226">
        <f t="shared" si="61"/>
        <v>0.86849315068493149</v>
      </c>
      <c r="Q283" s="227">
        <f>$D283*P283*_xlfn.XLOOKUP($O283,'Sample Size cal and results'!$B$26:$B$27,'Sample Size cal and results'!$I$26:$I$27)</f>
        <v>3.9502545222971137</v>
      </c>
      <c r="R283" s="330"/>
    </row>
    <row r="284" spans="1:18" ht="12.75">
      <c r="A284" s="99" t="s">
        <v>59</v>
      </c>
      <c r="B284" s="100">
        <v>42015</v>
      </c>
      <c r="C284" s="100">
        <f t="shared" si="51"/>
        <v>44571</v>
      </c>
      <c r="D284" s="209">
        <v>262</v>
      </c>
      <c r="E284" s="217">
        <f t="shared" si="52"/>
        <v>5.13</v>
      </c>
      <c r="F284" s="218">
        <f t="shared" si="53"/>
        <v>6.13</v>
      </c>
      <c r="G284" s="219">
        <f t="shared" si="54"/>
        <v>6.13</v>
      </c>
      <c r="H284" s="220">
        <f t="shared" si="55"/>
        <v>7.13</v>
      </c>
      <c r="I284" s="257" t="str">
        <f t="shared" si="56"/>
        <v>6-7 years</v>
      </c>
      <c r="J284" s="211">
        <f t="shared" si="57"/>
        <v>0.83835616438356164</v>
      </c>
      <c r="K284" s="258">
        <f>$D284*J284*_xlfn.XLOOKUP($I284,'Sample Size cal and results'!$B$24:$B$25,'Sample Size cal and results'!$H$24:$H$25)</f>
        <v>180.09143592445176</v>
      </c>
      <c r="L284" s="211">
        <f t="shared" si="58"/>
        <v>0.16164383561643836</v>
      </c>
      <c r="M284" s="211">
        <f>$D284*L284*_xlfn.XLOOKUP($I284,'Sample Size cal and results'!$B$24:$B$25,'Sample Size cal and results'!$I$24:$I$25)</f>
        <v>35.626679639857009</v>
      </c>
      <c r="N284" s="214">
        <f t="shared" si="59"/>
        <v>215.71811556430876</v>
      </c>
      <c r="O284" s="225" t="str">
        <f t="shared" si="60"/>
        <v>7-8 years</v>
      </c>
      <c r="P284" s="226">
        <f t="shared" si="61"/>
        <v>0.86575342465753424</v>
      </c>
      <c r="Q284" s="227">
        <f>$D284*P284*_xlfn.XLOOKUP($O284,'Sample Size cal and results'!$B$26:$B$27,'Sample Size cal and results'!$I$26:$I$27)</f>
        <v>147.38597224426437</v>
      </c>
      <c r="R284" s="330"/>
    </row>
    <row r="285" spans="1:18" ht="12.75">
      <c r="A285" s="99" t="s">
        <v>148</v>
      </c>
      <c r="B285" s="100">
        <v>42015</v>
      </c>
      <c r="C285" s="100">
        <f t="shared" si="51"/>
        <v>44571</v>
      </c>
      <c r="D285" s="209">
        <v>23</v>
      </c>
      <c r="E285" s="217">
        <f t="shared" si="52"/>
        <v>5.13</v>
      </c>
      <c r="F285" s="218">
        <f t="shared" si="53"/>
        <v>6.13</v>
      </c>
      <c r="G285" s="219">
        <f t="shared" si="54"/>
        <v>6.13</v>
      </c>
      <c r="H285" s="220">
        <f t="shared" si="55"/>
        <v>7.13</v>
      </c>
      <c r="I285" s="257" t="str">
        <f t="shared" si="56"/>
        <v>6-7 years</v>
      </c>
      <c r="J285" s="211">
        <f t="shared" si="57"/>
        <v>0.83835616438356164</v>
      </c>
      <c r="K285" s="258">
        <f>$D285*J285*_xlfn.XLOOKUP($I285,'Sample Size cal and results'!$B$24:$B$25,'Sample Size cal and results'!$H$24:$H$25)</f>
        <v>15.809553535352636</v>
      </c>
      <c r="L285" s="211">
        <f t="shared" si="58"/>
        <v>0.16164383561643836</v>
      </c>
      <c r="M285" s="211">
        <f>$D285*L285*_xlfn.XLOOKUP($I285,'Sample Size cal and results'!$B$24:$B$25,'Sample Size cal and results'!$I$24:$I$25)</f>
        <v>3.1275329454836305</v>
      </c>
      <c r="N285" s="214">
        <f t="shared" si="59"/>
        <v>18.937086480836268</v>
      </c>
      <c r="O285" s="225" t="str">
        <f t="shared" si="60"/>
        <v>7-8 years</v>
      </c>
      <c r="P285" s="226">
        <f t="shared" si="61"/>
        <v>0.86575342465753424</v>
      </c>
      <c r="Q285" s="227">
        <f>$D285*P285*_xlfn.XLOOKUP($O285,'Sample Size cal and results'!$B$26:$B$27,'Sample Size cal and results'!$I$26:$I$27)</f>
        <v>12.93846321228275</v>
      </c>
      <c r="R285" s="330"/>
    </row>
    <row r="286" spans="1:18" ht="12.75">
      <c r="A286" s="99" t="s">
        <v>146</v>
      </c>
      <c r="B286" s="100">
        <v>42015</v>
      </c>
      <c r="C286" s="100">
        <f t="shared" si="51"/>
        <v>44571</v>
      </c>
      <c r="D286" s="209">
        <v>5</v>
      </c>
      <c r="E286" s="217">
        <f t="shared" si="52"/>
        <v>5.13</v>
      </c>
      <c r="F286" s="218">
        <f t="shared" si="53"/>
        <v>6.13</v>
      </c>
      <c r="G286" s="219">
        <f t="shared" si="54"/>
        <v>6.13</v>
      </c>
      <c r="H286" s="220">
        <f t="shared" si="55"/>
        <v>7.13</v>
      </c>
      <c r="I286" s="257" t="str">
        <f t="shared" si="56"/>
        <v>6-7 years</v>
      </c>
      <c r="J286" s="211">
        <f t="shared" si="57"/>
        <v>0.83835616438356164</v>
      </c>
      <c r="K286" s="258">
        <f>$D286*J286*_xlfn.XLOOKUP($I286,'Sample Size cal and results'!$B$24:$B$25,'Sample Size cal and results'!$H$24:$H$25)</f>
        <v>3.4368594642070946</v>
      </c>
      <c r="L286" s="211">
        <f t="shared" si="58"/>
        <v>0.16164383561643836</v>
      </c>
      <c r="M286" s="211">
        <f>$D286*L286*_xlfn.XLOOKUP($I286,'Sample Size cal and results'!$B$24:$B$25,'Sample Size cal and results'!$I$24:$I$25)</f>
        <v>0.67989846640948493</v>
      </c>
      <c r="N286" s="214">
        <f t="shared" si="59"/>
        <v>4.1167579306165791</v>
      </c>
      <c r="O286" s="225" t="str">
        <f t="shared" si="60"/>
        <v>7-8 years</v>
      </c>
      <c r="P286" s="226">
        <f t="shared" si="61"/>
        <v>0.86575342465753424</v>
      </c>
      <c r="Q286" s="227">
        <f>$D286*P286*_xlfn.XLOOKUP($O286,'Sample Size cal and results'!$B$26:$B$27,'Sample Size cal and results'!$I$26:$I$27)</f>
        <v>2.8127093939745107</v>
      </c>
      <c r="R286" s="330"/>
    </row>
    <row r="287" spans="1:18" ht="12.75">
      <c r="A287" s="99" t="s">
        <v>59</v>
      </c>
      <c r="B287" s="100">
        <v>42014</v>
      </c>
      <c r="C287" s="100">
        <f t="shared" si="51"/>
        <v>44570</v>
      </c>
      <c r="D287" s="209">
        <v>286</v>
      </c>
      <c r="E287" s="217">
        <f t="shared" si="52"/>
        <v>5.13</v>
      </c>
      <c r="F287" s="218">
        <f t="shared" si="53"/>
        <v>6.13</v>
      </c>
      <c r="G287" s="219">
        <f t="shared" si="54"/>
        <v>6.13</v>
      </c>
      <c r="H287" s="220">
        <f t="shared" si="55"/>
        <v>7.13</v>
      </c>
      <c r="I287" s="257" t="str">
        <f t="shared" si="56"/>
        <v>6-7 years</v>
      </c>
      <c r="J287" s="211">
        <f t="shared" si="57"/>
        <v>0.83835616438356164</v>
      </c>
      <c r="K287" s="258">
        <f>$D287*J287*_xlfn.XLOOKUP($I287,'Sample Size cal and results'!$B$24:$B$25,'Sample Size cal and results'!$H$24:$H$25)</f>
        <v>196.58836135264582</v>
      </c>
      <c r="L287" s="211">
        <f t="shared" si="58"/>
        <v>0.16164383561643836</v>
      </c>
      <c r="M287" s="211">
        <f>$D287*L287*_xlfn.XLOOKUP($I287,'Sample Size cal and results'!$B$24:$B$25,'Sample Size cal and results'!$I$24:$I$25)</f>
        <v>38.890192278622536</v>
      </c>
      <c r="N287" s="214">
        <f t="shared" si="59"/>
        <v>235.47855363126837</v>
      </c>
      <c r="O287" s="225" t="str">
        <f t="shared" si="60"/>
        <v>7-8 years</v>
      </c>
      <c r="P287" s="226">
        <f t="shared" si="61"/>
        <v>0.86301369863013699</v>
      </c>
      <c r="Q287" s="227">
        <f>$D287*P287*_xlfn.XLOOKUP($O287,'Sample Size cal and results'!$B$26:$B$27,'Sample Size cal and results'!$I$26:$I$27)</f>
        <v>160.37784133111626</v>
      </c>
      <c r="R287" s="330"/>
    </row>
    <row r="288" spans="1:18" ht="12.75">
      <c r="A288" s="99" t="s">
        <v>148</v>
      </c>
      <c r="B288" s="100">
        <v>42014</v>
      </c>
      <c r="C288" s="100">
        <f t="shared" si="51"/>
        <v>44570</v>
      </c>
      <c r="D288" s="209">
        <v>27</v>
      </c>
      <c r="E288" s="217">
        <f t="shared" si="52"/>
        <v>5.13</v>
      </c>
      <c r="F288" s="218">
        <f t="shared" si="53"/>
        <v>6.13</v>
      </c>
      <c r="G288" s="219">
        <f t="shared" si="54"/>
        <v>6.13</v>
      </c>
      <c r="H288" s="220">
        <f t="shared" si="55"/>
        <v>7.13</v>
      </c>
      <c r="I288" s="257" t="str">
        <f t="shared" si="56"/>
        <v>6-7 years</v>
      </c>
      <c r="J288" s="211">
        <f t="shared" si="57"/>
        <v>0.83835616438356164</v>
      </c>
      <c r="K288" s="258">
        <f>$D288*J288*_xlfn.XLOOKUP($I288,'Sample Size cal and results'!$B$24:$B$25,'Sample Size cal and results'!$H$24:$H$25)</f>
        <v>18.559041106718311</v>
      </c>
      <c r="L288" s="211">
        <f t="shared" si="58"/>
        <v>0.16164383561643836</v>
      </c>
      <c r="M288" s="211">
        <f>$D288*L288*_xlfn.XLOOKUP($I288,'Sample Size cal and results'!$B$24:$B$25,'Sample Size cal and results'!$I$24:$I$25)</f>
        <v>3.6714517186112183</v>
      </c>
      <c r="N288" s="214">
        <f t="shared" si="59"/>
        <v>22.230492825329531</v>
      </c>
      <c r="O288" s="225" t="str">
        <f t="shared" si="60"/>
        <v>7-8 years</v>
      </c>
      <c r="P288" s="226">
        <f t="shared" si="61"/>
        <v>0.86301369863013699</v>
      </c>
      <c r="Q288" s="227">
        <f>$D288*P288*_xlfn.XLOOKUP($O288,'Sample Size cal and results'!$B$26:$B$27,'Sample Size cal and results'!$I$26:$I$27)</f>
        <v>15.140565440350136</v>
      </c>
      <c r="R288" s="330"/>
    </row>
    <row r="289" spans="1:18" ht="12.75">
      <c r="A289" s="99" t="s">
        <v>146</v>
      </c>
      <c r="B289" s="100">
        <v>42014</v>
      </c>
      <c r="C289" s="100">
        <f t="shared" si="51"/>
        <v>44570</v>
      </c>
      <c r="D289" s="209">
        <v>4</v>
      </c>
      <c r="E289" s="217">
        <f t="shared" si="52"/>
        <v>5.13</v>
      </c>
      <c r="F289" s="218">
        <f t="shared" si="53"/>
        <v>6.13</v>
      </c>
      <c r="G289" s="219">
        <f t="shared" si="54"/>
        <v>6.13</v>
      </c>
      <c r="H289" s="220">
        <f t="shared" si="55"/>
        <v>7.13</v>
      </c>
      <c r="I289" s="257" t="str">
        <f t="shared" si="56"/>
        <v>6-7 years</v>
      </c>
      <c r="J289" s="211">
        <f t="shared" si="57"/>
        <v>0.83835616438356164</v>
      </c>
      <c r="K289" s="258">
        <f>$D289*J289*_xlfn.XLOOKUP($I289,'Sample Size cal and results'!$B$24:$B$25,'Sample Size cal and results'!$H$24:$H$25)</f>
        <v>2.7494875713656759</v>
      </c>
      <c r="L289" s="211">
        <f t="shared" si="58"/>
        <v>0.16164383561643836</v>
      </c>
      <c r="M289" s="211">
        <f>$D289*L289*_xlfn.XLOOKUP($I289,'Sample Size cal and results'!$B$24:$B$25,'Sample Size cal and results'!$I$24:$I$25)</f>
        <v>0.54391877312758796</v>
      </c>
      <c r="N289" s="214">
        <f t="shared" si="59"/>
        <v>3.2934063444932637</v>
      </c>
      <c r="O289" s="225" t="str">
        <f t="shared" si="60"/>
        <v>7-8 years</v>
      </c>
      <c r="P289" s="226">
        <f t="shared" si="61"/>
        <v>0.86301369863013699</v>
      </c>
      <c r="Q289" s="227">
        <f>$D289*P289*_xlfn.XLOOKUP($O289,'Sample Size cal and results'!$B$26:$B$27,'Sample Size cal and results'!$I$26:$I$27)</f>
        <v>2.2430467319037239</v>
      </c>
      <c r="R289" s="330"/>
    </row>
    <row r="290" spans="1:18" ht="12.75">
      <c r="A290" s="99" t="s">
        <v>59</v>
      </c>
      <c r="B290" s="100">
        <v>42013</v>
      </c>
      <c r="C290" s="100">
        <f t="shared" si="51"/>
        <v>44569</v>
      </c>
      <c r="D290" s="209">
        <v>205</v>
      </c>
      <c r="E290" s="217">
        <f t="shared" si="52"/>
        <v>5.14</v>
      </c>
      <c r="F290" s="218">
        <f t="shared" si="53"/>
        <v>6.13</v>
      </c>
      <c r="G290" s="219">
        <f t="shared" si="54"/>
        <v>6.14</v>
      </c>
      <c r="H290" s="220">
        <f t="shared" si="55"/>
        <v>7.13</v>
      </c>
      <c r="I290" s="257" t="str">
        <f t="shared" si="56"/>
        <v>6-7 years</v>
      </c>
      <c r="J290" s="211">
        <f t="shared" si="57"/>
        <v>0.83835616438356164</v>
      </c>
      <c r="K290" s="258">
        <f>$D290*J290*_xlfn.XLOOKUP($I290,'Sample Size cal and results'!$B$24:$B$25,'Sample Size cal and results'!$H$24:$H$25)</f>
        <v>140.9112380324909</v>
      </c>
      <c r="L290" s="211">
        <f t="shared" si="58"/>
        <v>0.16164383561643836</v>
      </c>
      <c r="M290" s="211">
        <f>$D290*L290*_xlfn.XLOOKUP($I290,'Sample Size cal and results'!$B$24:$B$25,'Sample Size cal and results'!$I$24:$I$25)</f>
        <v>27.875837122788884</v>
      </c>
      <c r="N290" s="214">
        <f t="shared" si="59"/>
        <v>168.78707515527978</v>
      </c>
      <c r="O290" s="225" t="str">
        <f t="shared" si="60"/>
        <v>7-8 years</v>
      </c>
      <c r="P290" s="226">
        <f t="shared" si="61"/>
        <v>0.86027397260273974</v>
      </c>
      <c r="Q290" s="227">
        <f>$D290*P290*_xlfn.XLOOKUP($O290,'Sample Size cal and results'!$B$26:$B$27,'Sample Size cal and results'!$I$26:$I$27)</f>
        <v>114.59120486717674</v>
      </c>
      <c r="R290" s="330"/>
    </row>
    <row r="291" spans="1:18" ht="12.75">
      <c r="A291" s="99" t="s">
        <v>148</v>
      </c>
      <c r="B291" s="100">
        <v>42013</v>
      </c>
      <c r="C291" s="100">
        <f t="shared" si="51"/>
        <v>44569</v>
      </c>
      <c r="D291" s="209">
        <v>21</v>
      </c>
      <c r="E291" s="217">
        <f t="shared" si="52"/>
        <v>5.14</v>
      </c>
      <c r="F291" s="218">
        <f t="shared" si="53"/>
        <v>6.13</v>
      </c>
      <c r="G291" s="219">
        <f t="shared" si="54"/>
        <v>6.14</v>
      </c>
      <c r="H291" s="220">
        <f t="shared" si="55"/>
        <v>7.13</v>
      </c>
      <c r="I291" s="257" t="str">
        <f t="shared" si="56"/>
        <v>6-7 years</v>
      </c>
      <c r="J291" s="211">
        <f t="shared" si="57"/>
        <v>0.83835616438356164</v>
      </c>
      <c r="K291" s="258">
        <f>$D291*J291*_xlfn.XLOOKUP($I291,'Sample Size cal and results'!$B$24:$B$25,'Sample Size cal and results'!$H$24:$H$25)</f>
        <v>14.434809749669798</v>
      </c>
      <c r="L291" s="211">
        <f t="shared" si="58"/>
        <v>0.16164383561643836</v>
      </c>
      <c r="M291" s="211">
        <f>$D291*L291*_xlfn.XLOOKUP($I291,'Sample Size cal and results'!$B$24:$B$25,'Sample Size cal and results'!$I$24:$I$25)</f>
        <v>2.8555735589198368</v>
      </c>
      <c r="N291" s="214">
        <f t="shared" si="59"/>
        <v>17.290383308589636</v>
      </c>
      <c r="O291" s="225" t="str">
        <f t="shared" si="60"/>
        <v>7-8 years</v>
      </c>
      <c r="P291" s="226">
        <f t="shared" si="61"/>
        <v>0.86027397260273974</v>
      </c>
      <c r="Q291" s="227">
        <f>$D291*P291*_xlfn.XLOOKUP($O291,'Sample Size cal and results'!$B$26:$B$27,'Sample Size cal and results'!$I$26:$I$27)</f>
        <v>11.738611230296154</v>
      </c>
      <c r="R291" s="330"/>
    </row>
    <row r="292" spans="1:18" ht="12.75">
      <c r="A292" s="99" t="s">
        <v>146</v>
      </c>
      <c r="B292" s="100">
        <v>42013</v>
      </c>
      <c r="C292" s="100">
        <f t="shared" si="51"/>
        <v>44569</v>
      </c>
      <c r="D292" s="209">
        <v>2</v>
      </c>
      <c r="E292" s="217">
        <f t="shared" si="52"/>
        <v>5.14</v>
      </c>
      <c r="F292" s="218">
        <f t="shared" si="53"/>
        <v>6.13</v>
      </c>
      <c r="G292" s="219">
        <f t="shared" si="54"/>
        <v>6.14</v>
      </c>
      <c r="H292" s="220">
        <f t="shared" si="55"/>
        <v>7.13</v>
      </c>
      <c r="I292" s="257" t="str">
        <f t="shared" si="56"/>
        <v>6-7 years</v>
      </c>
      <c r="J292" s="211">
        <f t="shared" si="57"/>
        <v>0.83835616438356164</v>
      </c>
      <c r="K292" s="258">
        <f>$D292*J292*_xlfn.XLOOKUP($I292,'Sample Size cal and results'!$B$24:$B$25,'Sample Size cal and results'!$H$24:$H$25)</f>
        <v>1.3747437856828379</v>
      </c>
      <c r="L292" s="211">
        <f t="shared" si="58"/>
        <v>0.16164383561643836</v>
      </c>
      <c r="M292" s="211">
        <f>$D292*L292*_xlfn.XLOOKUP($I292,'Sample Size cal and results'!$B$24:$B$25,'Sample Size cal and results'!$I$24:$I$25)</f>
        <v>0.27195938656379398</v>
      </c>
      <c r="N292" s="214">
        <f t="shared" si="59"/>
        <v>1.6467031722466319</v>
      </c>
      <c r="O292" s="225" t="str">
        <f t="shared" si="60"/>
        <v>7-8 years</v>
      </c>
      <c r="P292" s="226">
        <f t="shared" si="61"/>
        <v>0.86027397260273974</v>
      </c>
      <c r="Q292" s="227">
        <f>$D292*P292*_xlfn.XLOOKUP($O292,'Sample Size cal and results'!$B$26:$B$27,'Sample Size cal and results'!$I$26:$I$27)</f>
        <v>1.1179629743139194</v>
      </c>
      <c r="R292" s="330"/>
    </row>
    <row r="293" spans="1:18" ht="12.75">
      <c r="A293" s="99" t="s">
        <v>59</v>
      </c>
      <c r="B293" s="100">
        <v>42012</v>
      </c>
      <c r="C293" s="100">
        <f t="shared" si="51"/>
        <v>44568</v>
      </c>
      <c r="D293" s="209">
        <v>223</v>
      </c>
      <c r="E293" s="217">
        <f t="shared" si="52"/>
        <v>5.14</v>
      </c>
      <c r="F293" s="218">
        <f t="shared" si="53"/>
        <v>6.14</v>
      </c>
      <c r="G293" s="219">
        <f t="shared" si="54"/>
        <v>6.14</v>
      </c>
      <c r="H293" s="220">
        <f t="shared" si="55"/>
        <v>7.14</v>
      </c>
      <c r="I293" s="257" t="str">
        <f t="shared" si="56"/>
        <v>6-7 years</v>
      </c>
      <c r="J293" s="211">
        <f t="shared" si="57"/>
        <v>0.83835616438356164</v>
      </c>
      <c r="K293" s="258">
        <f>$D293*J293*_xlfn.XLOOKUP($I293,'Sample Size cal and results'!$B$24:$B$25,'Sample Size cal and results'!$H$24:$H$25)</f>
        <v>153.28393210363643</v>
      </c>
      <c r="L293" s="211">
        <f t="shared" si="58"/>
        <v>0.16164383561643836</v>
      </c>
      <c r="M293" s="211">
        <f>$D293*L293*_xlfn.XLOOKUP($I293,'Sample Size cal and results'!$B$24:$B$25,'Sample Size cal and results'!$I$24:$I$25)</f>
        <v>30.323471601863023</v>
      </c>
      <c r="N293" s="214">
        <f t="shared" si="59"/>
        <v>183.60740370549945</v>
      </c>
      <c r="O293" s="225" t="str">
        <f t="shared" si="60"/>
        <v>7-8 years</v>
      </c>
      <c r="P293" s="226">
        <f t="shared" si="61"/>
        <v>0.8575342465753425</v>
      </c>
      <c r="Q293" s="227">
        <f>$D293*P293*_xlfn.XLOOKUP($O293,'Sample Size cal and results'!$B$26:$B$27,'Sample Size cal and results'!$I$26:$I$27)</f>
        <v>124.25588796837144</v>
      </c>
      <c r="R293" s="330"/>
    </row>
    <row r="294" spans="1:18" ht="12.75">
      <c r="A294" s="99" t="s">
        <v>148</v>
      </c>
      <c r="B294" s="100">
        <v>42012</v>
      </c>
      <c r="C294" s="100">
        <f t="shared" si="51"/>
        <v>44568</v>
      </c>
      <c r="D294" s="209">
        <v>19</v>
      </c>
      <c r="E294" s="217">
        <f t="shared" si="52"/>
        <v>5.14</v>
      </c>
      <c r="F294" s="218">
        <f t="shared" si="53"/>
        <v>6.14</v>
      </c>
      <c r="G294" s="219">
        <f t="shared" si="54"/>
        <v>6.14</v>
      </c>
      <c r="H294" s="220">
        <f t="shared" si="55"/>
        <v>7.14</v>
      </c>
      <c r="I294" s="257" t="str">
        <f t="shared" si="56"/>
        <v>6-7 years</v>
      </c>
      <c r="J294" s="211">
        <f t="shared" si="57"/>
        <v>0.83835616438356164</v>
      </c>
      <c r="K294" s="258">
        <f>$D294*J294*_xlfn.XLOOKUP($I294,'Sample Size cal and results'!$B$24:$B$25,'Sample Size cal and results'!$H$24:$H$25)</f>
        <v>13.060065963986959</v>
      </c>
      <c r="L294" s="211">
        <f t="shared" si="58"/>
        <v>0.16164383561643836</v>
      </c>
      <c r="M294" s="211">
        <f>$D294*L294*_xlfn.XLOOKUP($I294,'Sample Size cal and results'!$B$24:$B$25,'Sample Size cal and results'!$I$24:$I$25)</f>
        <v>2.5836141723560426</v>
      </c>
      <c r="N294" s="214">
        <f t="shared" si="59"/>
        <v>15.643680136343002</v>
      </c>
      <c r="O294" s="225" t="str">
        <f t="shared" si="60"/>
        <v>7-8 years</v>
      </c>
      <c r="P294" s="226">
        <f t="shared" si="61"/>
        <v>0.8575342465753425</v>
      </c>
      <c r="Q294" s="227">
        <f>$D294*P294*_xlfn.XLOOKUP($O294,'Sample Size cal and results'!$B$26:$B$27,'Sample Size cal and results'!$I$26:$I$27)</f>
        <v>10.586824535421783</v>
      </c>
      <c r="R294" s="330"/>
    </row>
    <row r="295" spans="1:18" ht="12.75">
      <c r="A295" s="99" t="s">
        <v>146</v>
      </c>
      <c r="B295" s="100">
        <v>42012</v>
      </c>
      <c r="C295" s="100">
        <f t="shared" si="51"/>
        <v>44568</v>
      </c>
      <c r="D295" s="209">
        <v>4</v>
      </c>
      <c r="E295" s="217">
        <f t="shared" si="52"/>
        <v>5.14</v>
      </c>
      <c r="F295" s="218">
        <f t="shared" si="53"/>
        <v>6.14</v>
      </c>
      <c r="G295" s="219">
        <f t="shared" si="54"/>
        <v>6.14</v>
      </c>
      <c r="H295" s="220">
        <f t="shared" si="55"/>
        <v>7.14</v>
      </c>
      <c r="I295" s="257" t="str">
        <f t="shared" si="56"/>
        <v>6-7 years</v>
      </c>
      <c r="J295" s="211">
        <f t="shared" si="57"/>
        <v>0.83835616438356164</v>
      </c>
      <c r="K295" s="258">
        <f>$D295*J295*_xlfn.XLOOKUP($I295,'Sample Size cal and results'!$B$24:$B$25,'Sample Size cal and results'!$H$24:$H$25)</f>
        <v>2.7494875713656759</v>
      </c>
      <c r="L295" s="211">
        <f t="shared" si="58"/>
        <v>0.16164383561643836</v>
      </c>
      <c r="M295" s="211">
        <f>$D295*L295*_xlfn.XLOOKUP($I295,'Sample Size cal and results'!$B$24:$B$25,'Sample Size cal and results'!$I$24:$I$25)</f>
        <v>0.54391877312758796</v>
      </c>
      <c r="N295" s="214">
        <f t="shared" si="59"/>
        <v>3.2934063444932637</v>
      </c>
      <c r="O295" s="225" t="str">
        <f t="shared" si="60"/>
        <v>7-8 years</v>
      </c>
      <c r="P295" s="226">
        <f t="shared" si="61"/>
        <v>0.8575342465753425</v>
      </c>
      <c r="Q295" s="227">
        <f>$D295*P295*_xlfn.XLOOKUP($O295,'Sample Size cal and results'!$B$26:$B$27,'Sample Size cal and results'!$I$26:$I$27)</f>
        <v>2.2288051653519543</v>
      </c>
      <c r="R295" s="330"/>
    </row>
    <row r="296" spans="1:18" ht="12.75">
      <c r="A296" s="99" t="s">
        <v>59</v>
      </c>
      <c r="B296" s="100">
        <v>42011</v>
      </c>
      <c r="C296" s="100">
        <f t="shared" si="51"/>
        <v>44567</v>
      </c>
      <c r="D296" s="209">
        <v>1249</v>
      </c>
      <c r="E296" s="217">
        <f t="shared" si="52"/>
        <v>5.14</v>
      </c>
      <c r="F296" s="218">
        <f t="shared" si="53"/>
        <v>6.14</v>
      </c>
      <c r="G296" s="219">
        <f t="shared" si="54"/>
        <v>6.14</v>
      </c>
      <c r="H296" s="220">
        <f t="shared" si="55"/>
        <v>7.14</v>
      </c>
      <c r="I296" s="257" t="str">
        <f t="shared" si="56"/>
        <v>6-7 years</v>
      </c>
      <c r="J296" s="211">
        <f t="shared" si="57"/>
        <v>0.83835616438356164</v>
      </c>
      <c r="K296" s="258">
        <f>$D296*J296*_xlfn.XLOOKUP($I296,'Sample Size cal and results'!$B$24:$B$25,'Sample Size cal and results'!$H$24:$H$25)</f>
        <v>858.52749415893231</v>
      </c>
      <c r="L296" s="211">
        <f t="shared" si="58"/>
        <v>0.16164383561643836</v>
      </c>
      <c r="M296" s="211">
        <f>$D296*L296*_xlfn.XLOOKUP($I296,'Sample Size cal and results'!$B$24:$B$25,'Sample Size cal and results'!$I$24:$I$25)</f>
        <v>169.8386369090893</v>
      </c>
      <c r="N296" s="214">
        <f t="shared" si="59"/>
        <v>1028.3661310680216</v>
      </c>
      <c r="O296" s="225" t="str">
        <f t="shared" si="60"/>
        <v>7-8 years</v>
      </c>
      <c r="P296" s="226">
        <f t="shared" si="61"/>
        <v>0.85479452054794525</v>
      </c>
      <c r="Q296" s="227">
        <f>$D296*P296*_xlfn.XLOOKUP($O296,'Sample Size cal and results'!$B$26:$B$27,'Sample Size cal and results'!$I$26:$I$27)</f>
        <v>693.72094830325261</v>
      </c>
      <c r="R296" s="330"/>
    </row>
    <row r="297" spans="1:18" ht="12.75">
      <c r="A297" s="99" t="s">
        <v>58</v>
      </c>
      <c r="B297" s="100">
        <v>42011</v>
      </c>
      <c r="C297" s="100">
        <f t="shared" si="51"/>
        <v>44567</v>
      </c>
      <c r="D297" s="209">
        <v>149</v>
      </c>
      <c r="E297" s="217">
        <f t="shared" si="52"/>
        <v>5.14</v>
      </c>
      <c r="F297" s="218">
        <f t="shared" si="53"/>
        <v>6.14</v>
      </c>
      <c r="G297" s="219">
        <f t="shared" si="54"/>
        <v>6.14</v>
      </c>
      <c r="H297" s="220">
        <f t="shared" si="55"/>
        <v>7.14</v>
      </c>
      <c r="I297" s="257" t="str">
        <f t="shared" si="56"/>
        <v>6-7 years</v>
      </c>
      <c r="J297" s="211">
        <f t="shared" si="57"/>
        <v>0.83835616438356164</v>
      </c>
      <c r="K297" s="258">
        <f>$D297*J297*_xlfn.XLOOKUP($I297,'Sample Size cal and results'!$B$24:$B$25,'Sample Size cal and results'!$H$24:$H$25)</f>
        <v>102.41841203337142</v>
      </c>
      <c r="L297" s="211">
        <f t="shared" si="58"/>
        <v>0.16164383561643836</v>
      </c>
      <c r="M297" s="211">
        <f>$D297*L297*_xlfn.XLOOKUP($I297,'Sample Size cal and results'!$B$24:$B$25,'Sample Size cal and results'!$I$24:$I$25)</f>
        <v>20.260974299002651</v>
      </c>
      <c r="N297" s="214">
        <f t="shared" si="59"/>
        <v>122.67938633237408</v>
      </c>
      <c r="O297" s="225" t="str">
        <f t="shared" si="60"/>
        <v>7-8 years</v>
      </c>
      <c r="P297" s="226">
        <f t="shared" si="61"/>
        <v>0.85479452054794525</v>
      </c>
      <c r="Q297" s="227">
        <f>$D297*P297*_xlfn.XLOOKUP($O297,'Sample Size cal and results'!$B$26:$B$27,'Sample Size cal and results'!$I$26:$I$27)</f>
        <v>82.757743232333596</v>
      </c>
      <c r="R297" s="330"/>
    </row>
    <row r="298" spans="1:18" ht="12.75">
      <c r="A298" s="99" t="s">
        <v>148</v>
      </c>
      <c r="B298" s="100">
        <v>42011</v>
      </c>
      <c r="C298" s="100">
        <f t="shared" si="51"/>
        <v>44567</v>
      </c>
      <c r="D298" s="209">
        <v>20</v>
      </c>
      <c r="E298" s="217">
        <f t="shared" si="52"/>
        <v>5.14</v>
      </c>
      <c r="F298" s="218">
        <f t="shared" si="53"/>
        <v>6.14</v>
      </c>
      <c r="G298" s="219">
        <f t="shared" si="54"/>
        <v>6.14</v>
      </c>
      <c r="H298" s="220">
        <f t="shared" si="55"/>
        <v>7.14</v>
      </c>
      <c r="I298" s="257" t="str">
        <f t="shared" si="56"/>
        <v>6-7 years</v>
      </c>
      <c r="J298" s="211">
        <f t="shared" si="57"/>
        <v>0.83835616438356164</v>
      </c>
      <c r="K298" s="258">
        <f>$D298*J298*_xlfn.XLOOKUP($I298,'Sample Size cal and results'!$B$24:$B$25,'Sample Size cal and results'!$H$24:$H$25)</f>
        <v>13.747437856828379</v>
      </c>
      <c r="L298" s="211">
        <f t="shared" si="58"/>
        <v>0.16164383561643836</v>
      </c>
      <c r="M298" s="211">
        <f>$D298*L298*_xlfn.XLOOKUP($I298,'Sample Size cal and results'!$B$24:$B$25,'Sample Size cal and results'!$I$24:$I$25)</f>
        <v>2.7195938656379397</v>
      </c>
      <c r="N298" s="214">
        <f t="shared" si="59"/>
        <v>16.467031722466317</v>
      </c>
      <c r="O298" s="225" t="str">
        <f t="shared" si="60"/>
        <v>7-8 years</v>
      </c>
      <c r="P298" s="226">
        <f t="shared" si="61"/>
        <v>0.85479452054794525</v>
      </c>
      <c r="Q298" s="227">
        <f>$D298*P298*_xlfn.XLOOKUP($O298,'Sample Size cal and results'!$B$26:$B$27,'Sample Size cal and results'!$I$26:$I$27)</f>
        <v>11.108421910380347</v>
      </c>
      <c r="R298" s="330"/>
    </row>
    <row r="299" spans="1:18" ht="12.75">
      <c r="A299" s="99" t="s">
        <v>146</v>
      </c>
      <c r="B299" s="100">
        <v>42011</v>
      </c>
      <c r="C299" s="100">
        <f t="shared" si="51"/>
        <v>44567</v>
      </c>
      <c r="D299" s="209">
        <v>2</v>
      </c>
      <c r="E299" s="217">
        <f t="shared" si="52"/>
        <v>5.14</v>
      </c>
      <c r="F299" s="218">
        <f t="shared" si="53"/>
        <v>6.14</v>
      </c>
      <c r="G299" s="219">
        <f t="shared" si="54"/>
        <v>6.14</v>
      </c>
      <c r="H299" s="220">
        <f t="shared" si="55"/>
        <v>7.14</v>
      </c>
      <c r="I299" s="257" t="str">
        <f t="shared" si="56"/>
        <v>6-7 years</v>
      </c>
      <c r="J299" s="211">
        <f t="shared" si="57"/>
        <v>0.83835616438356164</v>
      </c>
      <c r="K299" s="258">
        <f>$D299*J299*_xlfn.XLOOKUP($I299,'Sample Size cal and results'!$B$24:$B$25,'Sample Size cal and results'!$H$24:$H$25)</f>
        <v>1.3747437856828379</v>
      </c>
      <c r="L299" s="211">
        <f t="shared" si="58"/>
        <v>0.16164383561643836</v>
      </c>
      <c r="M299" s="211">
        <f>$D299*L299*_xlfn.XLOOKUP($I299,'Sample Size cal and results'!$B$24:$B$25,'Sample Size cal and results'!$I$24:$I$25)</f>
        <v>0.27195938656379398</v>
      </c>
      <c r="N299" s="214">
        <f t="shared" si="59"/>
        <v>1.6467031722466319</v>
      </c>
      <c r="O299" s="225" t="str">
        <f t="shared" si="60"/>
        <v>7-8 years</v>
      </c>
      <c r="P299" s="226">
        <f t="shared" si="61"/>
        <v>0.85479452054794525</v>
      </c>
      <c r="Q299" s="227">
        <f>$D299*P299*_xlfn.XLOOKUP($O299,'Sample Size cal and results'!$B$26:$B$27,'Sample Size cal and results'!$I$26:$I$27)</f>
        <v>1.1108421910380346</v>
      </c>
      <c r="R299" s="330"/>
    </row>
    <row r="300" spans="1:18" ht="12.75">
      <c r="A300" s="99" t="s">
        <v>58</v>
      </c>
      <c r="B300" s="100">
        <v>42010</v>
      </c>
      <c r="C300" s="100">
        <f t="shared" si="51"/>
        <v>44566</v>
      </c>
      <c r="D300" s="209">
        <v>201</v>
      </c>
      <c r="E300" s="217">
        <f t="shared" si="52"/>
        <v>5.14</v>
      </c>
      <c r="F300" s="218">
        <f t="shared" si="53"/>
        <v>6.14</v>
      </c>
      <c r="G300" s="219">
        <f t="shared" si="54"/>
        <v>6.14</v>
      </c>
      <c r="H300" s="220">
        <f t="shared" si="55"/>
        <v>7.14</v>
      </c>
      <c r="I300" s="257" t="str">
        <f t="shared" si="56"/>
        <v>6-7 years</v>
      </c>
      <c r="J300" s="211">
        <f t="shared" si="57"/>
        <v>0.83835616438356164</v>
      </c>
      <c r="K300" s="258">
        <f>$D300*J300*_xlfn.XLOOKUP($I300,'Sample Size cal and results'!$B$24:$B$25,'Sample Size cal and results'!$H$24:$H$25)</f>
        <v>138.16175046112522</v>
      </c>
      <c r="L300" s="211">
        <f t="shared" si="58"/>
        <v>0.16164383561643836</v>
      </c>
      <c r="M300" s="211">
        <f>$D300*L300*_xlfn.XLOOKUP($I300,'Sample Size cal and results'!$B$24:$B$25,'Sample Size cal and results'!$I$24:$I$25)</f>
        <v>27.33191834966129</v>
      </c>
      <c r="N300" s="214">
        <f t="shared" si="59"/>
        <v>165.49366881078652</v>
      </c>
      <c r="O300" s="225" t="str">
        <f t="shared" si="60"/>
        <v>7-8 years</v>
      </c>
      <c r="P300" s="226">
        <f t="shared" si="61"/>
        <v>0.852054794520548</v>
      </c>
      <c r="Q300" s="227">
        <f>$D300*P300*_xlfn.XLOOKUP($O300,'Sample Size cal and results'!$B$26:$B$27,'Sample Size cal and results'!$I$26:$I$27)</f>
        <v>111.28182083970927</v>
      </c>
      <c r="R300" s="330"/>
    </row>
    <row r="301" spans="1:18" ht="12.75">
      <c r="A301" s="99" t="s">
        <v>148</v>
      </c>
      <c r="B301" s="100">
        <v>42010</v>
      </c>
      <c r="C301" s="100">
        <f t="shared" si="51"/>
        <v>44566</v>
      </c>
      <c r="D301" s="209">
        <v>17</v>
      </c>
      <c r="E301" s="217">
        <f t="shared" si="52"/>
        <v>5.14</v>
      </c>
      <c r="F301" s="218">
        <f t="shared" si="53"/>
        <v>6.14</v>
      </c>
      <c r="G301" s="219">
        <f t="shared" si="54"/>
        <v>6.14</v>
      </c>
      <c r="H301" s="220">
        <f t="shared" si="55"/>
        <v>7.14</v>
      </c>
      <c r="I301" s="257" t="str">
        <f t="shared" si="56"/>
        <v>6-7 years</v>
      </c>
      <c r="J301" s="211">
        <f t="shared" si="57"/>
        <v>0.83835616438356164</v>
      </c>
      <c r="K301" s="258">
        <f>$D301*J301*_xlfn.XLOOKUP($I301,'Sample Size cal and results'!$B$24:$B$25,'Sample Size cal and results'!$H$24:$H$25)</f>
        <v>11.685322178304123</v>
      </c>
      <c r="L301" s="211">
        <f t="shared" si="58"/>
        <v>0.16164383561643836</v>
      </c>
      <c r="M301" s="211">
        <f>$D301*L301*_xlfn.XLOOKUP($I301,'Sample Size cal and results'!$B$24:$B$25,'Sample Size cal and results'!$I$24:$I$25)</f>
        <v>2.3116547857922489</v>
      </c>
      <c r="N301" s="214">
        <f t="shared" si="59"/>
        <v>13.996976964096373</v>
      </c>
      <c r="O301" s="225" t="str">
        <f t="shared" si="60"/>
        <v>7-8 years</v>
      </c>
      <c r="P301" s="226">
        <f t="shared" si="61"/>
        <v>0.852054794520548</v>
      </c>
      <c r="Q301" s="227">
        <f>$D301*P301*_xlfn.XLOOKUP($O301,'Sample Size cal and results'!$B$26:$B$27,'Sample Size cal and results'!$I$26:$I$27)</f>
        <v>9.4118952949007841</v>
      </c>
      <c r="R301" s="330"/>
    </row>
    <row r="302" spans="1:18" ht="12.75">
      <c r="A302" s="99" t="s">
        <v>58</v>
      </c>
      <c r="B302" s="100">
        <v>42009</v>
      </c>
      <c r="C302" s="100">
        <f t="shared" si="51"/>
        <v>44565</v>
      </c>
      <c r="D302" s="209">
        <v>242</v>
      </c>
      <c r="E302" s="217">
        <f t="shared" si="52"/>
        <v>5.15</v>
      </c>
      <c r="F302" s="218">
        <f t="shared" si="53"/>
        <v>6.14</v>
      </c>
      <c r="G302" s="219">
        <f t="shared" si="54"/>
        <v>6.15</v>
      </c>
      <c r="H302" s="220">
        <f t="shared" si="55"/>
        <v>7.14</v>
      </c>
      <c r="I302" s="257" t="str">
        <f t="shared" si="56"/>
        <v>6-7 years</v>
      </c>
      <c r="J302" s="211">
        <f t="shared" si="57"/>
        <v>0.83835616438356164</v>
      </c>
      <c r="K302" s="258">
        <f>$D302*J302*_xlfn.XLOOKUP($I302,'Sample Size cal and results'!$B$24:$B$25,'Sample Size cal and results'!$H$24:$H$25)</f>
        <v>166.3439980676234</v>
      </c>
      <c r="L302" s="211">
        <f t="shared" si="58"/>
        <v>0.16164383561643836</v>
      </c>
      <c r="M302" s="211">
        <f>$D302*L302*_xlfn.XLOOKUP($I302,'Sample Size cal and results'!$B$24:$B$25,'Sample Size cal and results'!$I$24:$I$25)</f>
        <v>32.90708577421907</v>
      </c>
      <c r="N302" s="214">
        <f t="shared" si="59"/>
        <v>199.25108384184247</v>
      </c>
      <c r="O302" s="225" t="str">
        <f t="shared" si="60"/>
        <v>7-8 years</v>
      </c>
      <c r="P302" s="226">
        <f t="shared" si="61"/>
        <v>0.84931506849315064</v>
      </c>
      <c r="Q302" s="227">
        <f>$D302*P302*_xlfn.XLOOKUP($O302,'Sample Size cal and results'!$B$26:$B$27,'Sample Size cal and results'!$I$26:$I$27)</f>
        <v>133.55029033922011</v>
      </c>
      <c r="R302" s="330"/>
    </row>
    <row r="303" spans="1:18" ht="12.75">
      <c r="A303" s="99" t="s">
        <v>148</v>
      </c>
      <c r="B303" s="100">
        <v>42009</v>
      </c>
      <c r="C303" s="100">
        <f t="shared" si="51"/>
        <v>44565</v>
      </c>
      <c r="D303" s="209">
        <v>16</v>
      </c>
      <c r="E303" s="217">
        <f t="shared" si="52"/>
        <v>5.15</v>
      </c>
      <c r="F303" s="218">
        <f t="shared" si="53"/>
        <v>6.14</v>
      </c>
      <c r="G303" s="219">
        <f t="shared" si="54"/>
        <v>6.15</v>
      </c>
      <c r="H303" s="220">
        <f t="shared" si="55"/>
        <v>7.14</v>
      </c>
      <c r="I303" s="257" t="str">
        <f t="shared" si="56"/>
        <v>6-7 years</v>
      </c>
      <c r="J303" s="211">
        <f t="shared" si="57"/>
        <v>0.83835616438356164</v>
      </c>
      <c r="K303" s="258">
        <f>$D303*J303*_xlfn.XLOOKUP($I303,'Sample Size cal and results'!$B$24:$B$25,'Sample Size cal and results'!$H$24:$H$25)</f>
        <v>10.997950285462704</v>
      </c>
      <c r="L303" s="211">
        <f t="shared" si="58"/>
        <v>0.16164383561643836</v>
      </c>
      <c r="M303" s="211">
        <f>$D303*L303*_xlfn.XLOOKUP($I303,'Sample Size cal and results'!$B$24:$B$25,'Sample Size cal and results'!$I$24:$I$25)</f>
        <v>2.1756750925103518</v>
      </c>
      <c r="N303" s="214">
        <f t="shared" si="59"/>
        <v>13.173625377973055</v>
      </c>
      <c r="O303" s="225" t="str">
        <f t="shared" si="60"/>
        <v>7-8 years</v>
      </c>
      <c r="P303" s="226">
        <f t="shared" si="61"/>
        <v>0.84931506849315064</v>
      </c>
      <c r="Q303" s="227">
        <f>$D303*P303*_xlfn.XLOOKUP($O303,'Sample Size cal and results'!$B$26:$B$27,'Sample Size cal and results'!$I$26:$I$27)</f>
        <v>8.8297712620971982</v>
      </c>
      <c r="R303" s="330"/>
    </row>
    <row r="304" spans="1:18" ht="12.75">
      <c r="A304" s="99" t="s">
        <v>146</v>
      </c>
      <c r="B304" s="100">
        <v>42009</v>
      </c>
      <c r="C304" s="100">
        <f t="shared" si="51"/>
        <v>44565</v>
      </c>
      <c r="D304" s="209">
        <v>6</v>
      </c>
      <c r="E304" s="217">
        <f t="shared" si="52"/>
        <v>5.15</v>
      </c>
      <c r="F304" s="218">
        <f t="shared" si="53"/>
        <v>6.14</v>
      </c>
      <c r="G304" s="219">
        <f t="shared" si="54"/>
        <v>6.15</v>
      </c>
      <c r="H304" s="220">
        <f t="shared" si="55"/>
        <v>7.14</v>
      </c>
      <c r="I304" s="257" t="str">
        <f t="shared" si="56"/>
        <v>6-7 years</v>
      </c>
      <c r="J304" s="211">
        <f t="shared" si="57"/>
        <v>0.83835616438356164</v>
      </c>
      <c r="K304" s="258">
        <f>$D304*J304*_xlfn.XLOOKUP($I304,'Sample Size cal and results'!$B$24:$B$25,'Sample Size cal and results'!$H$24:$H$25)</f>
        <v>4.1242313570485134</v>
      </c>
      <c r="L304" s="211">
        <f t="shared" si="58"/>
        <v>0.16164383561643836</v>
      </c>
      <c r="M304" s="211">
        <f>$D304*L304*_xlfn.XLOOKUP($I304,'Sample Size cal and results'!$B$24:$B$25,'Sample Size cal and results'!$I$24:$I$25)</f>
        <v>0.81587815969138189</v>
      </c>
      <c r="N304" s="214">
        <f t="shared" si="59"/>
        <v>4.940109516739895</v>
      </c>
      <c r="O304" s="225" t="str">
        <f t="shared" si="60"/>
        <v>7-8 years</v>
      </c>
      <c r="P304" s="226">
        <f t="shared" si="61"/>
        <v>0.84931506849315064</v>
      </c>
      <c r="Q304" s="227">
        <f>$D304*P304*_xlfn.XLOOKUP($O304,'Sample Size cal and results'!$B$26:$B$27,'Sample Size cal and results'!$I$26:$I$27)</f>
        <v>3.3111642232864495</v>
      </c>
      <c r="R304" s="330"/>
    </row>
    <row r="305" spans="1:18" ht="12.75">
      <c r="A305" s="99" t="s">
        <v>58</v>
      </c>
      <c r="B305" s="100">
        <v>42008</v>
      </c>
      <c r="C305" s="100">
        <f t="shared" si="51"/>
        <v>44564</v>
      </c>
      <c r="D305" s="209">
        <v>174</v>
      </c>
      <c r="E305" s="217">
        <f t="shared" si="52"/>
        <v>5.15</v>
      </c>
      <c r="F305" s="218">
        <f t="shared" si="53"/>
        <v>6.15</v>
      </c>
      <c r="G305" s="219">
        <f t="shared" si="54"/>
        <v>6.15</v>
      </c>
      <c r="H305" s="220">
        <f t="shared" si="55"/>
        <v>7.15</v>
      </c>
      <c r="I305" s="257" t="str">
        <f t="shared" si="56"/>
        <v>6-7 years</v>
      </c>
      <c r="J305" s="211">
        <f t="shared" si="57"/>
        <v>0.83835616438356164</v>
      </c>
      <c r="K305" s="258">
        <f>$D305*J305*_xlfn.XLOOKUP($I305,'Sample Size cal and results'!$B$24:$B$25,'Sample Size cal and results'!$H$24:$H$25)</f>
        <v>119.60270935440688</v>
      </c>
      <c r="L305" s="211">
        <f t="shared" si="58"/>
        <v>0.16164383561643836</v>
      </c>
      <c r="M305" s="211">
        <f>$D305*L305*_xlfn.XLOOKUP($I305,'Sample Size cal and results'!$B$24:$B$25,'Sample Size cal and results'!$I$24:$I$25)</f>
        <v>23.660466631050074</v>
      </c>
      <c r="N305" s="214">
        <f t="shared" si="59"/>
        <v>143.26317598545697</v>
      </c>
      <c r="O305" s="225" t="str">
        <f t="shared" si="60"/>
        <v>7-8 years</v>
      </c>
      <c r="P305" s="226">
        <f t="shared" si="61"/>
        <v>0.84657534246575339</v>
      </c>
      <c r="Q305" s="227">
        <f>$D305*P305*_xlfn.XLOOKUP($O305,'Sample Size cal and results'!$B$26:$B$27,'Sample Size cal and results'!$I$26:$I$27)</f>
        <v>95.71400840280603</v>
      </c>
      <c r="R305" s="330"/>
    </row>
    <row r="306" spans="1:18" ht="12.75">
      <c r="A306" s="99" t="s">
        <v>148</v>
      </c>
      <c r="B306" s="100">
        <v>42008</v>
      </c>
      <c r="C306" s="100">
        <f t="shared" si="51"/>
        <v>44564</v>
      </c>
      <c r="D306" s="209">
        <v>15</v>
      </c>
      <c r="E306" s="217">
        <f t="shared" si="52"/>
        <v>5.15</v>
      </c>
      <c r="F306" s="218">
        <f t="shared" si="53"/>
        <v>6.15</v>
      </c>
      <c r="G306" s="219">
        <f t="shared" si="54"/>
        <v>6.15</v>
      </c>
      <c r="H306" s="220">
        <f t="shared" si="55"/>
        <v>7.15</v>
      </c>
      <c r="I306" s="257" t="str">
        <f t="shared" si="56"/>
        <v>6-7 years</v>
      </c>
      <c r="J306" s="211">
        <f t="shared" si="57"/>
        <v>0.83835616438356164</v>
      </c>
      <c r="K306" s="258">
        <f>$D306*J306*_xlfn.XLOOKUP($I306,'Sample Size cal and results'!$B$24:$B$25,'Sample Size cal and results'!$H$24:$H$25)</f>
        <v>10.310578392621284</v>
      </c>
      <c r="L306" s="211">
        <f t="shared" si="58"/>
        <v>0.16164383561643836</v>
      </c>
      <c r="M306" s="211">
        <f>$D306*L306*_xlfn.XLOOKUP($I306,'Sample Size cal and results'!$B$24:$B$25,'Sample Size cal and results'!$I$24:$I$25)</f>
        <v>2.0396953992284548</v>
      </c>
      <c r="N306" s="214">
        <f t="shared" si="59"/>
        <v>12.350273791849739</v>
      </c>
      <c r="O306" s="225" t="str">
        <f t="shared" si="60"/>
        <v>7-8 years</v>
      </c>
      <c r="P306" s="226">
        <f t="shared" si="61"/>
        <v>0.84657534246575339</v>
      </c>
      <c r="Q306" s="227">
        <f>$D306*P306*_xlfn.XLOOKUP($O306,'Sample Size cal and results'!$B$26:$B$27,'Sample Size cal and results'!$I$26:$I$27)</f>
        <v>8.2512076209315559</v>
      </c>
      <c r="R306" s="330"/>
    </row>
    <row r="307" spans="1:18" ht="12.75">
      <c r="A307" s="99" t="s">
        <v>146</v>
      </c>
      <c r="B307" s="100">
        <v>42008</v>
      </c>
      <c r="C307" s="100">
        <f t="shared" si="51"/>
        <v>44564</v>
      </c>
      <c r="D307" s="209">
        <v>1</v>
      </c>
      <c r="E307" s="217">
        <f t="shared" si="52"/>
        <v>5.15</v>
      </c>
      <c r="F307" s="218">
        <f t="shared" si="53"/>
        <v>6.15</v>
      </c>
      <c r="G307" s="219">
        <f t="shared" si="54"/>
        <v>6.15</v>
      </c>
      <c r="H307" s="220">
        <f t="shared" si="55"/>
        <v>7.15</v>
      </c>
      <c r="I307" s="257" t="str">
        <f t="shared" si="56"/>
        <v>6-7 years</v>
      </c>
      <c r="J307" s="211">
        <f t="shared" si="57"/>
        <v>0.83835616438356164</v>
      </c>
      <c r="K307" s="258">
        <f>$D307*J307*_xlfn.XLOOKUP($I307,'Sample Size cal and results'!$B$24:$B$25,'Sample Size cal and results'!$H$24:$H$25)</f>
        <v>0.68737189284141897</v>
      </c>
      <c r="L307" s="211">
        <f t="shared" si="58"/>
        <v>0.16164383561643836</v>
      </c>
      <c r="M307" s="211">
        <f>$D307*L307*_xlfn.XLOOKUP($I307,'Sample Size cal and results'!$B$24:$B$25,'Sample Size cal and results'!$I$24:$I$25)</f>
        <v>0.13597969328189699</v>
      </c>
      <c r="N307" s="214">
        <f t="shared" si="59"/>
        <v>0.82335158612331594</v>
      </c>
      <c r="O307" s="225" t="str">
        <f t="shared" si="60"/>
        <v>7-8 years</v>
      </c>
      <c r="P307" s="226">
        <f t="shared" si="61"/>
        <v>0.84657534246575339</v>
      </c>
      <c r="Q307" s="227">
        <f>$D307*P307*_xlfn.XLOOKUP($O307,'Sample Size cal and results'!$B$26:$B$27,'Sample Size cal and results'!$I$26:$I$27)</f>
        <v>0.55008050806210362</v>
      </c>
      <c r="R307" s="330"/>
    </row>
    <row r="308" spans="1:18" ht="12.75">
      <c r="A308" s="99" t="s">
        <v>58</v>
      </c>
      <c r="B308" s="100">
        <v>42007</v>
      </c>
      <c r="C308" s="100">
        <f t="shared" si="51"/>
        <v>44563</v>
      </c>
      <c r="D308" s="209">
        <v>194</v>
      </c>
      <c r="E308" s="217">
        <f t="shared" si="52"/>
        <v>5.15</v>
      </c>
      <c r="F308" s="218">
        <f t="shared" si="53"/>
        <v>6.15</v>
      </c>
      <c r="G308" s="219">
        <f t="shared" si="54"/>
        <v>6.15</v>
      </c>
      <c r="H308" s="220">
        <f t="shared" si="55"/>
        <v>7.15</v>
      </c>
      <c r="I308" s="257" t="str">
        <f t="shared" si="56"/>
        <v>6-7 years</v>
      </c>
      <c r="J308" s="211">
        <f t="shared" si="57"/>
        <v>0.83835616438356164</v>
      </c>
      <c r="K308" s="258">
        <f>$D308*J308*_xlfn.XLOOKUP($I308,'Sample Size cal and results'!$B$24:$B$25,'Sample Size cal and results'!$H$24:$H$25)</f>
        <v>133.35014721123528</v>
      </c>
      <c r="L308" s="211">
        <f t="shared" si="58"/>
        <v>0.16164383561643836</v>
      </c>
      <c r="M308" s="211">
        <f>$D308*L308*_xlfn.XLOOKUP($I308,'Sample Size cal and results'!$B$24:$B$25,'Sample Size cal and results'!$I$24:$I$25)</f>
        <v>26.380060496688014</v>
      </c>
      <c r="N308" s="214">
        <f t="shared" si="59"/>
        <v>159.73020770792328</v>
      </c>
      <c r="O308" s="225" t="str">
        <f t="shared" si="60"/>
        <v>7-8 years</v>
      </c>
      <c r="P308" s="226">
        <f t="shared" si="61"/>
        <v>0.84383561643835614</v>
      </c>
      <c r="Q308" s="227">
        <f>$D308*P308*_xlfn.XLOOKUP($O308,'Sample Size cal and results'!$B$26:$B$27,'Sample Size cal and results'!$I$26:$I$27)</f>
        <v>106.37026057516769</v>
      </c>
      <c r="R308" s="330"/>
    </row>
    <row r="309" spans="1:18" ht="12.75">
      <c r="A309" s="99" t="s">
        <v>148</v>
      </c>
      <c r="B309" s="100">
        <v>42007</v>
      </c>
      <c r="C309" s="100">
        <f t="shared" si="51"/>
        <v>44563</v>
      </c>
      <c r="D309" s="209">
        <v>16</v>
      </c>
      <c r="E309" s="217">
        <f t="shared" si="52"/>
        <v>5.15</v>
      </c>
      <c r="F309" s="218">
        <f t="shared" si="53"/>
        <v>6.15</v>
      </c>
      <c r="G309" s="219">
        <f t="shared" si="54"/>
        <v>6.15</v>
      </c>
      <c r="H309" s="220">
        <f t="shared" si="55"/>
        <v>7.15</v>
      </c>
      <c r="I309" s="257" t="str">
        <f t="shared" si="56"/>
        <v>6-7 years</v>
      </c>
      <c r="J309" s="211">
        <f t="shared" si="57"/>
        <v>0.83835616438356164</v>
      </c>
      <c r="K309" s="258">
        <f>$D309*J309*_xlfn.XLOOKUP($I309,'Sample Size cal and results'!$B$24:$B$25,'Sample Size cal and results'!$H$24:$H$25)</f>
        <v>10.997950285462704</v>
      </c>
      <c r="L309" s="211">
        <f t="shared" si="58"/>
        <v>0.16164383561643836</v>
      </c>
      <c r="M309" s="211">
        <f>$D309*L309*_xlfn.XLOOKUP($I309,'Sample Size cal and results'!$B$24:$B$25,'Sample Size cal and results'!$I$24:$I$25)</f>
        <v>2.1756750925103518</v>
      </c>
      <c r="N309" s="214">
        <f t="shared" si="59"/>
        <v>13.173625377973055</v>
      </c>
      <c r="O309" s="225" t="str">
        <f t="shared" si="60"/>
        <v>7-8 years</v>
      </c>
      <c r="P309" s="226">
        <f t="shared" si="61"/>
        <v>0.84383561643835614</v>
      </c>
      <c r="Q309" s="227">
        <f>$D309*P309*_xlfn.XLOOKUP($O309,'Sample Size cal and results'!$B$26:$B$27,'Sample Size cal and results'!$I$26:$I$27)</f>
        <v>8.7728049958901195</v>
      </c>
      <c r="R309" s="330"/>
    </row>
    <row r="310" spans="1:18" ht="12.75">
      <c r="A310" s="99" t="s">
        <v>146</v>
      </c>
      <c r="B310" s="100">
        <v>42007</v>
      </c>
      <c r="C310" s="100">
        <f t="shared" si="51"/>
        <v>44563</v>
      </c>
      <c r="D310" s="209">
        <v>2</v>
      </c>
      <c r="E310" s="217">
        <f t="shared" si="52"/>
        <v>5.15</v>
      </c>
      <c r="F310" s="218">
        <f t="shared" si="53"/>
        <v>6.15</v>
      </c>
      <c r="G310" s="219">
        <f t="shared" si="54"/>
        <v>6.15</v>
      </c>
      <c r="H310" s="220">
        <f t="shared" si="55"/>
        <v>7.15</v>
      </c>
      <c r="I310" s="257" t="str">
        <f t="shared" si="56"/>
        <v>6-7 years</v>
      </c>
      <c r="J310" s="211">
        <f t="shared" si="57"/>
        <v>0.83835616438356164</v>
      </c>
      <c r="K310" s="258">
        <f>$D310*J310*_xlfn.XLOOKUP($I310,'Sample Size cal and results'!$B$24:$B$25,'Sample Size cal and results'!$H$24:$H$25)</f>
        <v>1.3747437856828379</v>
      </c>
      <c r="L310" s="211">
        <f t="shared" si="58"/>
        <v>0.16164383561643836</v>
      </c>
      <c r="M310" s="211">
        <f>$D310*L310*_xlfn.XLOOKUP($I310,'Sample Size cal and results'!$B$24:$B$25,'Sample Size cal and results'!$I$24:$I$25)</f>
        <v>0.27195938656379398</v>
      </c>
      <c r="N310" s="214">
        <f t="shared" si="59"/>
        <v>1.6467031722466319</v>
      </c>
      <c r="O310" s="225" t="str">
        <f t="shared" si="60"/>
        <v>7-8 years</v>
      </c>
      <c r="P310" s="226">
        <f t="shared" si="61"/>
        <v>0.84383561643835614</v>
      </c>
      <c r="Q310" s="227">
        <f>$D310*P310*_xlfn.XLOOKUP($O310,'Sample Size cal and results'!$B$26:$B$27,'Sample Size cal and results'!$I$26:$I$27)</f>
        <v>1.0966006244862649</v>
      </c>
      <c r="R310" s="330"/>
    </row>
    <row r="311" spans="1:18" ht="12.75">
      <c r="A311" s="99" t="s">
        <v>58</v>
      </c>
      <c r="B311" s="100">
        <v>42006</v>
      </c>
      <c r="C311" s="100">
        <f t="shared" si="51"/>
        <v>44562</v>
      </c>
      <c r="D311" s="209">
        <v>215</v>
      </c>
      <c r="E311" s="217">
        <f t="shared" si="52"/>
        <v>5.15</v>
      </c>
      <c r="F311" s="218">
        <f t="shared" si="53"/>
        <v>6.15</v>
      </c>
      <c r="G311" s="219">
        <f t="shared" si="54"/>
        <v>6.15</v>
      </c>
      <c r="H311" s="220">
        <f t="shared" si="55"/>
        <v>7.15</v>
      </c>
      <c r="I311" s="257" t="str">
        <f t="shared" si="56"/>
        <v>6-7 years</v>
      </c>
      <c r="J311" s="211">
        <f t="shared" si="57"/>
        <v>0.83835616438356164</v>
      </c>
      <c r="K311" s="258">
        <f>$D311*J311*_xlfn.XLOOKUP($I311,'Sample Size cal and results'!$B$24:$B$25,'Sample Size cal and results'!$H$24:$H$25)</f>
        <v>147.78495696090508</v>
      </c>
      <c r="L311" s="211">
        <f t="shared" si="58"/>
        <v>0.16164383561643836</v>
      </c>
      <c r="M311" s="211">
        <f>$D311*L311*_xlfn.XLOOKUP($I311,'Sample Size cal and results'!$B$24:$B$25,'Sample Size cal and results'!$I$24:$I$25)</f>
        <v>29.23563405560785</v>
      </c>
      <c r="N311" s="214">
        <f t="shared" si="59"/>
        <v>177.02059101651292</v>
      </c>
      <c r="O311" s="225" t="str">
        <f t="shared" si="60"/>
        <v>7-8 years</v>
      </c>
      <c r="P311" s="226">
        <f t="shared" si="61"/>
        <v>0.84109589041095889</v>
      </c>
      <c r="Q311" s="227">
        <f>$D311*P311*_xlfn.XLOOKUP($O311,'Sample Size cal and results'!$B$26:$B$27,'Sample Size cal and results'!$I$26:$I$27)</f>
        <v>117.50182503119467</v>
      </c>
      <c r="R311" s="330"/>
    </row>
    <row r="312" spans="1:18" ht="12.75">
      <c r="A312" s="99" t="s">
        <v>148</v>
      </c>
      <c r="B312" s="100">
        <v>42006</v>
      </c>
      <c r="C312" s="100">
        <f t="shared" si="51"/>
        <v>44562</v>
      </c>
      <c r="D312" s="209">
        <v>16</v>
      </c>
      <c r="E312" s="217">
        <f t="shared" si="52"/>
        <v>5.15</v>
      </c>
      <c r="F312" s="218">
        <f t="shared" si="53"/>
        <v>6.15</v>
      </c>
      <c r="G312" s="219">
        <f t="shared" si="54"/>
        <v>6.15</v>
      </c>
      <c r="H312" s="220">
        <f t="shared" si="55"/>
        <v>7.15</v>
      </c>
      <c r="I312" s="257" t="str">
        <f t="shared" si="56"/>
        <v>6-7 years</v>
      </c>
      <c r="J312" s="211">
        <f t="shared" si="57"/>
        <v>0.83835616438356164</v>
      </c>
      <c r="K312" s="258">
        <f>$D312*J312*_xlfn.XLOOKUP($I312,'Sample Size cal and results'!$B$24:$B$25,'Sample Size cal and results'!$H$24:$H$25)</f>
        <v>10.997950285462704</v>
      </c>
      <c r="L312" s="211">
        <f t="shared" si="58"/>
        <v>0.16164383561643836</v>
      </c>
      <c r="M312" s="211">
        <f>$D312*L312*_xlfn.XLOOKUP($I312,'Sample Size cal and results'!$B$24:$B$25,'Sample Size cal and results'!$I$24:$I$25)</f>
        <v>2.1756750925103518</v>
      </c>
      <c r="N312" s="214">
        <f t="shared" si="59"/>
        <v>13.173625377973055</v>
      </c>
      <c r="O312" s="225" t="str">
        <f t="shared" si="60"/>
        <v>7-8 years</v>
      </c>
      <c r="P312" s="226">
        <f t="shared" si="61"/>
        <v>0.84109589041095889</v>
      </c>
      <c r="Q312" s="227">
        <f>$D312*P312*_xlfn.XLOOKUP($O312,'Sample Size cal and results'!$B$26:$B$27,'Sample Size cal and results'!$I$26:$I$27)</f>
        <v>8.7443218627865811</v>
      </c>
      <c r="R312" s="330"/>
    </row>
    <row r="313" spans="1:18" ht="12.75">
      <c r="A313" s="99" t="s">
        <v>146</v>
      </c>
      <c r="B313" s="100">
        <v>42006</v>
      </c>
      <c r="C313" s="100">
        <f t="shared" si="51"/>
        <v>44562</v>
      </c>
      <c r="D313" s="209">
        <v>8</v>
      </c>
      <c r="E313" s="217">
        <f t="shared" si="52"/>
        <v>5.15</v>
      </c>
      <c r="F313" s="218">
        <f t="shared" si="53"/>
        <v>6.15</v>
      </c>
      <c r="G313" s="219">
        <f t="shared" si="54"/>
        <v>6.15</v>
      </c>
      <c r="H313" s="220">
        <f t="shared" si="55"/>
        <v>7.15</v>
      </c>
      <c r="I313" s="257" t="str">
        <f t="shared" si="56"/>
        <v>6-7 years</v>
      </c>
      <c r="J313" s="211">
        <f t="shared" si="57"/>
        <v>0.83835616438356164</v>
      </c>
      <c r="K313" s="258">
        <f>$D313*J313*_xlfn.XLOOKUP($I313,'Sample Size cal and results'!$B$24:$B$25,'Sample Size cal and results'!$H$24:$H$25)</f>
        <v>5.4989751427313518</v>
      </c>
      <c r="L313" s="211">
        <f t="shared" si="58"/>
        <v>0.16164383561643836</v>
      </c>
      <c r="M313" s="211">
        <f>$D313*L313*_xlfn.XLOOKUP($I313,'Sample Size cal and results'!$B$24:$B$25,'Sample Size cal and results'!$I$24:$I$25)</f>
        <v>1.0878375462551759</v>
      </c>
      <c r="N313" s="214">
        <f t="shared" si="59"/>
        <v>6.5868126889865275</v>
      </c>
      <c r="O313" s="225" t="str">
        <f t="shared" si="60"/>
        <v>7-8 years</v>
      </c>
      <c r="P313" s="226">
        <f t="shared" si="61"/>
        <v>0.84109589041095889</v>
      </c>
      <c r="Q313" s="227">
        <f>$D313*P313*_xlfn.XLOOKUP($O313,'Sample Size cal and results'!$B$26:$B$27,'Sample Size cal and results'!$I$26:$I$27)</f>
        <v>4.3721609313932905</v>
      </c>
      <c r="R313" s="330"/>
    </row>
    <row r="314" spans="1:18" ht="12.75">
      <c r="A314" s="99" t="s">
        <v>58</v>
      </c>
      <c r="B314" s="100">
        <v>42005</v>
      </c>
      <c r="C314" s="100">
        <f t="shared" si="51"/>
        <v>44561</v>
      </c>
      <c r="D314" s="209">
        <v>194</v>
      </c>
      <c r="E314" s="217">
        <f t="shared" si="52"/>
        <v>5.16</v>
      </c>
      <c r="F314" s="218">
        <f t="shared" si="53"/>
        <v>6.15</v>
      </c>
      <c r="G314" s="219">
        <f t="shared" si="54"/>
        <v>6.16</v>
      </c>
      <c r="H314" s="220">
        <f t="shared" si="55"/>
        <v>7.15</v>
      </c>
      <c r="I314" s="257" t="str">
        <f t="shared" si="56"/>
        <v>6-7 years</v>
      </c>
      <c r="J314" s="211">
        <f t="shared" si="57"/>
        <v>0.83835616438356164</v>
      </c>
      <c r="K314" s="258">
        <f>$D314*J314*_xlfn.XLOOKUP($I314,'Sample Size cal and results'!$B$24:$B$25,'Sample Size cal and results'!$H$24:$H$25)</f>
        <v>133.35014721123528</v>
      </c>
      <c r="L314" s="211">
        <f t="shared" si="58"/>
        <v>0.16164383561643836</v>
      </c>
      <c r="M314" s="211">
        <f>$D314*L314*_xlfn.XLOOKUP($I314,'Sample Size cal and results'!$B$24:$B$25,'Sample Size cal and results'!$I$24:$I$25)</f>
        <v>26.380060496688014</v>
      </c>
      <c r="N314" s="214">
        <f t="shared" si="59"/>
        <v>159.73020770792328</v>
      </c>
      <c r="O314" s="225" t="str">
        <f t="shared" si="60"/>
        <v>7-8 years</v>
      </c>
      <c r="P314" s="226">
        <f t="shared" si="61"/>
        <v>0.83835616438356164</v>
      </c>
      <c r="Q314" s="227">
        <f>$D314*P314*_xlfn.XLOOKUP($O314,'Sample Size cal and results'!$B$26:$B$27,'Sample Size cal and results'!$I$26:$I$27)</f>
        <v>105.67954459740687</v>
      </c>
      <c r="R314" s="330"/>
    </row>
    <row r="315" spans="1:18" ht="12.75">
      <c r="A315" s="99" t="s">
        <v>148</v>
      </c>
      <c r="B315" s="100">
        <v>42005</v>
      </c>
      <c r="C315" s="100">
        <f t="shared" si="51"/>
        <v>44561</v>
      </c>
      <c r="D315" s="209">
        <v>17</v>
      </c>
      <c r="E315" s="217">
        <f t="shared" si="52"/>
        <v>5.16</v>
      </c>
      <c r="F315" s="218">
        <f t="shared" si="53"/>
        <v>6.15</v>
      </c>
      <c r="G315" s="219">
        <f t="shared" si="54"/>
        <v>6.16</v>
      </c>
      <c r="H315" s="220">
        <f t="shared" si="55"/>
        <v>7.15</v>
      </c>
      <c r="I315" s="257" t="str">
        <f t="shared" si="56"/>
        <v>6-7 years</v>
      </c>
      <c r="J315" s="211">
        <f t="shared" si="57"/>
        <v>0.83835616438356164</v>
      </c>
      <c r="K315" s="258">
        <f>$D315*J315*_xlfn.XLOOKUP($I315,'Sample Size cal and results'!$B$24:$B$25,'Sample Size cal and results'!$H$24:$H$25)</f>
        <v>11.685322178304123</v>
      </c>
      <c r="L315" s="211">
        <f t="shared" si="58"/>
        <v>0.16164383561643836</v>
      </c>
      <c r="M315" s="211">
        <f>$D315*L315*_xlfn.XLOOKUP($I315,'Sample Size cal and results'!$B$24:$B$25,'Sample Size cal and results'!$I$24:$I$25)</f>
        <v>2.3116547857922489</v>
      </c>
      <c r="N315" s="214">
        <f t="shared" si="59"/>
        <v>13.996976964096373</v>
      </c>
      <c r="O315" s="225" t="str">
        <f t="shared" si="60"/>
        <v>7-8 years</v>
      </c>
      <c r="P315" s="226">
        <f t="shared" si="61"/>
        <v>0.83835616438356164</v>
      </c>
      <c r="Q315" s="227">
        <f>$D315*P315*_xlfn.XLOOKUP($O315,'Sample Size cal and results'!$B$26:$B$27,'Sample Size cal and results'!$I$26:$I$27)</f>
        <v>9.260578650288231</v>
      </c>
      <c r="R315" s="330"/>
    </row>
    <row r="316" spans="1:18" ht="12.75">
      <c r="A316" s="99" t="s">
        <v>146</v>
      </c>
      <c r="B316" s="100">
        <v>42005</v>
      </c>
      <c r="C316" s="100">
        <f t="shared" si="51"/>
        <v>44561</v>
      </c>
      <c r="D316" s="209">
        <v>2</v>
      </c>
      <c r="E316" s="217">
        <f t="shared" si="52"/>
        <v>5.16</v>
      </c>
      <c r="F316" s="218">
        <f t="shared" si="53"/>
        <v>6.15</v>
      </c>
      <c r="G316" s="219">
        <f t="shared" si="54"/>
        <v>6.16</v>
      </c>
      <c r="H316" s="220">
        <f t="shared" si="55"/>
        <v>7.15</v>
      </c>
      <c r="I316" s="257" t="str">
        <f t="shared" si="56"/>
        <v>6-7 years</v>
      </c>
      <c r="J316" s="211">
        <f t="shared" si="57"/>
        <v>0.83835616438356164</v>
      </c>
      <c r="K316" s="258">
        <f>$D316*J316*_xlfn.XLOOKUP($I316,'Sample Size cal and results'!$B$24:$B$25,'Sample Size cal and results'!$H$24:$H$25)</f>
        <v>1.3747437856828379</v>
      </c>
      <c r="L316" s="211">
        <f t="shared" si="58"/>
        <v>0.16164383561643836</v>
      </c>
      <c r="M316" s="211">
        <f>$D316*L316*_xlfn.XLOOKUP($I316,'Sample Size cal and results'!$B$24:$B$25,'Sample Size cal and results'!$I$24:$I$25)</f>
        <v>0.27195938656379398</v>
      </c>
      <c r="N316" s="214">
        <f t="shared" si="59"/>
        <v>1.6467031722466319</v>
      </c>
      <c r="O316" s="225" t="str">
        <f t="shared" si="60"/>
        <v>7-8 years</v>
      </c>
      <c r="P316" s="226">
        <f t="shared" si="61"/>
        <v>0.83835616438356164</v>
      </c>
      <c r="Q316" s="227">
        <f>$D316*P316*_xlfn.XLOOKUP($O316,'Sample Size cal and results'!$B$26:$B$27,'Sample Size cal and results'!$I$26:$I$27)</f>
        <v>1.0894798412103801</v>
      </c>
      <c r="R316" s="330"/>
    </row>
    <row r="317" spans="1:18" ht="12.75">
      <c r="A317" s="99" t="s">
        <v>58</v>
      </c>
      <c r="B317" s="100">
        <v>42004</v>
      </c>
      <c r="C317" s="100">
        <f t="shared" si="51"/>
        <v>44560</v>
      </c>
      <c r="D317" s="209">
        <v>99</v>
      </c>
      <c r="E317" s="217">
        <f t="shared" si="52"/>
        <v>5.16</v>
      </c>
      <c r="F317" s="218">
        <f t="shared" si="53"/>
        <v>6.16</v>
      </c>
      <c r="G317" s="219">
        <f t="shared" si="54"/>
        <v>6.16</v>
      </c>
      <c r="H317" s="220">
        <f t="shared" si="55"/>
        <v>7.16</v>
      </c>
      <c r="I317" s="257" t="str">
        <f t="shared" si="56"/>
        <v>6-7 years</v>
      </c>
      <c r="J317" s="211">
        <f t="shared" si="57"/>
        <v>0.83835616438356164</v>
      </c>
      <c r="K317" s="258">
        <f>$D317*J317*_xlfn.XLOOKUP($I317,'Sample Size cal and results'!$B$24:$B$25,'Sample Size cal and results'!$H$24:$H$25)</f>
        <v>68.049817391300479</v>
      </c>
      <c r="L317" s="211">
        <f t="shared" si="58"/>
        <v>0.16164383561643836</v>
      </c>
      <c r="M317" s="211">
        <f>$D317*L317*_xlfn.XLOOKUP($I317,'Sample Size cal and results'!$B$24:$B$25,'Sample Size cal and results'!$I$24:$I$25)</f>
        <v>13.4619896349078</v>
      </c>
      <c r="N317" s="214">
        <f t="shared" si="59"/>
        <v>81.511807026208274</v>
      </c>
      <c r="O317" s="225" t="str">
        <f t="shared" si="60"/>
        <v>7-8 years</v>
      </c>
      <c r="P317" s="226">
        <f t="shared" si="61"/>
        <v>0.83561643835616439</v>
      </c>
      <c r="Q317" s="227">
        <f>$D317*P317*_xlfn.XLOOKUP($O317,'Sample Size cal and results'!$B$26:$B$27,'Sample Size cal and results'!$I$26:$I$27)</f>
        <v>53.753012753835669</v>
      </c>
      <c r="R317" s="330"/>
    </row>
    <row r="318" spans="1:18" ht="12.75">
      <c r="A318" s="99" t="s">
        <v>148</v>
      </c>
      <c r="B318" s="100">
        <v>42004</v>
      </c>
      <c r="C318" s="100">
        <f t="shared" si="51"/>
        <v>44560</v>
      </c>
      <c r="D318" s="209">
        <v>1</v>
      </c>
      <c r="E318" s="217">
        <f t="shared" si="52"/>
        <v>5.16</v>
      </c>
      <c r="F318" s="218">
        <f t="shared" si="53"/>
        <v>6.16</v>
      </c>
      <c r="G318" s="219">
        <f t="shared" si="54"/>
        <v>6.16</v>
      </c>
      <c r="H318" s="220">
        <f t="shared" si="55"/>
        <v>7.16</v>
      </c>
      <c r="I318" s="257" t="str">
        <f t="shared" si="56"/>
        <v>6-7 years</v>
      </c>
      <c r="J318" s="211">
        <f t="shared" si="57"/>
        <v>0.83835616438356164</v>
      </c>
      <c r="K318" s="258">
        <f>$D318*J318*_xlfn.XLOOKUP($I318,'Sample Size cal and results'!$B$24:$B$25,'Sample Size cal and results'!$H$24:$H$25)</f>
        <v>0.68737189284141897</v>
      </c>
      <c r="L318" s="211">
        <f t="shared" si="58"/>
        <v>0.16164383561643836</v>
      </c>
      <c r="M318" s="211">
        <f>$D318*L318*_xlfn.XLOOKUP($I318,'Sample Size cal and results'!$B$24:$B$25,'Sample Size cal and results'!$I$24:$I$25)</f>
        <v>0.13597969328189699</v>
      </c>
      <c r="N318" s="214">
        <f t="shared" si="59"/>
        <v>0.82335158612331594</v>
      </c>
      <c r="O318" s="225" t="str">
        <f t="shared" si="60"/>
        <v>7-8 years</v>
      </c>
      <c r="P318" s="226">
        <f t="shared" si="61"/>
        <v>0.83561643835616439</v>
      </c>
      <c r="Q318" s="227">
        <f>$D318*P318*_xlfn.XLOOKUP($O318,'Sample Size cal and results'!$B$26:$B$27,'Sample Size cal and results'!$I$26:$I$27)</f>
        <v>0.5429597247862189</v>
      </c>
      <c r="R318" s="330"/>
    </row>
    <row r="319" spans="1:18" ht="12.75">
      <c r="A319" s="99" t="s">
        <v>58</v>
      </c>
      <c r="B319" s="100">
        <v>42003</v>
      </c>
      <c r="C319" s="100">
        <f t="shared" si="51"/>
        <v>44559</v>
      </c>
      <c r="D319" s="209">
        <v>1497</v>
      </c>
      <c r="E319" s="217">
        <f t="shared" si="52"/>
        <v>5.16</v>
      </c>
      <c r="F319" s="218">
        <f t="shared" si="53"/>
        <v>6.16</v>
      </c>
      <c r="G319" s="219">
        <f t="shared" si="54"/>
        <v>6.16</v>
      </c>
      <c r="H319" s="220">
        <f t="shared" si="55"/>
        <v>7.16</v>
      </c>
      <c r="I319" s="257" t="str">
        <f t="shared" si="56"/>
        <v>6-7 years</v>
      </c>
      <c r="J319" s="211">
        <f t="shared" si="57"/>
        <v>0.83835616438356164</v>
      </c>
      <c r="K319" s="258">
        <f>$D319*J319*_xlfn.XLOOKUP($I319,'Sample Size cal and results'!$B$24:$B$25,'Sample Size cal and results'!$H$24:$H$25)</f>
        <v>1028.9957235836041</v>
      </c>
      <c r="L319" s="211">
        <f t="shared" si="58"/>
        <v>0.16164383561643836</v>
      </c>
      <c r="M319" s="211">
        <f>$D319*L319*_xlfn.XLOOKUP($I319,'Sample Size cal and results'!$B$24:$B$25,'Sample Size cal and results'!$I$24:$I$25)</f>
        <v>203.56160084299978</v>
      </c>
      <c r="N319" s="214">
        <f t="shared" si="59"/>
        <v>1232.5573244266038</v>
      </c>
      <c r="O319" s="225" t="str">
        <f t="shared" si="60"/>
        <v>7-8 years</v>
      </c>
      <c r="P319" s="226">
        <f t="shared" si="61"/>
        <v>0.83287671232876714</v>
      </c>
      <c r="Q319" s="227">
        <f>$D319*P319*_xlfn.XLOOKUP($O319,'Sample Size cal and results'!$B$26:$B$27,'Sample Size cal and results'!$I$26:$I$27)</f>
        <v>810.14575486396973</v>
      </c>
      <c r="R319" s="330"/>
    </row>
    <row r="320" spans="1:18" ht="12.75">
      <c r="A320" s="99" t="s">
        <v>148</v>
      </c>
      <c r="B320" s="100">
        <v>42003</v>
      </c>
      <c r="C320" s="100">
        <f t="shared" si="51"/>
        <v>44559</v>
      </c>
      <c r="D320" s="209">
        <v>5</v>
      </c>
      <c r="E320" s="217">
        <f t="shared" si="52"/>
        <v>5.16</v>
      </c>
      <c r="F320" s="218">
        <f t="shared" si="53"/>
        <v>6.16</v>
      </c>
      <c r="G320" s="219">
        <f t="shared" si="54"/>
        <v>6.16</v>
      </c>
      <c r="H320" s="220">
        <f t="shared" si="55"/>
        <v>7.16</v>
      </c>
      <c r="I320" s="257" t="str">
        <f t="shared" si="56"/>
        <v>6-7 years</v>
      </c>
      <c r="J320" s="211">
        <f t="shared" si="57"/>
        <v>0.83835616438356164</v>
      </c>
      <c r="K320" s="258">
        <f>$D320*J320*_xlfn.XLOOKUP($I320,'Sample Size cal and results'!$B$24:$B$25,'Sample Size cal and results'!$H$24:$H$25)</f>
        <v>3.4368594642070946</v>
      </c>
      <c r="L320" s="211">
        <f t="shared" si="58"/>
        <v>0.16164383561643836</v>
      </c>
      <c r="M320" s="211">
        <f>$D320*L320*_xlfn.XLOOKUP($I320,'Sample Size cal and results'!$B$24:$B$25,'Sample Size cal and results'!$I$24:$I$25)</f>
        <v>0.67989846640948493</v>
      </c>
      <c r="N320" s="214">
        <f t="shared" si="59"/>
        <v>4.1167579306165791</v>
      </c>
      <c r="O320" s="225" t="str">
        <f t="shared" si="60"/>
        <v>7-8 years</v>
      </c>
      <c r="P320" s="226">
        <f t="shared" si="61"/>
        <v>0.83287671232876714</v>
      </c>
      <c r="Q320" s="227">
        <f>$D320*P320*_xlfn.XLOOKUP($O320,'Sample Size cal and results'!$B$26:$B$27,'Sample Size cal and results'!$I$26:$I$27)</f>
        <v>2.705897644836238</v>
      </c>
      <c r="R320" s="330"/>
    </row>
    <row r="321" spans="1:18" ht="12.75">
      <c r="A321" s="99" t="s">
        <v>58</v>
      </c>
      <c r="B321" s="100">
        <v>42002</v>
      </c>
      <c r="C321" s="100">
        <f t="shared" si="51"/>
        <v>44558</v>
      </c>
      <c r="D321" s="209">
        <v>169</v>
      </c>
      <c r="E321" s="217">
        <f t="shared" si="52"/>
        <v>5.17</v>
      </c>
      <c r="F321" s="218">
        <f t="shared" si="53"/>
        <v>6.16</v>
      </c>
      <c r="G321" s="219">
        <f t="shared" si="54"/>
        <v>6.17</v>
      </c>
      <c r="H321" s="220">
        <f t="shared" si="55"/>
        <v>7.16</v>
      </c>
      <c r="I321" s="257" t="str">
        <f t="shared" si="56"/>
        <v>6-7 years</v>
      </c>
      <c r="J321" s="211">
        <f t="shared" si="57"/>
        <v>0.83835616438356164</v>
      </c>
      <c r="K321" s="258">
        <f>$D321*J321*_xlfn.XLOOKUP($I321,'Sample Size cal and results'!$B$24:$B$25,'Sample Size cal and results'!$H$24:$H$25)</f>
        <v>116.16584989019979</v>
      </c>
      <c r="L321" s="211">
        <f t="shared" si="58"/>
        <v>0.16164383561643836</v>
      </c>
      <c r="M321" s="211">
        <f>$D321*L321*_xlfn.XLOOKUP($I321,'Sample Size cal and results'!$B$24:$B$25,'Sample Size cal and results'!$I$24:$I$25)</f>
        <v>22.980568164640591</v>
      </c>
      <c r="N321" s="214">
        <f t="shared" si="59"/>
        <v>139.14641805484038</v>
      </c>
      <c r="O321" s="225" t="str">
        <f t="shared" si="60"/>
        <v>7-8 years</v>
      </c>
      <c r="P321" s="226">
        <f t="shared" si="61"/>
        <v>0.83013698630136989</v>
      </c>
      <c r="Q321" s="227">
        <f>$D321*P321*_xlfn.XLOOKUP($O321,'Sample Size cal and results'!$B$26:$B$27,'Sample Size cal and results'!$I$26:$I$27)</f>
        <v>91.158487302058717</v>
      </c>
      <c r="R321" s="330"/>
    </row>
    <row r="322" spans="1:18" ht="12.75">
      <c r="A322" s="99" t="s">
        <v>148</v>
      </c>
      <c r="B322" s="100">
        <v>42002</v>
      </c>
      <c r="C322" s="100">
        <f t="shared" si="51"/>
        <v>44558</v>
      </c>
      <c r="D322" s="209">
        <v>5</v>
      </c>
      <c r="E322" s="217">
        <f t="shared" si="52"/>
        <v>5.17</v>
      </c>
      <c r="F322" s="218">
        <f t="shared" si="53"/>
        <v>6.16</v>
      </c>
      <c r="G322" s="219">
        <f t="shared" si="54"/>
        <v>6.17</v>
      </c>
      <c r="H322" s="220">
        <f t="shared" si="55"/>
        <v>7.16</v>
      </c>
      <c r="I322" s="257" t="str">
        <f t="shared" si="56"/>
        <v>6-7 years</v>
      </c>
      <c r="J322" s="211">
        <f t="shared" si="57"/>
        <v>0.83835616438356164</v>
      </c>
      <c r="K322" s="258">
        <f>$D322*J322*_xlfn.XLOOKUP($I322,'Sample Size cal and results'!$B$24:$B$25,'Sample Size cal and results'!$H$24:$H$25)</f>
        <v>3.4368594642070946</v>
      </c>
      <c r="L322" s="211">
        <f t="shared" si="58"/>
        <v>0.16164383561643836</v>
      </c>
      <c r="M322" s="211">
        <f>$D322*L322*_xlfn.XLOOKUP($I322,'Sample Size cal and results'!$B$24:$B$25,'Sample Size cal and results'!$I$24:$I$25)</f>
        <v>0.67989846640948493</v>
      </c>
      <c r="N322" s="214">
        <f t="shared" si="59"/>
        <v>4.1167579306165791</v>
      </c>
      <c r="O322" s="225" t="str">
        <f t="shared" si="60"/>
        <v>7-8 years</v>
      </c>
      <c r="P322" s="226">
        <f t="shared" si="61"/>
        <v>0.83013698630136989</v>
      </c>
      <c r="Q322" s="227">
        <f>$D322*P322*_xlfn.XLOOKUP($O322,'Sample Size cal and results'!$B$26:$B$27,'Sample Size cal and results'!$I$26:$I$27)</f>
        <v>2.6969966657413824</v>
      </c>
      <c r="R322" s="330"/>
    </row>
    <row r="323" spans="1:18" ht="12.75">
      <c r="A323" s="99" t="s">
        <v>57</v>
      </c>
      <c r="B323" s="100">
        <v>42001</v>
      </c>
      <c r="C323" s="100">
        <f t="shared" ref="C323:C386" si="62">EDATE(B323,84)-1</f>
        <v>44557</v>
      </c>
      <c r="D323" s="209">
        <v>991</v>
      </c>
      <c r="E323" s="217">
        <f t="shared" ref="E323:E386" si="63">ROUNDDOWN(YEARFRAC($B323,$AB$4,1),2)</f>
        <v>5.17</v>
      </c>
      <c r="F323" s="218">
        <f t="shared" ref="F323:F386" si="64">ROUNDDOWN(YEARFRAC($B323,$AB$5,1),2)</f>
        <v>6.17</v>
      </c>
      <c r="G323" s="219">
        <f t="shared" ref="G323:G386" si="65">ROUNDDOWN(YEARFRAC($B323,$AC$4,1),2)</f>
        <v>6.17</v>
      </c>
      <c r="H323" s="220">
        <f t="shared" ref="H323:H386" si="66">ROUNDDOWN(YEARFRAC($B323,$AC$5,1),2)</f>
        <v>7.17</v>
      </c>
      <c r="I323" s="257" t="str">
        <f t="shared" ref="I323:I386" si="67">IF(DATEDIF($B323,$AB$5,"y")=5,"5-6 years","6-7 years")</f>
        <v>6-7 years</v>
      </c>
      <c r="J323" s="211">
        <f t="shared" ref="J323:J386" si="68">MAX(MIN($AC$7,C323)-MAX($AB$4,$B323,_xlfn.XLOOKUP($A323,$AE$3:$AE$37,$AF$3:$AF$37))+1,0)/365</f>
        <v>0.83835616438356164</v>
      </c>
      <c r="K323" s="258">
        <f>$D323*J323*_xlfn.XLOOKUP($I323,'Sample Size cal and results'!$B$24:$B$25,'Sample Size cal and results'!$H$24:$H$25)</f>
        <v>681.18554580584623</v>
      </c>
      <c r="L323" s="211">
        <f t="shared" ref="L323:L386" si="69">MAX(MIN($AB$5,C323)-MAX($AC$8,$B323,_xlfn.XLOOKUP($A323,$AE$3:$AE$37,$AF$3:$AF$37))+1,0)/365</f>
        <v>0.16164383561643836</v>
      </c>
      <c r="M323" s="211">
        <f>$D323*L323*_xlfn.XLOOKUP($I323,'Sample Size cal and results'!$B$24:$B$25,'Sample Size cal and results'!$I$24:$I$25)</f>
        <v>134.75587604235992</v>
      </c>
      <c r="N323" s="214">
        <f t="shared" ref="N323:N386" si="70">M323+K323</f>
        <v>815.94142184820612</v>
      </c>
      <c r="O323" s="225" t="str">
        <f t="shared" ref="O323:O386" si="71">IF(DATEDIF($B323,$AC$5,"y")=6,"6-7 years","7-8 years")</f>
        <v>7-8 years</v>
      </c>
      <c r="P323" s="226">
        <f t="shared" ref="P323:P386" si="72">MAX(MIN($AC$5,C323)-MAX($AC$4,$B323,_xlfn.XLOOKUP($A323,$AE$3:$AE$37,$AF$3:$AF$37))+1,0)/365</f>
        <v>0.82739726027397265</v>
      </c>
      <c r="Q323" s="227">
        <f>$D323*P323*_xlfn.XLOOKUP($O323,'Sample Size cal and results'!$B$26:$B$27,'Sample Size cal and results'!$I$26:$I$27)</f>
        <v>532.78056509334147</v>
      </c>
      <c r="R323" s="330"/>
    </row>
    <row r="324" spans="1:18" ht="12.75">
      <c r="A324" s="99" t="s">
        <v>58</v>
      </c>
      <c r="B324" s="100">
        <v>42001</v>
      </c>
      <c r="C324" s="100">
        <f t="shared" si="62"/>
        <v>44557</v>
      </c>
      <c r="D324" s="209">
        <v>667</v>
      </c>
      <c r="E324" s="217">
        <f t="shared" si="63"/>
        <v>5.17</v>
      </c>
      <c r="F324" s="218">
        <f t="shared" si="64"/>
        <v>6.17</v>
      </c>
      <c r="G324" s="219">
        <f t="shared" si="65"/>
        <v>6.17</v>
      </c>
      <c r="H324" s="220">
        <f t="shared" si="66"/>
        <v>7.17</v>
      </c>
      <c r="I324" s="257" t="str">
        <f t="shared" si="67"/>
        <v>6-7 years</v>
      </c>
      <c r="J324" s="211">
        <f t="shared" si="68"/>
        <v>0.83835616438356164</v>
      </c>
      <c r="K324" s="258">
        <f>$D324*J324*_xlfn.XLOOKUP($I324,'Sample Size cal and results'!$B$24:$B$25,'Sample Size cal and results'!$H$24:$H$25)</f>
        <v>458.47705252522638</v>
      </c>
      <c r="L324" s="211">
        <f t="shared" si="69"/>
        <v>0.16164383561643836</v>
      </c>
      <c r="M324" s="211">
        <f>$D324*L324*_xlfn.XLOOKUP($I324,'Sample Size cal and results'!$B$24:$B$25,'Sample Size cal and results'!$I$24:$I$25)</f>
        <v>90.698455419025279</v>
      </c>
      <c r="N324" s="214">
        <f t="shared" si="70"/>
        <v>549.17550794425165</v>
      </c>
      <c r="O324" s="225" t="str">
        <f t="shared" si="71"/>
        <v>7-8 years</v>
      </c>
      <c r="P324" s="226">
        <f t="shared" si="72"/>
        <v>0.82739726027397265</v>
      </c>
      <c r="Q324" s="227">
        <f>$D324*P324*_xlfn.XLOOKUP($O324,'Sample Size cal and results'!$B$26:$B$27,'Sample Size cal and results'!$I$26:$I$27)</f>
        <v>358.5919645986466</v>
      </c>
      <c r="R324" s="330"/>
    </row>
    <row r="325" spans="1:18" ht="12.75">
      <c r="A325" s="99" t="s">
        <v>148</v>
      </c>
      <c r="B325" s="100">
        <v>42001</v>
      </c>
      <c r="C325" s="100">
        <f t="shared" si="62"/>
        <v>44557</v>
      </c>
      <c r="D325" s="209">
        <v>7</v>
      </c>
      <c r="E325" s="217">
        <f t="shared" si="63"/>
        <v>5.17</v>
      </c>
      <c r="F325" s="218">
        <f t="shared" si="64"/>
        <v>6.17</v>
      </c>
      <c r="G325" s="219">
        <f t="shared" si="65"/>
        <v>6.17</v>
      </c>
      <c r="H325" s="220">
        <f t="shared" si="66"/>
        <v>7.17</v>
      </c>
      <c r="I325" s="257" t="str">
        <f t="shared" si="67"/>
        <v>6-7 years</v>
      </c>
      <c r="J325" s="211">
        <f t="shared" si="68"/>
        <v>0.83835616438356164</v>
      </c>
      <c r="K325" s="258">
        <f>$D325*J325*_xlfn.XLOOKUP($I325,'Sample Size cal and results'!$B$24:$B$25,'Sample Size cal and results'!$H$24:$H$25)</f>
        <v>4.8116032498899326</v>
      </c>
      <c r="L325" s="211">
        <f t="shared" si="69"/>
        <v>0.16164383561643836</v>
      </c>
      <c r="M325" s="211">
        <f>$D325*L325*_xlfn.XLOOKUP($I325,'Sample Size cal and results'!$B$24:$B$25,'Sample Size cal and results'!$I$24:$I$25)</f>
        <v>0.95185785297327874</v>
      </c>
      <c r="N325" s="214">
        <f t="shared" si="70"/>
        <v>5.7634611028632117</v>
      </c>
      <c r="O325" s="225" t="str">
        <f t="shared" si="71"/>
        <v>7-8 years</v>
      </c>
      <c r="P325" s="226">
        <f t="shared" si="72"/>
        <v>0.82739726027397265</v>
      </c>
      <c r="Q325" s="227">
        <f>$D325*P325*_xlfn.XLOOKUP($O325,'Sample Size cal and results'!$B$26:$B$27,'Sample Size cal and results'!$I$26:$I$27)</f>
        <v>3.7633339613051366</v>
      </c>
      <c r="R325" s="330"/>
    </row>
    <row r="326" spans="1:18" ht="12.75">
      <c r="A326" s="99" t="s">
        <v>57</v>
      </c>
      <c r="B326" s="100">
        <v>42000</v>
      </c>
      <c r="C326" s="100">
        <f t="shared" si="62"/>
        <v>44556</v>
      </c>
      <c r="D326" s="209">
        <v>1420</v>
      </c>
      <c r="E326" s="217">
        <f t="shared" si="63"/>
        <v>5.17</v>
      </c>
      <c r="F326" s="218">
        <f t="shared" si="64"/>
        <v>6.17</v>
      </c>
      <c r="G326" s="219">
        <f t="shared" si="65"/>
        <v>6.17</v>
      </c>
      <c r="H326" s="220">
        <f t="shared" si="66"/>
        <v>7.17</v>
      </c>
      <c r="I326" s="257" t="str">
        <f t="shared" si="67"/>
        <v>6-7 years</v>
      </c>
      <c r="J326" s="211">
        <f t="shared" si="68"/>
        <v>0.83835616438356164</v>
      </c>
      <c r="K326" s="258">
        <f>$D326*J326*_xlfn.XLOOKUP($I326,'Sample Size cal and results'!$B$24:$B$25,'Sample Size cal and results'!$H$24:$H$25)</f>
        <v>976.06808783481495</v>
      </c>
      <c r="L326" s="211">
        <f t="shared" si="69"/>
        <v>0.16164383561643836</v>
      </c>
      <c r="M326" s="211">
        <f>$D326*L326*_xlfn.XLOOKUP($I326,'Sample Size cal and results'!$B$24:$B$25,'Sample Size cal and results'!$I$24:$I$25)</f>
        <v>193.09116446029373</v>
      </c>
      <c r="N326" s="214">
        <f t="shared" si="70"/>
        <v>1169.1592522951087</v>
      </c>
      <c r="O326" s="225" t="str">
        <f t="shared" si="71"/>
        <v>7-8 years</v>
      </c>
      <c r="P326" s="226">
        <f t="shared" si="72"/>
        <v>0.8246575342465754</v>
      </c>
      <c r="Q326" s="227">
        <f>$D326*P326*_xlfn.XLOOKUP($O326,'Sample Size cal and results'!$B$26:$B$27,'Sample Size cal and results'!$I$26:$I$27)</f>
        <v>760.89129694467431</v>
      </c>
      <c r="R326" s="330"/>
    </row>
    <row r="327" spans="1:18" ht="12.75">
      <c r="A327" s="99" t="s">
        <v>148</v>
      </c>
      <c r="B327" s="100">
        <v>42000</v>
      </c>
      <c r="C327" s="100">
        <f t="shared" si="62"/>
        <v>44556</v>
      </c>
      <c r="D327" s="209">
        <v>3</v>
      </c>
      <c r="E327" s="217">
        <f t="shared" si="63"/>
        <v>5.17</v>
      </c>
      <c r="F327" s="218">
        <f t="shared" si="64"/>
        <v>6.17</v>
      </c>
      <c r="G327" s="219">
        <f t="shared" si="65"/>
        <v>6.17</v>
      </c>
      <c r="H327" s="220">
        <f t="shared" si="66"/>
        <v>7.17</v>
      </c>
      <c r="I327" s="257" t="str">
        <f t="shared" si="67"/>
        <v>6-7 years</v>
      </c>
      <c r="J327" s="211">
        <f t="shared" si="68"/>
        <v>0.83835616438356164</v>
      </c>
      <c r="K327" s="258">
        <f>$D327*J327*_xlfn.XLOOKUP($I327,'Sample Size cal and results'!$B$24:$B$25,'Sample Size cal and results'!$H$24:$H$25)</f>
        <v>2.0621156785242567</v>
      </c>
      <c r="L327" s="211">
        <f t="shared" si="69"/>
        <v>0.16164383561643836</v>
      </c>
      <c r="M327" s="211">
        <f>$D327*L327*_xlfn.XLOOKUP($I327,'Sample Size cal and results'!$B$24:$B$25,'Sample Size cal and results'!$I$24:$I$25)</f>
        <v>0.40793907984569094</v>
      </c>
      <c r="N327" s="214">
        <f t="shared" si="70"/>
        <v>2.4700547583699475</v>
      </c>
      <c r="O327" s="225" t="str">
        <f t="shared" si="71"/>
        <v>7-8 years</v>
      </c>
      <c r="P327" s="226">
        <f t="shared" si="72"/>
        <v>0.8246575342465754</v>
      </c>
      <c r="Q327" s="227">
        <f>$D327*P327*_xlfn.XLOOKUP($O327,'Sample Size cal and results'!$B$26:$B$27,'Sample Size cal and results'!$I$26:$I$27)</f>
        <v>1.6075168245310023</v>
      </c>
      <c r="R327" s="330"/>
    </row>
    <row r="328" spans="1:18" ht="12.75">
      <c r="A328" s="99" t="s">
        <v>57</v>
      </c>
      <c r="B328" s="100">
        <v>41999</v>
      </c>
      <c r="C328" s="100">
        <f t="shared" si="62"/>
        <v>44555</v>
      </c>
      <c r="D328" s="209">
        <v>189</v>
      </c>
      <c r="E328" s="217">
        <f t="shared" si="63"/>
        <v>5.17</v>
      </c>
      <c r="F328" s="218">
        <f t="shared" si="64"/>
        <v>6.17</v>
      </c>
      <c r="G328" s="219">
        <f t="shared" si="65"/>
        <v>6.17</v>
      </c>
      <c r="H328" s="220">
        <f t="shared" si="66"/>
        <v>7.17</v>
      </c>
      <c r="I328" s="257" t="str">
        <f t="shared" si="67"/>
        <v>6-7 years</v>
      </c>
      <c r="J328" s="211">
        <f t="shared" si="68"/>
        <v>0.83835616438356164</v>
      </c>
      <c r="K328" s="258">
        <f>$D328*J328*_xlfn.XLOOKUP($I328,'Sample Size cal and results'!$B$24:$B$25,'Sample Size cal and results'!$H$24:$H$25)</f>
        <v>129.91328774702819</v>
      </c>
      <c r="L328" s="211">
        <f t="shared" si="69"/>
        <v>0.16164383561643836</v>
      </c>
      <c r="M328" s="211">
        <f>$D328*L328*_xlfn.XLOOKUP($I328,'Sample Size cal and results'!$B$24:$B$25,'Sample Size cal and results'!$I$24:$I$25)</f>
        <v>25.700162030278531</v>
      </c>
      <c r="N328" s="214">
        <f t="shared" si="70"/>
        <v>155.61344977730673</v>
      </c>
      <c r="O328" s="225" t="str">
        <f t="shared" si="71"/>
        <v>7-8 years</v>
      </c>
      <c r="P328" s="226">
        <f t="shared" si="72"/>
        <v>0.82191780821917804</v>
      </c>
      <c r="Q328" s="227">
        <f>$D328*P328*_xlfn.XLOOKUP($O328,'Sample Size cal and results'!$B$26:$B$27,'Sample Size cal and results'!$I$26:$I$27)</f>
        <v>100.93710293566757</v>
      </c>
      <c r="R328" s="330"/>
    </row>
    <row r="329" spans="1:18" ht="12.75">
      <c r="A329" s="99" t="s">
        <v>57</v>
      </c>
      <c r="B329" s="100">
        <v>41998</v>
      </c>
      <c r="C329" s="100">
        <f t="shared" si="62"/>
        <v>44554</v>
      </c>
      <c r="D329" s="209">
        <v>404</v>
      </c>
      <c r="E329" s="217">
        <f t="shared" si="63"/>
        <v>5.18</v>
      </c>
      <c r="F329" s="218">
        <f t="shared" si="64"/>
        <v>6.17</v>
      </c>
      <c r="G329" s="219">
        <f t="shared" si="65"/>
        <v>6.18</v>
      </c>
      <c r="H329" s="220">
        <f t="shared" si="66"/>
        <v>7.17</v>
      </c>
      <c r="I329" s="257" t="str">
        <f t="shared" si="67"/>
        <v>6-7 years</v>
      </c>
      <c r="J329" s="211">
        <f t="shared" si="68"/>
        <v>0.83835616438356164</v>
      </c>
      <c r="K329" s="258">
        <f>$D329*J329*_xlfn.XLOOKUP($I329,'Sample Size cal and results'!$B$24:$B$25,'Sample Size cal and results'!$H$24:$H$25)</f>
        <v>277.69824470793327</v>
      </c>
      <c r="L329" s="211">
        <f t="shared" si="69"/>
        <v>0.16164383561643836</v>
      </c>
      <c r="M329" s="211">
        <f>$D329*L329*_xlfn.XLOOKUP($I329,'Sample Size cal and results'!$B$24:$B$25,'Sample Size cal and results'!$I$24:$I$25)</f>
        <v>54.935796085886373</v>
      </c>
      <c r="N329" s="214">
        <f t="shared" si="70"/>
        <v>332.63404079381962</v>
      </c>
      <c r="O329" s="225" t="str">
        <f t="shared" si="71"/>
        <v>7-8 years</v>
      </c>
      <c r="P329" s="226">
        <f t="shared" si="72"/>
        <v>0.81917808219178079</v>
      </c>
      <c r="Q329" s="227">
        <f>$D329*P329*_xlfn.XLOOKUP($O329,'Sample Size cal and results'!$B$26:$B$27,'Sample Size cal and results'!$I$26:$I$27)</f>
        <v>215.04053414844617</v>
      </c>
      <c r="R329" s="330"/>
    </row>
    <row r="330" spans="1:18" ht="12.75">
      <c r="A330" s="99" t="s">
        <v>148</v>
      </c>
      <c r="B330" s="100">
        <v>41998</v>
      </c>
      <c r="C330" s="100">
        <f t="shared" si="62"/>
        <v>44554</v>
      </c>
      <c r="D330" s="209">
        <v>4</v>
      </c>
      <c r="E330" s="217">
        <f t="shared" si="63"/>
        <v>5.18</v>
      </c>
      <c r="F330" s="218">
        <f t="shared" si="64"/>
        <v>6.17</v>
      </c>
      <c r="G330" s="219">
        <f t="shared" si="65"/>
        <v>6.18</v>
      </c>
      <c r="H330" s="220">
        <f t="shared" si="66"/>
        <v>7.17</v>
      </c>
      <c r="I330" s="257" t="str">
        <f t="shared" si="67"/>
        <v>6-7 years</v>
      </c>
      <c r="J330" s="211">
        <f t="shared" si="68"/>
        <v>0.83835616438356164</v>
      </c>
      <c r="K330" s="258">
        <f>$D330*J330*_xlfn.XLOOKUP($I330,'Sample Size cal and results'!$B$24:$B$25,'Sample Size cal and results'!$H$24:$H$25)</f>
        <v>2.7494875713656759</v>
      </c>
      <c r="L330" s="211">
        <f t="shared" si="69"/>
        <v>0.16164383561643836</v>
      </c>
      <c r="M330" s="211">
        <f>$D330*L330*_xlfn.XLOOKUP($I330,'Sample Size cal and results'!$B$24:$B$25,'Sample Size cal and results'!$I$24:$I$25)</f>
        <v>0.54391877312758796</v>
      </c>
      <c r="N330" s="214">
        <f t="shared" si="70"/>
        <v>3.2934063444932637</v>
      </c>
      <c r="O330" s="225" t="str">
        <f t="shared" si="71"/>
        <v>7-8 years</v>
      </c>
      <c r="P330" s="226">
        <f t="shared" si="72"/>
        <v>0.81917808219178079</v>
      </c>
      <c r="Q330" s="227">
        <f>$D330*P330*_xlfn.XLOOKUP($O330,'Sample Size cal and results'!$B$26:$B$27,'Sample Size cal and results'!$I$26:$I$27)</f>
        <v>2.1291141994895662</v>
      </c>
      <c r="R330" s="330"/>
    </row>
    <row r="331" spans="1:18" ht="12.75">
      <c r="A331" s="99" t="s">
        <v>57</v>
      </c>
      <c r="B331" s="100">
        <v>41997</v>
      </c>
      <c r="C331" s="100">
        <f t="shared" si="62"/>
        <v>44553</v>
      </c>
      <c r="D331" s="209">
        <v>207</v>
      </c>
      <c r="E331" s="217">
        <f t="shared" si="63"/>
        <v>5.18</v>
      </c>
      <c r="F331" s="218">
        <f t="shared" si="64"/>
        <v>6.18</v>
      </c>
      <c r="G331" s="219">
        <f t="shared" si="65"/>
        <v>6.18</v>
      </c>
      <c r="H331" s="220">
        <f t="shared" si="66"/>
        <v>7.18</v>
      </c>
      <c r="I331" s="257" t="str">
        <f t="shared" si="67"/>
        <v>6-7 years</v>
      </c>
      <c r="J331" s="211">
        <f t="shared" si="68"/>
        <v>0.83835616438356164</v>
      </c>
      <c r="K331" s="258">
        <f>$D331*J331*_xlfn.XLOOKUP($I331,'Sample Size cal and results'!$B$24:$B$25,'Sample Size cal and results'!$H$24:$H$25)</f>
        <v>142.28598181817372</v>
      </c>
      <c r="L331" s="211">
        <f t="shared" si="69"/>
        <v>0.16164383561643836</v>
      </c>
      <c r="M331" s="211">
        <f>$D331*L331*_xlfn.XLOOKUP($I331,'Sample Size cal and results'!$B$24:$B$25,'Sample Size cal and results'!$I$24:$I$25)</f>
        <v>28.147796509352677</v>
      </c>
      <c r="N331" s="214">
        <f t="shared" si="70"/>
        <v>170.4337783275264</v>
      </c>
      <c r="O331" s="225" t="str">
        <f t="shared" si="71"/>
        <v>7-8 years</v>
      </c>
      <c r="P331" s="226">
        <f t="shared" si="72"/>
        <v>0.81643835616438354</v>
      </c>
      <c r="Q331" s="227">
        <f>$D331*P331*_xlfn.XLOOKUP($O331,'Sample Size cal and results'!$B$26:$B$27,'Sample Size cal and results'!$I$26:$I$27)</f>
        <v>109.81315928905801</v>
      </c>
      <c r="R331" s="330"/>
    </row>
    <row r="332" spans="1:18" ht="12.75">
      <c r="A332" s="99" t="s">
        <v>57</v>
      </c>
      <c r="B332" s="100">
        <v>41996</v>
      </c>
      <c r="C332" s="100">
        <f t="shared" si="62"/>
        <v>44552</v>
      </c>
      <c r="D332" s="209">
        <v>206</v>
      </c>
      <c r="E332" s="217">
        <f t="shared" si="63"/>
        <v>5.18</v>
      </c>
      <c r="F332" s="218">
        <f t="shared" si="64"/>
        <v>6.18</v>
      </c>
      <c r="G332" s="219">
        <f t="shared" si="65"/>
        <v>6.18</v>
      </c>
      <c r="H332" s="220">
        <f t="shared" si="66"/>
        <v>7.18</v>
      </c>
      <c r="I332" s="257" t="str">
        <f t="shared" si="67"/>
        <v>6-7 years</v>
      </c>
      <c r="J332" s="211">
        <f t="shared" si="68"/>
        <v>0.83835616438356164</v>
      </c>
      <c r="K332" s="258">
        <f>$D332*J332*_xlfn.XLOOKUP($I332,'Sample Size cal and results'!$B$24:$B$25,'Sample Size cal and results'!$H$24:$H$25)</f>
        <v>141.59860992533231</v>
      </c>
      <c r="L332" s="211">
        <f t="shared" si="69"/>
        <v>0.16164383561643836</v>
      </c>
      <c r="M332" s="211">
        <f>$D332*L332*_xlfn.XLOOKUP($I332,'Sample Size cal and results'!$B$24:$B$25,'Sample Size cal and results'!$I$24:$I$25)</f>
        <v>28.01181681607078</v>
      </c>
      <c r="N332" s="214">
        <f t="shared" si="70"/>
        <v>169.6104267414031</v>
      </c>
      <c r="O332" s="225" t="str">
        <f t="shared" si="71"/>
        <v>7-8 years</v>
      </c>
      <c r="P332" s="226">
        <f t="shared" si="72"/>
        <v>0.81369863013698629</v>
      </c>
      <c r="Q332" s="227">
        <f>$D332*P332*_xlfn.XLOOKUP($O332,'Sample Size cal and results'!$B$26:$B$27,'Sample Size cal and results'!$I$26:$I$27)</f>
        <v>108.91594059629652</v>
      </c>
      <c r="R332" s="330"/>
    </row>
    <row r="333" spans="1:18" ht="12.75">
      <c r="A333" s="99" t="s">
        <v>148</v>
      </c>
      <c r="B333" s="100">
        <v>41996</v>
      </c>
      <c r="C333" s="100">
        <f t="shared" si="62"/>
        <v>44552</v>
      </c>
      <c r="D333" s="209">
        <v>1</v>
      </c>
      <c r="E333" s="217">
        <f t="shared" si="63"/>
        <v>5.18</v>
      </c>
      <c r="F333" s="218">
        <f t="shared" si="64"/>
        <v>6.18</v>
      </c>
      <c r="G333" s="219">
        <f t="shared" si="65"/>
        <v>6.18</v>
      </c>
      <c r="H333" s="220">
        <f t="shared" si="66"/>
        <v>7.18</v>
      </c>
      <c r="I333" s="257" t="str">
        <f t="shared" si="67"/>
        <v>6-7 years</v>
      </c>
      <c r="J333" s="211">
        <f t="shared" si="68"/>
        <v>0.83835616438356164</v>
      </c>
      <c r="K333" s="258">
        <f>$D333*J333*_xlfn.XLOOKUP($I333,'Sample Size cal and results'!$B$24:$B$25,'Sample Size cal and results'!$H$24:$H$25)</f>
        <v>0.68737189284141897</v>
      </c>
      <c r="L333" s="211">
        <f t="shared" si="69"/>
        <v>0.16164383561643836</v>
      </c>
      <c r="M333" s="211">
        <f>$D333*L333*_xlfn.XLOOKUP($I333,'Sample Size cal and results'!$B$24:$B$25,'Sample Size cal and results'!$I$24:$I$25)</f>
        <v>0.13597969328189699</v>
      </c>
      <c r="N333" s="214">
        <f t="shared" si="70"/>
        <v>0.82335158612331594</v>
      </c>
      <c r="O333" s="225" t="str">
        <f t="shared" si="71"/>
        <v>7-8 years</v>
      </c>
      <c r="P333" s="226">
        <f t="shared" si="72"/>
        <v>0.81369863013698629</v>
      </c>
      <c r="Q333" s="227">
        <f>$D333*P333*_xlfn.XLOOKUP($O333,'Sample Size cal and results'!$B$26:$B$27,'Sample Size cal and results'!$I$26:$I$27)</f>
        <v>0.52871815823444912</v>
      </c>
      <c r="R333" s="330"/>
    </row>
    <row r="334" spans="1:18" ht="12.75">
      <c r="A334" s="99" t="s">
        <v>57</v>
      </c>
      <c r="B334" s="100">
        <v>41995</v>
      </c>
      <c r="C334" s="100">
        <f t="shared" si="62"/>
        <v>44551</v>
      </c>
      <c r="D334" s="209">
        <v>265</v>
      </c>
      <c r="E334" s="217">
        <f t="shared" si="63"/>
        <v>5.19</v>
      </c>
      <c r="F334" s="218">
        <f t="shared" si="64"/>
        <v>6.18</v>
      </c>
      <c r="G334" s="219">
        <f t="shared" si="65"/>
        <v>6.19</v>
      </c>
      <c r="H334" s="220">
        <f t="shared" si="66"/>
        <v>7.18</v>
      </c>
      <c r="I334" s="257" t="str">
        <f t="shared" si="67"/>
        <v>6-7 years</v>
      </c>
      <c r="J334" s="211">
        <f t="shared" si="68"/>
        <v>0.83835616438356164</v>
      </c>
      <c r="K334" s="258">
        <f>$D334*J334*_xlfn.XLOOKUP($I334,'Sample Size cal and results'!$B$24:$B$25,'Sample Size cal and results'!$H$24:$H$25)</f>
        <v>182.15355160297602</v>
      </c>
      <c r="L334" s="211">
        <f t="shared" si="69"/>
        <v>0.16164383561643836</v>
      </c>
      <c r="M334" s="211">
        <f>$D334*L334*_xlfn.XLOOKUP($I334,'Sample Size cal and results'!$B$24:$B$25,'Sample Size cal and results'!$I$24:$I$25)</f>
        <v>36.034618719702699</v>
      </c>
      <c r="N334" s="214">
        <f t="shared" si="70"/>
        <v>218.18817032267873</v>
      </c>
      <c r="O334" s="225" t="str">
        <f t="shared" si="71"/>
        <v>7-8 years</v>
      </c>
      <c r="P334" s="226">
        <f t="shared" si="72"/>
        <v>0.81095890410958904</v>
      </c>
      <c r="Q334" s="227">
        <f>$D334*P334*_xlfn.XLOOKUP($O334,'Sample Size cal and results'!$B$26:$B$27,'Sample Size cal and results'!$I$26:$I$27)</f>
        <v>139.63856004010165</v>
      </c>
      <c r="R334" s="330"/>
    </row>
    <row r="335" spans="1:18" ht="12.75">
      <c r="A335" s="99" t="s">
        <v>148</v>
      </c>
      <c r="B335" s="100">
        <v>41995</v>
      </c>
      <c r="C335" s="100">
        <f t="shared" si="62"/>
        <v>44551</v>
      </c>
      <c r="D335" s="209">
        <v>1</v>
      </c>
      <c r="E335" s="217">
        <f t="shared" si="63"/>
        <v>5.19</v>
      </c>
      <c r="F335" s="218">
        <f t="shared" si="64"/>
        <v>6.18</v>
      </c>
      <c r="G335" s="219">
        <f t="shared" si="65"/>
        <v>6.19</v>
      </c>
      <c r="H335" s="220">
        <f t="shared" si="66"/>
        <v>7.18</v>
      </c>
      <c r="I335" s="257" t="str">
        <f t="shared" si="67"/>
        <v>6-7 years</v>
      </c>
      <c r="J335" s="211">
        <f t="shared" si="68"/>
        <v>0.83835616438356164</v>
      </c>
      <c r="K335" s="258">
        <f>$D335*J335*_xlfn.XLOOKUP($I335,'Sample Size cal and results'!$B$24:$B$25,'Sample Size cal and results'!$H$24:$H$25)</f>
        <v>0.68737189284141897</v>
      </c>
      <c r="L335" s="211">
        <f t="shared" si="69"/>
        <v>0.16164383561643836</v>
      </c>
      <c r="M335" s="211">
        <f>$D335*L335*_xlfn.XLOOKUP($I335,'Sample Size cal and results'!$B$24:$B$25,'Sample Size cal and results'!$I$24:$I$25)</f>
        <v>0.13597969328189699</v>
      </c>
      <c r="N335" s="214">
        <f t="shared" si="70"/>
        <v>0.82335158612331594</v>
      </c>
      <c r="O335" s="225" t="str">
        <f t="shared" si="71"/>
        <v>7-8 years</v>
      </c>
      <c r="P335" s="226">
        <f t="shared" si="72"/>
        <v>0.81095890410958904</v>
      </c>
      <c r="Q335" s="227">
        <f>$D335*P335*_xlfn.XLOOKUP($O335,'Sample Size cal and results'!$B$26:$B$27,'Sample Size cal and results'!$I$26:$I$27)</f>
        <v>0.52693796241547797</v>
      </c>
      <c r="R335" s="330"/>
    </row>
    <row r="336" spans="1:18" ht="12.75">
      <c r="A336" s="99" t="s">
        <v>57</v>
      </c>
      <c r="B336" s="100">
        <v>41994</v>
      </c>
      <c r="C336" s="100">
        <f t="shared" si="62"/>
        <v>44550</v>
      </c>
      <c r="D336" s="209">
        <v>228</v>
      </c>
      <c r="E336" s="217">
        <f t="shared" si="63"/>
        <v>5.19</v>
      </c>
      <c r="F336" s="218">
        <f t="shared" si="64"/>
        <v>6.19</v>
      </c>
      <c r="G336" s="219">
        <f t="shared" si="65"/>
        <v>6.19</v>
      </c>
      <c r="H336" s="220">
        <f t="shared" si="66"/>
        <v>7.19</v>
      </c>
      <c r="I336" s="257" t="str">
        <f t="shared" si="67"/>
        <v>6-7 years</v>
      </c>
      <c r="J336" s="211">
        <f t="shared" si="68"/>
        <v>0.83835616438356164</v>
      </c>
      <c r="K336" s="258">
        <f>$D336*J336*_xlfn.XLOOKUP($I336,'Sample Size cal and results'!$B$24:$B$25,'Sample Size cal and results'!$H$24:$H$25)</f>
        <v>156.72079156784352</v>
      </c>
      <c r="L336" s="211">
        <f t="shared" si="69"/>
        <v>0.16164383561643836</v>
      </c>
      <c r="M336" s="211">
        <f>$D336*L336*_xlfn.XLOOKUP($I336,'Sample Size cal and results'!$B$24:$B$25,'Sample Size cal and results'!$I$24:$I$25)</f>
        <v>31.003370068272513</v>
      </c>
      <c r="N336" s="214">
        <f t="shared" si="70"/>
        <v>187.72416163611604</v>
      </c>
      <c r="O336" s="225" t="str">
        <f t="shared" si="71"/>
        <v>7-8 years</v>
      </c>
      <c r="P336" s="226">
        <f t="shared" si="72"/>
        <v>0.80821917808219179</v>
      </c>
      <c r="Q336" s="227">
        <f>$D336*P336*_xlfn.XLOOKUP($O336,'Sample Size cal and results'!$B$26:$B$27,'Sample Size cal and results'!$I$26:$I$27)</f>
        <v>119.73597078400354</v>
      </c>
      <c r="R336" s="330"/>
    </row>
    <row r="337" spans="1:18" ht="12.75">
      <c r="A337" s="99" t="s">
        <v>148</v>
      </c>
      <c r="B337" s="100">
        <v>41994</v>
      </c>
      <c r="C337" s="100">
        <f t="shared" si="62"/>
        <v>44550</v>
      </c>
      <c r="D337" s="209">
        <v>1</v>
      </c>
      <c r="E337" s="217">
        <f t="shared" si="63"/>
        <v>5.19</v>
      </c>
      <c r="F337" s="218">
        <f t="shared" si="64"/>
        <v>6.19</v>
      </c>
      <c r="G337" s="219">
        <f t="shared" si="65"/>
        <v>6.19</v>
      </c>
      <c r="H337" s="220">
        <f t="shared" si="66"/>
        <v>7.19</v>
      </c>
      <c r="I337" s="257" t="str">
        <f t="shared" si="67"/>
        <v>6-7 years</v>
      </c>
      <c r="J337" s="211">
        <f t="shared" si="68"/>
        <v>0.83835616438356164</v>
      </c>
      <c r="K337" s="258">
        <f>$D337*J337*_xlfn.XLOOKUP($I337,'Sample Size cal and results'!$B$24:$B$25,'Sample Size cal and results'!$H$24:$H$25)</f>
        <v>0.68737189284141897</v>
      </c>
      <c r="L337" s="211">
        <f t="shared" si="69"/>
        <v>0.16164383561643836</v>
      </c>
      <c r="M337" s="211">
        <f>$D337*L337*_xlfn.XLOOKUP($I337,'Sample Size cal and results'!$B$24:$B$25,'Sample Size cal and results'!$I$24:$I$25)</f>
        <v>0.13597969328189699</v>
      </c>
      <c r="N337" s="214">
        <f t="shared" si="70"/>
        <v>0.82335158612331594</v>
      </c>
      <c r="O337" s="225" t="str">
        <f t="shared" si="71"/>
        <v>7-8 years</v>
      </c>
      <c r="P337" s="226">
        <f t="shared" si="72"/>
        <v>0.80821917808219179</v>
      </c>
      <c r="Q337" s="227">
        <f>$D337*P337*_xlfn.XLOOKUP($O337,'Sample Size cal and results'!$B$26:$B$27,'Sample Size cal and results'!$I$26:$I$27)</f>
        <v>0.52515776659650681</v>
      </c>
      <c r="R337" s="330"/>
    </row>
    <row r="338" spans="1:18" ht="12.75">
      <c r="A338" s="99" t="s">
        <v>57</v>
      </c>
      <c r="B338" s="100">
        <v>41993</v>
      </c>
      <c r="C338" s="100">
        <f t="shared" si="62"/>
        <v>44549</v>
      </c>
      <c r="D338" s="209">
        <v>311</v>
      </c>
      <c r="E338" s="217">
        <f t="shared" si="63"/>
        <v>5.19</v>
      </c>
      <c r="F338" s="218">
        <f t="shared" si="64"/>
        <v>6.19</v>
      </c>
      <c r="G338" s="219">
        <f t="shared" si="65"/>
        <v>6.19</v>
      </c>
      <c r="H338" s="220">
        <f t="shared" si="66"/>
        <v>7.19</v>
      </c>
      <c r="I338" s="257" t="str">
        <f t="shared" si="67"/>
        <v>6-7 years</v>
      </c>
      <c r="J338" s="211">
        <f t="shared" si="68"/>
        <v>0.83835616438356164</v>
      </c>
      <c r="K338" s="258">
        <f>$D338*J338*_xlfn.XLOOKUP($I338,'Sample Size cal and results'!$B$24:$B$25,'Sample Size cal and results'!$H$24:$H$25)</f>
        <v>213.77265867368132</v>
      </c>
      <c r="L338" s="211">
        <f t="shared" si="69"/>
        <v>0.16164383561643836</v>
      </c>
      <c r="M338" s="211">
        <f>$D338*L338*_xlfn.XLOOKUP($I338,'Sample Size cal and results'!$B$24:$B$25,'Sample Size cal and results'!$I$24:$I$25)</f>
        <v>42.289684610669966</v>
      </c>
      <c r="N338" s="214">
        <f t="shared" si="70"/>
        <v>256.0623432843513</v>
      </c>
      <c r="O338" s="225" t="str">
        <f t="shared" si="71"/>
        <v>7-8 years</v>
      </c>
      <c r="P338" s="226">
        <f t="shared" si="72"/>
        <v>0.80547945205479454</v>
      </c>
      <c r="Q338" s="227">
        <f>$D338*P338*_xlfn.XLOOKUP($O338,'Sample Size cal and results'!$B$26:$B$27,'Sample Size cal and results'!$I$26:$I$27)</f>
        <v>162.77042451181356</v>
      </c>
      <c r="R338" s="330"/>
    </row>
    <row r="339" spans="1:18" ht="12.75">
      <c r="A339" s="99" t="s">
        <v>148</v>
      </c>
      <c r="B339" s="100">
        <v>41993</v>
      </c>
      <c r="C339" s="100">
        <f t="shared" si="62"/>
        <v>44549</v>
      </c>
      <c r="D339" s="209">
        <v>3</v>
      </c>
      <c r="E339" s="217">
        <f t="shared" si="63"/>
        <v>5.19</v>
      </c>
      <c r="F339" s="218">
        <f t="shared" si="64"/>
        <v>6.19</v>
      </c>
      <c r="G339" s="219">
        <f t="shared" si="65"/>
        <v>6.19</v>
      </c>
      <c r="H339" s="220">
        <f t="shared" si="66"/>
        <v>7.19</v>
      </c>
      <c r="I339" s="257" t="str">
        <f t="shared" si="67"/>
        <v>6-7 years</v>
      </c>
      <c r="J339" s="211">
        <f t="shared" si="68"/>
        <v>0.83835616438356164</v>
      </c>
      <c r="K339" s="258">
        <f>$D339*J339*_xlfn.XLOOKUP($I339,'Sample Size cal and results'!$B$24:$B$25,'Sample Size cal and results'!$H$24:$H$25)</f>
        <v>2.0621156785242567</v>
      </c>
      <c r="L339" s="211">
        <f t="shared" si="69"/>
        <v>0.16164383561643836</v>
      </c>
      <c r="M339" s="211">
        <f>$D339*L339*_xlfn.XLOOKUP($I339,'Sample Size cal and results'!$B$24:$B$25,'Sample Size cal and results'!$I$24:$I$25)</f>
        <v>0.40793907984569094</v>
      </c>
      <c r="N339" s="214">
        <f t="shared" si="70"/>
        <v>2.4700547583699475</v>
      </c>
      <c r="O339" s="225" t="str">
        <f t="shared" si="71"/>
        <v>7-8 years</v>
      </c>
      <c r="P339" s="226">
        <f t="shared" si="72"/>
        <v>0.80547945205479454</v>
      </c>
      <c r="Q339" s="227">
        <f>$D339*P339*_xlfn.XLOOKUP($O339,'Sample Size cal and results'!$B$26:$B$27,'Sample Size cal and results'!$I$26:$I$27)</f>
        <v>1.5701327123326068</v>
      </c>
      <c r="R339" s="330"/>
    </row>
    <row r="340" spans="1:18" ht="12.75">
      <c r="A340" s="99" t="s">
        <v>56</v>
      </c>
      <c r="B340" s="100">
        <v>41992</v>
      </c>
      <c r="C340" s="100">
        <f t="shared" si="62"/>
        <v>44548</v>
      </c>
      <c r="D340" s="209">
        <v>128</v>
      </c>
      <c r="E340" s="217">
        <f t="shared" si="63"/>
        <v>5.19</v>
      </c>
      <c r="F340" s="218">
        <f t="shared" si="64"/>
        <v>6.19</v>
      </c>
      <c r="G340" s="219">
        <f t="shared" si="65"/>
        <v>6.19</v>
      </c>
      <c r="H340" s="220">
        <f t="shared" si="66"/>
        <v>7.19</v>
      </c>
      <c r="I340" s="257" t="str">
        <f t="shared" si="67"/>
        <v>6-7 years</v>
      </c>
      <c r="J340" s="211">
        <f t="shared" si="68"/>
        <v>0.83835616438356164</v>
      </c>
      <c r="K340" s="258">
        <f>$D340*J340*_xlfn.XLOOKUP($I340,'Sample Size cal and results'!$B$24:$B$25,'Sample Size cal and results'!$H$24:$H$25)</f>
        <v>87.983602283701629</v>
      </c>
      <c r="L340" s="211">
        <f t="shared" si="69"/>
        <v>0.16164383561643836</v>
      </c>
      <c r="M340" s="211">
        <f>$D340*L340*_xlfn.XLOOKUP($I340,'Sample Size cal and results'!$B$24:$B$25,'Sample Size cal and results'!$I$24:$I$25)</f>
        <v>17.405400740082815</v>
      </c>
      <c r="N340" s="214">
        <f t="shared" si="70"/>
        <v>105.38900302378444</v>
      </c>
      <c r="O340" s="225" t="str">
        <f t="shared" si="71"/>
        <v>7-8 years</v>
      </c>
      <c r="P340" s="226">
        <f t="shared" si="72"/>
        <v>0.80273972602739729</v>
      </c>
      <c r="Q340" s="227">
        <f>$D340*P340*_xlfn.XLOOKUP($O340,'Sample Size cal and results'!$B$26:$B$27,'Sample Size cal and results'!$I$26:$I$27)</f>
        <v>66.764463994696243</v>
      </c>
      <c r="R340" s="330"/>
    </row>
    <row r="341" spans="1:18" ht="12.75">
      <c r="A341" s="99" t="s">
        <v>57</v>
      </c>
      <c r="B341" s="100">
        <v>41992</v>
      </c>
      <c r="C341" s="100">
        <f t="shared" si="62"/>
        <v>44548</v>
      </c>
      <c r="D341" s="209">
        <v>109</v>
      </c>
      <c r="E341" s="217">
        <f t="shared" si="63"/>
        <v>5.19</v>
      </c>
      <c r="F341" s="218">
        <f t="shared" si="64"/>
        <v>6.19</v>
      </c>
      <c r="G341" s="219">
        <f t="shared" si="65"/>
        <v>6.19</v>
      </c>
      <c r="H341" s="220">
        <f t="shared" si="66"/>
        <v>7.19</v>
      </c>
      <c r="I341" s="257" t="str">
        <f t="shared" si="67"/>
        <v>6-7 years</v>
      </c>
      <c r="J341" s="211">
        <f t="shared" si="68"/>
        <v>0.83835616438356164</v>
      </c>
      <c r="K341" s="258">
        <f>$D341*J341*_xlfn.XLOOKUP($I341,'Sample Size cal and results'!$B$24:$B$25,'Sample Size cal and results'!$H$24:$H$25)</f>
        <v>74.923536319714671</v>
      </c>
      <c r="L341" s="211">
        <f t="shared" si="69"/>
        <v>0.16164383561643836</v>
      </c>
      <c r="M341" s="211">
        <f>$D341*L341*_xlfn.XLOOKUP($I341,'Sample Size cal and results'!$B$24:$B$25,'Sample Size cal and results'!$I$24:$I$25)</f>
        <v>14.82178656772677</v>
      </c>
      <c r="N341" s="214">
        <f t="shared" si="70"/>
        <v>89.745322887441446</v>
      </c>
      <c r="O341" s="225" t="str">
        <f t="shared" si="71"/>
        <v>7-8 years</v>
      </c>
      <c r="P341" s="226">
        <f t="shared" si="72"/>
        <v>0.80273972602739729</v>
      </c>
      <c r="Q341" s="227">
        <f>$D341*P341*_xlfn.XLOOKUP($O341,'Sample Size cal and results'!$B$26:$B$27,'Sample Size cal and results'!$I$26:$I$27)</f>
        <v>56.854113870483516</v>
      </c>
      <c r="R341" s="330"/>
    </row>
    <row r="342" spans="1:18" ht="12.75">
      <c r="A342" s="99" t="s">
        <v>148</v>
      </c>
      <c r="B342" s="100">
        <v>41992</v>
      </c>
      <c r="C342" s="100">
        <f t="shared" si="62"/>
        <v>44548</v>
      </c>
      <c r="D342" s="209">
        <v>1</v>
      </c>
      <c r="E342" s="217">
        <f t="shared" si="63"/>
        <v>5.19</v>
      </c>
      <c r="F342" s="218">
        <f t="shared" si="64"/>
        <v>6.19</v>
      </c>
      <c r="G342" s="219">
        <f t="shared" si="65"/>
        <v>6.19</v>
      </c>
      <c r="H342" s="220">
        <f t="shared" si="66"/>
        <v>7.19</v>
      </c>
      <c r="I342" s="257" t="str">
        <f t="shared" si="67"/>
        <v>6-7 years</v>
      </c>
      <c r="J342" s="211">
        <f t="shared" si="68"/>
        <v>0.83835616438356164</v>
      </c>
      <c r="K342" s="258">
        <f>$D342*J342*_xlfn.XLOOKUP($I342,'Sample Size cal and results'!$B$24:$B$25,'Sample Size cal and results'!$H$24:$H$25)</f>
        <v>0.68737189284141897</v>
      </c>
      <c r="L342" s="211">
        <f t="shared" si="69"/>
        <v>0.16164383561643836</v>
      </c>
      <c r="M342" s="211">
        <f>$D342*L342*_xlfn.XLOOKUP($I342,'Sample Size cal and results'!$B$24:$B$25,'Sample Size cal and results'!$I$24:$I$25)</f>
        <v>0.13597969328189699</v>
      </c>
      <c r="N342" s="214">
        <f t="shared" si="70"/>
        <v>0.82335158612331594</v>
      </c>
      <c r="O342" s="225" t="str">
        <f t="shared" si="71"/>
        <v>7-8 years</v>
      </c>
      <c r="P342" s="226">
        <f t="shared" si="72"/>
        <v>0.80273972602739729</v>
      </c>
      <c r="Q342" s="227">
        <f>$D342*P342*_xlfn.XLOOKUP($O342,'Sample Size cal and results'!$B$26:$B$27,'Sample Size cal and results'!$I$26:$I$27)</f>
        <v>0.5215973749585644</v>
      </c>
      <c r="R342" s="330"/>
    </row>
    <row r="343" spans="1:18" ht="12.75">
      <c r="A343" s="99" t="s">
        <v>56</v>
      </c>
      <c r="B343" s="100">
        <v>41991</v>
      </c>
      <c r="C343" s="100">
        <f t="shared" si="62"/>
        <v>44547</v>
      </c>
      <c r="D343" s="209">
        <v>1452</v>
      </c>
      <c r="E343" s="217">
        <f t="shared" si="63"/>
        <v>5.2</v>
      </c>
      <c r="F343" s="218">
        <f t="shared" si="64"/>
        <v>6.19</v>
      </c>
      <c r="G343" s="219">
        <f t="shared" si="65"/>
        <v>6.2</v>
      </c>
      <c r="H343" s="220">
        <f t="shared" si="66"/>
        <v>7.19</v>
      </c>
      <c r="I343" s="257" t="str">
        <f t="shared" si="67"/>
        <v>6-7 years</v>
      </c>
      <c r="J343" s="211">
        <f t="shared" si="68"/>
        <v>0.83835616438356164</v>
      </c>
      <c r="K343" s="258">
        <f>$D343*J343*_xlfn.XLOOKUP($I343,'Sample Size cal and results'!$B$24:$B$25,'Sample Size cal and results'!$H$24:$H$25)</f>
        <v>998.06398840574036</v>
      </c>
      <c r="L343" s="211">
        <f t="shared" si="69"/>
        <v>0.16164383561643836</v>
      </c>
      <c r="M343" s="211">
        <f>$D343*L343*_xlfn.XLOOKUP($I343,'Sample Size cal and results'!$B$24:$B$25,'Sample Size cal and results'!$I$24:$I$25)</f>
        <v>197.44251464531442</v>
      </c>
      <c r="N343" s="214">
        <f t="shared" si="70"/>
        <v>1195.5065030510548</v>
      </c>
      <c r="O343" s="225" t="str">
        <f t="shared" si="71"/>
        <v>7-8 years</v>
      </c>
      <c r="P343" s="226">
        <f t="shared" si="72"/>
        <v>0.8</v>
      </c>
      <c r="Q343" s="227">
        <f>$D343*P343*_xlfn.XLOOKUP($O343,'Sample Size cal and results'!$B$26:$B$27,'Sample Size cal and results'!$I$26:$I$27)</f>
        <v>754.77454411068936</v>
      </c>
      <c r="R343" s="330"/>
    </row>
    <row r="344" spans="1:18" ht="12.75">
      <c r="A344" s="99" t="s">
        <v>148</v>
      </c>
      <c r="B344" s="100">
        <v>41991</v>
      </c>
      <c r="C344" s="100">
        <f t="shared" si="62"/>
        <v>44547</v>
      </c>
      <c r="D344" s="209">
        <v>1</v>
      </c>
      <c r="E344" s="217">
        <f t="shared" si="63"/>
        <v>5.2</v>
      </c>
      <c r="F344" s="218">
        <f t="shared" si="64"/>
        <v>6.19</v>
      </c>
      <c r="G344" s="219">
        <f t="shared" si="65"/>
        <v>6.2</v>
      </c>
      <c r="H344" s="220">
        <f t="shared" si="66"/>
        <v>7.19</v>
      </c>
      <c r="I344" s="257" t="str">
        <f t="shared" si="67"/>
        <v>6-7 years</v>
      </c>
      <c r="J344" s="211">
        <f t="shared" si="68"/>
        <v>0.83835616438356164</v>
      </c>
      <c r="K344" s="258">
        <f>$D344*J344*_xlfn.XLOOKUP($I344,'Sample Size cal and results'!$B$24:$B$25,'Sample Size cal and results'!$H$24:$H$25)</f>
        <v>0.68737189284141897</v>
      </c>
      <c r="L344" s="211">
        <f t="shared" si="69"/>
        <v>0.16164383561643836</v>
      </c>
      <c r="M344" s="211">
        <f>$D344*L344*_xlfn.XLOOKUP($I344,'Sample Size cal and results'!$B$24:$B$25,'Sample Size cal and results'!$I$24:$I$25)</f>
        <v>0.13597969328189699</v>
      </c>
      <c r="N344" s="214">
        <f t="shared" si="70"/>
        <v>0.82335158612331594</v>
      </c>
      <c r="O344" s="225" t="str">
        <f t="shared" si="71"/>
        <v>7-8 years</v>
      </c>
      <c r="P344" s="226">
        <f t="shared" si="72"/>
        <v>0.8</v>
      </c>
      <c r="Q344" s="227">
        <f>$D344*P344*_xlfn.XLOOKUP($O344,'Sample Size cal and results'!$B$26:$B$27,'Sample Size cal and results'!$I$26:$I$27)</f>
        <v>0.51981717913959313</v>
      </c>
      <c r="R344" s="330"/>
    </row>
    <row r="345" spans="1:18" ht="12.75">
      <c r="A345" s="99" t="s">
        <v>56</v>
      </c>
      <c r="B345" s="100">
        <v>41990</v>
      </c>
      <c r="C345" s="100">
        <f t="shared" si="62"/>
        <v>44546</v>
      </c>
      <c r="D345" s="209">
        <v>283</v>
      </c>
      <c r="E345" s="217">
        <f t="shared" si="63"/>
        <v>5.2</v>
      </c>
      <c r="F345" s="218">
        <f t="shared" si="64"/>
        <v>6.2</v>
      </c>
      <c r="G345" s="219">
        <f t="shared" si="65"/>
        <v>6.2</v>
      </c>
      <c r="H345" s="220">
        <f t="shared" si="66"/>
        <v>7.2</v>
      </c>
      <c r="I345" s="257" t="str">
        <f t="shared" si="67"/>
        <v>6-7 years</v>
      </c>
      <c r="J345" s="211">
        <f t="shared" si="68"/>
        <v>0.83835616438356164</v>
      </c>
      <c r="K345" s="258">
        <f>$D345*J345*_xlfn.XLOOKUP($I345,'Sample Size cal and results'!$B$24:$B$25,'Sample Size cal and results'!$H$24:$H$25)</f>
        <v>194.52624567412155</v>
      </c>
      <c r="L345" s="211">
        <f t="shared" si="69"/>
        <v>0.16164383561643836</v>
      </c>
      <c r="M345" s="211">
        <f>$D345*L345*_xlfn.XLOOKUP($I345,'Sample Size cal and results'!$B$24:$B$25,'Sample Size cal and results'!$I$24:$I$25)</f>
        <v>38.482253198776846</v>
      </c>
      <c r="N345" s="214">
        <f t="shared" si="70"/>
        <v>233.0084988728984</v>
      </c>
      <c r="O345" s="225" t="str">
        <f t="shared" si="71"/>
        <v>7-8 years</v>
      </c>
      <c r="P345" s="226">
        <f t="shared" si="72"/>
        <v>0.79726027397260268</v>
      </c>
      <c r="Q345" s="227">
        <f>$D345*P345*_xlfn.XLOOKUP($O345,'Sample Size cal and results'!$B$26:$B$27,'Sample Size cal and results'!$I$26:$I$27)</f>
        <v>146.60446627973599</v>
      </c>
      <c r="R345" s="330"/>
    </row>
    <row r="346" spans="1:18" ht="12.75">
      <c r="A346" s="99" t="s">
        <v>148</v>
      </c>
      <c r="B346" s="100">
        <v>41990</v>
      </c>
      <c r="C346" s="100">
        <f t="shared" si="62"/>
        <v>44546</v>
      </c>
      <c r="D346" s="209">
        <v>3</v>
      </c>
      <c r="E346" s="217">
        <f t="shared" si="63"/>
        <v>5.2</v>
      </c>
      <c r="F346" s="218">
        <f t="shared" si="64"/>
        <v>6.2</v>
      </c>
      <c r="G346" s="219">
        <f t="shared" si="65"/>
        <v>6.2</v>
      </c>
      <c r="H346" s="220">
        <f t="shared" si="66"/>
        <v>7.2</v>
      </c>
      <c r="I346" s="257" t="str">
        <f t="shared" si="67"/>
        <v>6-7 years</v>
      </c>
      <c r="J346" s="211">
        <f t="shared" si="68"/>
        <v>0.83835616438356164</v>
      </c>
      <c r="K346" s="258">
        <f>$D346*J346*_xlfn.XLOOKUP($I346,'Sample Size cal and results'!$B$24:$B$25,'Sample Size cal and results'!$H$24:$H$25)</f>
        <v>2.0621156785242567</v>
      </c>
      <c r="L346" s="211">
        <f t="shared" si="69"/>
        <v>0.16164383561643836</v>
      </c>
      <c r="M346" s="211">
        <f>$D346*L346*_xlfn.XLOOKUP($I346,'Sample Size cal and results'!$B$24:$B$25,'Sample Size cal and results'!$I$24:$I$25)</f>
        <v>0.40793907984569094</v>
      </c>
      <c r="N346" s="214">
        <f t="shared" si="70"/>
        <v>2.4700547583699475</v>
      </c>
      <c r="O346" s="225" t="str">
        <f t="shared" si="71"/>
        <v>7-8 years</v>
      </c>
      <c r="P346" s="226">
        <f t="shared" si="72"/>
        <v>0.79726027397260268</v>
      </c>
      <c r="Q346" s="227">
        <f>$D346*P346*_xlfn.XLOOKUP($O346,'Sample Size cal and results'!$B$26:$B$27,'Sample Size cal and results'!$I$26:$I$27)</f>
        <v>1.5541109499618657</v>
      </c>
      <c r="R346" s="330"/>
    </row>
    <row r="347" spans="1:18" ht="12.75">
      <c r="A347" s="99" t="s">
        <v>56</v>
      </c>
      <c r="B347" s="100">
        <v>41989</v>
      </c>
      <c r="C347" s="100">
        <f t="shared" si="62"/>
        <v>44545</v>
      </c>
      <c r="D347" s="209">
        <v>251</v>
      </c>
      <c r="E347" s="217">
        <f t="shared" si="63"/>
        <v>5.2</v>
      </c>
      <c r="F347" s="218">
        <f t="shared" si="64"/>
        <v>6.2</v>
      </c>
      <c r="G347" s="219">
        <f t="shared" si="65"/>
        <v>6.2</v>
      </c>
      <c r="H347" s="220">
        <f t="shared" si="66"/>
        <v>7.2</v>
      </c>
      <c r="I347" s="257" t="str">
        <f t="shared" si="67"/>
        <v>6-7 years</v>
      </c>
      <c r="J347" s="211">
        <f t="shared" si="68"/>
        <v>0.83835616438356164</v>
      </c>
      <c r="K347" s="258">
        <f>$D347*J347*_xlfn.XLOOKUP($I347,'Sample Size cal and results'!$B$24:$B$25,'Sample Size cal and results'!$H$24:$H$25)</f>
        <v>172.53034510319617</v>
      </c>
      <c r="L347" s="211">
        <f t="shared" si="69"/>
        <v>0.16164383561643836</v>
      </c>
      <c r="M347" s="211">
        <f>$D347*L347*_xlfn.XLOOKUP($I347,'Sample Size cal and results'!$B$24:$B$25,'Sample Size cal and results'!$I$24:$I$25)</f>
        <v>34.130903013756139</v>
      </c>
      <c r="N347" s="214">
        <f t="shared" si="70"/>
        <v>206.66124811695232</v>
      </c>
      <c r="O347" s="225" t="str">
        <f t="shared" si="71"/>
        <v>7-8 years</v>
      </c>
      <c r="P347" s="226">
        <f t="shared" si="72"/>
        <v>0.79452054794520544</v>
      </c>
      <c r="Q347" s="227">
        <f>$D347*P347*_xlfn.XLOOKUP($O347,'Sample Size cal and results'!$B$26:$B$27,'Sample Size cal and results'!$I$26:$I$27)</f>
        <v>129.58045366291432</v>
      </c>
      <c r="R347" s="330"/>
    </row>
    <row r="348" spans="1:18" ht="12.75">
      <c r="A348" s="99" t="s">
        <v>148</v>
      </c>
      <c r="B348" s="100">
        <v>41989</v>
      </c>
      <c r="C348" s="100">
        <f t="shared" si="62"/>
        <v>44545</v>
      </c>
      <c r="D348" s="209">
        <v>6</v>
      </c>
      <c r="E348" s="217">
        <f t="shared" si="63"/>
        <v>5.2</v>
      </c>
      <c r="F348" s="218">
        <f t="shared" si="64"/>
        <v>6.2</v>
      </c>
      <c r="G348" s="219">
        <f t="shared" si="65"/>
        <v>6.2</v>
      </c>
      <c r="H348" s="220">
        <f t="shared" si="66"/>
        <v>7.2</v>
      </c>
      <c r="I348" s="257" t="str">
        <f t="shared" si="67"/>
        <v>6-7 years</v>
      </c>
      <c r="J348" s="211">
        <f t="shared" si="68"/>
        <v>0.83835616438356164</v>
      </c>
      <c r="K348" s="258">
        <f>$D348*J348*_xlfn.XLOOKUP($I348,'Sample Size cal and results'!$B$24:$B$25,'Sample Size cal and results'!$H$24:$H$25)</f>
        <v>4.1242313570485134</v>
      </c>
      <c r="L348" s="211">
        <f t="shared" si="69"/>
        <v>0.16164383561643836</v>
      </c>
      <c r="M348" s="211">
        <f>$D348*L348*_xlfn.XLOOKUP($I348,'Sample Size cal and results'!$B$24:$B$25,'Sample Size cal and results'!$I$24:$I$25)</f>
        <v>0.81587815969138189</v>
      </c>
      <c r="N348" s="214">
        <f t="shared" si="70"/>
        <v>4.940109516739895</v>
      </c>
      <c r="O348" s="225" t="str">
        <f t="shared" si="71"/>
        <v>7-8 years</v>
      </c>
      <c r="P348" s="226">
        <f t="shared" si="72"/>
        <v>0.79452054794520544</v>
      </c>
      <c r="Q348" s="227">
        <f>$D348*P348*_xlfn.XLOOKUP($O348,'Sample Size cal and results'!$B$26:$B$27,'Sample Size cal and results'!$I$26:$I$27)</f>
        <v>3.0975407250099041</v>
      </c>
      <c r="R348" s="330"/>
    </row>
    <row r="349" spans="1:18" ht="12.75">
      <c r="A349" s="99" t="s">
        <v>55</v>
      </c>
      <c r="B349" s="100">
        <v>41988</v>
      </c>
      <c r="C349" s="100">
        <f t="shared" si="62"/>
        <v>44544</v>
      </c>
      <c r="D349" s="209">
        <v>2320</v>
      </c>
      <c r="E349" s="217">
        <f t="shared" si="63"/>
        <v>5.2</v>
      </c>
      <c r="F349" s="218">
        <f t="shared" si="64"/>
        <v>6.2</v>
      </c>
      <c r="G349" s="219">
        <f t="shared" si="65"/>
        <v>6.2</v>
      </c>
      <c r="H349" s="220">
        <f t="shared" si="66"/>
        <v>7.2</v>
      </c>
      <c r="I349" s="257" t="str">
        <f t="shared" si="67"/>
        <v>6-7 years</v>
      </c>
      <c r="J349" s="211">
        <f t="shared" si="68"/>
        <v>0.83835616438356164</v>
      </c>
      <c r="K349" s="258">
        <f>$D349*J349*_xlfn.XLOOKUP($I349,'Sample Size cal and results'!$B$24:$B$25,'Sample Size cal and results'!$H$24:$H$25)</f>
        <v>1594.702791392092</v>
      </c>
      <c r="L349" s="211">
        <f t="shared" si="69"/>
        <v>0.16164383561643836</v>
      </c>
      <c r="M349" s="211">
        <f>$D349*L349*_xlfn.XLOOKUP($I349,'Sample Size cal and results'!$B$24:$B$25,'Sample Size cal and results'!$I$24:$I$25)</f>
        <v>315.47288841400103</v>
      </c>
      <c r="N349" s="214">
        <f t="shared" si="70"/>
        <v>1910.1756798060931</v>
      </c>
      <c r="O349" s="225" t="str">
        <f t="shared" si="71"/>
        <v>7-8 years</v>
      </c>
      <c r="P349" s="226">
        <f t="shared" si="72"/>
        <v>0.79178082191780819</v>
      </c>
      <c r="Q349" s="227">
        <f>$D349*P349*_xlfn.XLOOKUP($O349,'Sample Size cal and results'!$B$26:$B$27,'Sample Size cal and results'!$I$26:$I$27)</f>
        <v>1193.5856927038164</v>
      </c>
      <c r="R349" s="330"/>
    </row>
    <row r="350" spans="1:18" ht="12.75">
      <c r="A350" s="99" t="s">
        <v>56</v>
      </c>
      <c r="B350" s="100">
        <v>41988</v>
      </c>
      <c r="C350" s="100">
        <f t="shared" si="62"/>
        <v>44544</v>
      </c>
      <c r="D350" s="209">
        <v>729</v>
      </c>
      <c r="E350" s="217">
        <f t="shared" si="63"/>
        <v>5.2</v>
      </c>
      <c r="F350" s="218">
        <f t="shared" si="64"/>
        <v>6.2</v>
      </c>
      <c r="G350" s="219">
        <f t="shared" si="65"/>
        <v>6.2</v>
      </c>
      <c r="H350" s="220">
        <f t="shared" si="66"/>
        <v>7.2</v>
      </c>
      <c r="I350" s="257" t="str">
        <f t="shared" si="67"/>
        <v>6-7 years</v>
      </c>
      <c r="J350" s="211">
        <f t="shared" si="68"/>
        <v>0.83835616438356164</v>
      </c>
      <c r="K350" s="258">
        <f>$D350*J350*_xlfn.XLOOKUP($I350,'Sample Size cal and results'!$B$24:$B$25,'Sample Size cal and results'!$H$24:$H$25)</f>
        <v>501.09410988139444</v>
      </c>
      <c r="L350" s="211">
        <f t="shared" si="69"/>
        <v>0.16164383561643836</v>
      </c>
      <c r="M350" s="211">
        <f>$D350*L350*_xlfn.XLOOKUP($I350,'Sample Size cal and results'!$B$24:$B$25,'Sample Size cal and results'!$I$24:$I$25)</f>
        <v>99.129196402502899</v>
      </c>
      <c r="N350" s="214">
        <f t="shared" si="70"/>
        <v>600.22330628389739</v>
      </c>
      <c r="O350" s="225" t="str">
        <f t="shared" si="71"/>
        <v>7-8 years</v>
      </c>
      <c r="P350" s="226">
        <f t="shared" si="72"/>
        <v>0.79178082191780819</v>
      </c>
      <c r="Q350" s="227">
        <f>$D350*P350*_xlfn.XLOOKUP($O350,'Sample Size cal and results'!$B$26:$B$27,'Sample Size cal and results'!$I$26:$I$27)</f>
        <v>375.05343533667332</v>
      </c>
      <c r="R350" s="330"/>
    </row>
    <row r="351" spans="1:18" ht="12.75">
      <c r="A351" s="99" t="s">
        <v>146</v>
      </c>
      <c r="B351" s="100">
        <v>41988</v>
      </c>
      <c r="C351" s="100">
        <f t="shared" si="62"/>
        <v>44544</v>
      </c>
      <c r="D351" s="209">
        <v>14</v>
      </c>
      <c r="E351" s="217">
        <f t="shared" si="63"/>
        <v>5.2</v>
      </c>
      <c r="F351" s="218">
        <f t="shared" si="64"/>
        <v>6.2</v>
      </c>
      <c r="G351" s="219">
        <f t="shared" si="65"/>
        <v>6.2</v>
      </c>
      <c r="H351" s="220">
        <f t="shared" si="66"/>
        <v>7.2</v>
      </c>
      <c r="I351" s="257" t="str">
        <f t="shared" si="67"/>
        <v>6-7 years</v>
      </c>
      <c r="J351" s="211">
        <f t="shared" si="68"/>
        <v>0.83835616438356164</v>
      </c>
      <c r="K351" s="258">
        <f>$D351*J351*_xlfn.XLOOKUP($I351,'Sample Size cal and results'!$B$24:$B$25,'Sample Size cal and results'!$H$24:$H$25)</f>
        <v>9.6232064997798652</v>
      </c>
      <c r="L351" s="211">
        <f t="shared" si="69"/>
        <v>0.16164383561643836</v>
      </c>
      <c r="M351" s="211">
        <f>$D351*L351*_xlfn.XLOOKUP($I351,'Sample Size cal and results'!$B$24:$B$25,'Sample Size cal and results'!$I$24:$I$25)</f>
        <v>1.9037157059465575</v>
      </c>
      <c r="N351" s="214">
        <f t="shared" si="70"/>
        <v>11.526922205726423</v>
      </c>
      <c r="O351" s="225" t="str">
        <f t="shared" si="71"/>
        <v>7-8 years</v>
      </c>
      <c r="P351" s="226">
        <f t="shared" si="72"/>
        <v>0.79178082191780819</v>
      </c>
      <c r="Q351" s="227">
        <f>$D351*P351*_xlfn.XLOOKUP($O351,'Sample Size cal and results'!$B$26:$B$27,'Sample Size cal and results'!$I$26:$I$27)</f>
        <v>7.2026722835575132</v>
      </c>
      <c r="R351" s="330"/>
    </row>
    <row r="352" spans="1:18" ht="12.75">
      <c r="A352" s="99" t="s">
        <v>148</v>
      </c>
      <c r="B352" s="100">
        <v>41988</v>
      </c>
      <c r="C352" s="100">
        <f t="shared" si="62"/>
        <v>44544</v>
      </c>
      <c r="D352" s="209">
        <v>4</v>
      </c>
      <c r="E352" s="217">
        <f t="shared" si="63"/>
        <v>5.2</v>
      </c>
      <c r="F352" s="218">
        <f t="shared" si="64"/>
        <v>6.2</v>
      </c>
      <c r="G352" s="219">
        <f t="shared" si="65"/>
        <v>6.2</v>
      </c>
      <c r="H352" s="220">
        <f t="shared" si="66"/>
        <v>7.2</v>
      </c>
      <c r="I352" s="257" t="str">
        <f t="shared" si="67"/>
        <v>6-7 years</v>
      </c>
      <c r="J352" s="211">
        <f t="shared" si="68"/>
        <v>0.83835616438356164</v>
      </c>
      <c r="K352" s="258">
        <f>$D352*J352*_xlfn.XLOOKUP($I352,'Sample Size cal and results'!$B$24:$B$25,'Sample Size cal and results'!$H$24:$H$25)</f>
        <v>2.7494875713656759</v>
      </c>
      <c r="L352" s="211">
        <f t="shared" si="69"/>
        <v>0.16164383561643836</v>
      </c>
      <c r="M352" s="211">
        <f>$D352*L352*_xlfn.XLOOKUP($I352,'Sample Size cal and results'!$B$24:$B$25,'Sample Size cal and results'!$I$24:$I$25)</f>
        <v>0.54391877312758796</v>
      </c>
      <c r="N352" s="214">
        <f t="shared" si="70"/>
        <v>3.2934063444932637</v>
      </c>
      <c r="O352" s="225" t="str">
        <f t="shared" si="71"/>
        <v>7-8 years</v>
      </c>
      <c r="P352" s="226">
        <f t="shared" si="72"/>
        <v>0.79178082191780819</v>
      </c>
      <c r="Q352" s="227">
        <f>$D352*P352*_xlfn.XLOOKUP($O352,'Sample Size cal and results'!$B$26:$B$27,'Sample Size cal and results'!$I$26:$I$27)</f>
        <v>2.0579063667307178</v>
      </c>
      <c r="R352" s="330"/>
    </row>
    <row r="353" spans="1:18" ht="12.75">
      <c r="A353" s="99" t="s">
        <v>55</v>
      </c>
      <c r="B353" s="100">
        <v>41987</v>
      </c>
      <c r="C353" s="100">
        <f t="shared" si="62"/>
        <v>44543</v>
      </c>
      <c r="D353" s="209">
        <v>253</v>
      </c>
      <c r="E353" s="217">
        <f t="shared" si="63"/>
        <v>5.21</v>
      </c>
      <c r="F353" s="218">
        <f t="shared" si="64"/>
        <v>6.2</v>
      </c>
      <c r="G353" s="219">
        <f t="shared" si="65"/>
        <v>6.21</v>
      </c>
      <c r="H353" s="220">
        <f t="shared" si="66"/>
        <v>7.2</v>
      </c>
      <c r="I353" s="257" t="str">
        <f t="shared" si="67"/>
        <v>6-7 years</v>
      </c>
      <c r="J353" s="211">
        <f t="shared" si="68"/>
        <v>0.83835616438356164</v>
      </c>
      <c r="K353" s="258">
        <f>$D353*J353*_xlfn.XLOOKUP($I353,'Sample Size cal and results'!$B$24:$B$25,'Sample Size cal and results'!$H$24:$H$25)</f>
        <v>173.90508888887899</v>
      </c>
      <c r="L353" s="211">
        <f t="shared" si="69"/>
        <v>0.16164383561643836</v>
      </c>
      <c r="M353" s="211">
        <f>$D353*L353*_xlfn.XLOOKUP($I353,'Sample Size cal and results'!$B$24:$B$25,'Sample Size cal and results'!$I$24:$I$25)</f>
        <v>34.402862400319933</v>
      </c>
      <c r="N353" s="214">
        <f t="shared" si="70"/>
        <v>208.30795128919891</v>
      </c>
      <c r="O353" s="225" t="str">
        <f t="shared" si="71"/>
        <v>7-8 years</v>
      </c>
      <c r="P353" s="226">
        <f t="shared" si="72"/>
        <v>0.78904109589041094</v>
      </c>
      <c r="Q353" s="227">
        <f>$D353*P353*_xlfn.XLOOKUP($O353,'Sample Size cal and results'!$B$26:$B$27,'Sample Size cal and results'!$I$26:$I$27)</f>
        <v>129.71218815351818</v>
      </c>
      <c r="R353" s="330"/>
    </row>
    <row r="354" spans="1:18" ht="12.75">
      <c r="A354" s="99" t="s">
        <v>148</v>
      </c>
      <c r="B354" s="100">
        <v>41987</v>
      </c>
      <c r="C354" s="100">
        <f t="shared" si="62"/>
        <v>44543</v>
      </c>
      <c r="D354" s="209">
        <v>1</v>
      </c>
      <c r="E354" s="217">
        <f t="shared" si="63"/>
        <v>5.21</v>
      </c>
      <c r="F354" s="218">
        <f t="shared" si="64"/>
        <v>6.2</v>
      </c>
      <c r="G354" s="219">
        <f t="shared" si="65"/>
        <v>6.21</v>
      </c>
      <c r="H354" s="220">
        <f t="shared" si="66"/>
        <v>7.2</v>
      </c>
      <c r="I354" s="257" t="str">
        <f t="shared" si="67"/>
        <v>6-7 years</v>
      </c>
      <c r="J354" s="211">
        <f t="shared" si="68"/>
        <v>0.83835616438356164</v>
      </c>
      <c r="K354" s="258">
        <f>$D354*J354*_xlfn.XLOOKUP($I354,'Sample Size cal and results'!$B$24:$B$25,'Sample Size cal and results'!$H$24:$H$25)</f>
        <v>0.68737189284141897</v>
      </c>
      <c r="L354" s="211">
        <f t="shared" si="69"/>
        <v>0.16164383561643836</v>
      </c>
      <c r="M354" s="211">
        <f>$D354*L354*_xlfn.XLOOKUP($I354,'Sample Size cal and results'!$B$24:$B$25,'Sample Size cal and results'!$I$24:$I$25)</f>
        <v>0.13597969328189699</v>
      </c>
      <c r="N354" s="214">
        <f t="shared" si="70"/>
        <v>0.82335158612331594</v>
      </c>
      <c r="O354" s="225" t="str">
        <f t="shared" si="71"/>
        <v>7-8 years</v>
      </c>
      <c r="P354" s="226">
        <f t="shared" si="72"/>
        <v>0.78904109589041094</v>
      </c>
      <c r="Q354" s="227">
        <f>$D354*P354*_xlfn.XLOOKUP($O354,'Sample Size cal and results'!$B$26:$B$27,'Sample Size cal and results'!$I$26:$I$27)</f>
        <v>0.5126963958637083</v>
      </c>
      <c r="R354" s="330"/>
    </row>
    <row r="355" spans="1:18" ht="12.75">
      <c r="A355" s="99" t="s">
        <v>55</v>
      </c>
      <c r="B355" s="100">
        <v>41986</v>
      </c>
      <c r="C355" s="100">
        <f t="shared" si="62"/>
        <v>44542</v>
      </c>
      <c r="D355" s="209">
        <v>227</v>
      </c>
      <c r="E355" s="217">
        <f t="shared" si="63"/>
        <v>5.21</v>
      </c>
      <c r="F355" s="218">
        <f t="shared" si="64"/>
        <v>6.21</v>
      </c>
      <c r="G355" s="219">
        <f t="shared" si="65"/>
        <v>6.21</v>
      </c>
      <c r="H355" s="220">
        <f t="shared" si="66"/>
        <v>7.21</v>
      </c>
      <c r="I355" s="257" t="str">
        <f t="shared" si="67"/>
        <v>6-7 years</v>
      </c>
      <c r="J355" s="211">
        <f t="shared" si="68"/>
        <v>0.83835616438356164</v>
      </c>
      <c r="K355" s="258">
        <f>$D355*J355*_xlfn.XLOOKUP($I355,'Sample Size cal and results'!$B$24:$B$25,'Sample Size cal and results'!$H$24:$H$25)</f>
        <v>156.03341967500211</v>
      </c>
      <c r="L355" s="211">
        <f t="shared" si="69"/>
        <v>0.16164383561643836</v>
      </c>
      <c r="M355" s="211">
        <f>$D355*L355*_xlfn.XLOOKUP($I355,'Sample Size cal and results'!$B$24:$B$25,'Sample Size cal and results'!$I$24:$I$25)</f>
        <v>30.867390374990617</v>
      </c>
      <c r="N355" s="214">
        <f t="shared" si="70"/>
        <v>186.90081004999271</v>
      </c>
      <c r="O355" s="225" t="str">
        <f t="shared" si="71"/>
        <v>7-8 years</v>
      </c>
      <c r="P355" s="226">
        <f t="shared" si="72"/>
        <v>0.78630136986301369</v>
      </c>
      <c r="Q355" s="227">
        <f>$D355*P355*_xlfn.XLOOKUP($O355,'Sample Size cal and results'!$B$26:$B$27,'Sample Size cal and results'!$I$26:$I$27)</f>
        <v>115.97797741015532</v>
      </c>
      <c r="R355" s="330"/>
    </row>
    <row r="356" spans="1:18" ht="12.75">
      <c r="A356" s="99" t="s">
        <v>55</v>
      </c>
      <c r="B356" s="100">
        <v>41985</v>
      </c>
      <c r="C356" s="100">
        <f t="shared" si="62"/>
        <v>44541</v>
      </c>
      <c r="D356" s="209">
        <v>286</v>
      </c>
      <c r="E356" s="217">
        <f t="shared" si="63"/>
        <v>5.21</v>
      </c>
      <c r="F356" s="218">
        <f t="shared" si="64"/>
        <v>6.21</v>
      </c>
      <c r="G356" s="219">
        <f t="shared" si="65"/>
        <v>6.21</v>
      </c>
      <c r="H356" s="220">
        <f t="shared" si="66"/>
        <v>7.21</v>
      </c>
      <c r="I356" s="257" t="str">
        <f t="shared" si="67"/>
        <v>6-7 years</v>
      </c>
      <c r="J356" s="211">
        <f t="shared" si="68"/>
        <v>0.83835616438356164</v>
      </c>
      <c r="K356" s="258">
        <f>$D356*J356*_xlfn.XLOOKUP($I356,'Sample Size cal and results'!$B$24:$B$25,'Sample Size cal and results'!$H$24:$H$25)</f>
        <v>196.58836135264582</v>
      </c>
      <c r="L356" s="211">
        <f t="shared" si="69"/>
        <v>0.16164383561643836</v>
      </c>
      <c r="M356" s="211">
        <f>$D356*L356*_xlfn.XLOOKUP($I356,'Sample Size cal and results'!$B$24:$B$25,'Sample Size cal and results'!$I$24:$I$25)</f>
        <v>38.890192278622536</v>
      </c>
      <c r="N356" s="214">
        <f t="shared" si="70"/>
        <v>235.47855363126837</v>
      </c>
      <c r="O356" s="225" t="str">
        <f t="shared" si="71"/>
        <v>7-8 years</v>
      </c>
      <c r="P356" s="226">
        <f t="shared" si="72"/>
        <v>0.78356164383561644</v>
      </c>
      <c r="Q356" s="227">
        <f>$D356*P356*_xlfn.XLOOKUP($O356,'Sample Size cal and results'!$B$26:$B$27,'Sample Size cal and results'!$I$26:$I$27)</f>
        <v>145.61289720856905</v>
      </c>
      <c r="R356" s="330"/>
    </row>
    <row r="357" spans="1:18" ht="12.75">
      <c r="A357" s="99" t="s">
        <v>55</v>
      </c>
      <c r="B357" s="100">
        <v>41984</v>
      </c>
      <c r="C357" s="100">
        <f t="shared" si="62"/>
        <v>44540</v>
      </c>
      <c r="D357" s="209">
        <v>205</v>
      </c>
      <c r="E357" s="217">
        <f t="shared" si="63"/>
        <v>5.22</v>
      </c>
      <c r="F357" s="218">
        <f t="shared" si="64"/>
        <v>6.21</v>
      </c>
      <c r="G357" s="219">
        <f t="shared" si="65"/>
        <v>6.22</v>
      </c>
      <c r="H357" s="220">
        <f t="shared" si="66"/>
        <v>7.21</v>
      </c>
      <c r="I357" s="257" t="str">
        <f t="shared" si="67"/>
        <v>6-7 years</v>
      </c>
      <c r="J357" s="211">
        <f t="shared" si="68"/>
        <v>0.83835616438356164</v>
      </c>
      <c r="K357" s="258">
        <f>$D357*J357*_xlfn.XLOOKUP($I357,'Sample Size cal and results'!$B$24:$B$25,'Sample Size cal and results'!$H$24:$H$25)</f>
        <v>140.9112380324909</v>
      </c>
      <c r="L357" s="211">
        <f t="shared" si="69"/>
        <v>0.16164383561643836</v>
      </c>
      <c r="M357" s="211">
        <f>$D357*L357*_xlfn.XLOOKUP($I357,'Sample Size cal and results'!$B$24:$B$25,'Sample Size cal and results'!$I$24:$I$25)</f>
        <v>27.875837122788884</v>
      </c>
      <c r="N357" s="214">
        <f t="shared" si="70"/>
        <v>168.78707515527978</v>
      </c>
      <c r="O357" s="225" t="str">
        <f t="shared" si="71"/>
        <v>7-8 years</v>
      </c>
      <c r="P357" s="226">
        <f t="shared" si="72"/>
        <v>0.78082191780821919</v>
      </c>
      <c r="Q357" s="227">
        <f>$D357*P357*_xlfn.XLOOKUP($O357,'Sample Size cal and results'!$B$26:$B$27,'Sample Size cal and results'!$I$26:$I$27)</f>
        <v>104.00794072339291</v>
      </c>
      <c r="R357" s="330"/>
    </row>
    <row r="358" spans="1:18" ht="12.75">
      <c r="A358" s="99" t="s">
        <v>55</v>
      </c>
      <c r="B358" s="100">
        <v>41983</v>
      </c>
      <c r="C358" s="100">
        <f t="shared" si="62"/>
        <v>44539</v>
      </c>
      <c r="D358" s="209">
        <v>254</v>
      </c>
      <c r="E358" s="217">
        <f t="shared" si="63"/>
        <v>5.22</v>
      </c>
      <c r="F358" s="218">
        <f t="shared" si="64"/>
        <v>6.22</v>
      </c>
      <c r="G358" s="219">
        <f t="shared" si="65"/>
        <v>6.22</v>
      </c>
      <c r="H358" s="220">
        <f t="shared" si="66"/>
        <v>7.22</v>
      </c>
      <c r="I358" s="257" t="str">
        <f t="shared" si="67"/>
        <v>6-7 years</v>
      </c>
      <c r="J358" s="211">
        <f t="shared" si="68"/>
        <v>0.83835616438356164</v>
      </c>
      <c r="K358" s="258">
        <f>$D358*J358*_xlfn.XLOOKUP($I358,'Sample Size cal and results'!$B$24:$B$25,'Sample Size cal and results'!$H$24:$H$25)</f>
        <v>174.59246078172043</v>
      </c>
      <c r="L358" s="211">
        <f t="shared" si="69"/>
        <v>0.16164383561643836</v>
      </c>
      <c r="M358" s="211">
        <f>$D358*L358*_xlfn.XLOOKUP($I358,'Sample Size cal and results'!$B$24:$B$25,'Sample Size cal and results'!$I$24:$I$25)</f>
        <v>34.538842093601836</v>
      </c>
      <c r="N358" s="214">
        <f t="shared" si="70"/>
        <v>209.13130287532226</v>
      </c>
      <c r="O358" s="225" t="str">
        <f t="shared" si="71"/>
        <v>7-8 years</v>
      </c>
      <c r="P358" s="226">
        <f t="shared" si="72"/>
        <v>0.77808219178082194</v>
      </c>
      <c r="Q358" s="227">
        <f>$D358*P358*_xlfn.XLOOKUP($O358,'Sample Size cal and results'!$B$26:$B$27,'Sample Size cal and results'!$I$26:$I$27)</f>
        <v>128.41620559730717</v>
      </c>
      <c r="R358" s="330"/>
    </row>
    <row r="359" spans="1:18" ht="12.75">
      <c r="A359" s="99" t="s">
        <v>148</v>
      </c>
      <c r="B359" s="100">
        <v>41983</v>
      </c>
      <c r="C359" s="100">
        <f t="shared" si="62"/>
        <v>44539</v>
      </c>
      <c r="D359" s="209">
        <v>7</v>
      </c>
      <c r="E359" s="217">
        <f t="shared" si="63"/>
        <v>5.22</v>
      </c>
      <c r="F359" s="218">
        <f t="shared" si="64"/>
        <v>6.22</v>
      </c>
      <c r="G359" s="219">
        <f t="shared" si="65"/>
        <v>6.22</v>
      </c>
      <c r="H359" s="220">
        <f t="shared" si="66"/>
        <v>7.22</v>
      </c>
      <c r="I359" s="257" t="str">
        <f t="shared" si="67"/>
        <v>6-7 years</v>
      </c>
      <c r="J359" s="211">
        <f t="shared" si="68"/>
        <v>0.83835616438356164</v>
      </c>
      <c r="K359" s="258">
        <f>$D359*J359*_xlfn.XLOOKUP($I359,'Sample Size cal and results'!$B$24:$B$25,'Sample Size cal and results'!$H$24:$H$25)</f>
        <v>4.8116032498899326</v>
      </c>
      <c r="L359" s="211">
        <f t="shared" si="69"/>
        <v>0.16164383561643836</v>
      </c>
      <c r="M359" s="211">
        <f>$D359*L359*_xlfn.XLOOKUP($I359,'Sample Size cal and results'!$B$24:$B$25,'Sample Size cal and results'!$I$24:$I$25)</f>
        <v>0.95185785297327874</v>
      </c>
      <c r="N359" s="214">
        <f t="shared" si="70"/>
        <v>5.7634611028632117</v>
      </c>
      <c r="O359" s="225" t="str">
        <f t="shared" si="71"/>
        <v>7-8 years</v>
      </c>
      <c r="P359" s="226">
        <f t="shared" si="72"/>
        <v>0.77808219178082194</v>
      </c>
      <c r="Q359" s="227">
        <f>$D359*P359*_xlfn.XLOOKUP($O359,'Sample Size cal and results'!$B$26:$B$27,'Sample Size cal and results'!$I$26:$I$27)</f>
        <v>3.5390292881147642</v>
      </c>
      <c r="R359" s="330"/>
    </row>
    <row r="360" spans="1:18" ht="12.75">
      <c r="A360" s="99" t="s">
        <v>55</v>
      </c>
      <c r="B360" s="100">
        <v>41982</v>
      </c>
      <c r="C360" s="100">
        <f t="shared" si="62"/>
        <v>44538</v>
      </c>
      <c r="D360" s="209">
        <v>186</v>
      </c>
      <c r="E360" s="217">
        <f t="shared" si="63"/>
        <v>5.22</v>
      </c>
      <c r="F360" s="218">
        <f t="shared" si="64"/>
        <v>6.22</v>
      </c>
      <c r="G360" s="219">
        <f t="shared" si="65"/>
        <v>6.22</v>
      </c>
      <c r="H360" s="220">
        <f t="shared" si="66"/>
        <v>7.22</v>
      </c>
      <c r="I360" s="257" t="str">
        <f t="shared" si="67"/>
        <v>6-7 years</v>
      </c>
      <c r="J360" s="211">
        <f t="shared" si="68"/>
        <v>0.83835616438356164</v>
      </c>
      <c r="K360" s="258">
        <f>$D360*J360*_xlfn.XLOOKUP($I360,'Sample Size cal and results'!$B$24:$B$25,'Sample Size cal and results'!$H$24:$H$25)</f>
        <v>127.85117206850391</v>
      </c>
      <c r="L360" s="211">
        <f t="shared" si="69"/>
        <v>0.16164383561643836</v>
      </c>
      <c r="M360" s="211">
        <f>$D360*L360*_xlfn.XLOOKUP($I360,'Sample Size cal and results'!$B$24:$B$25,'Sample Size cal and results'!$I$24:$I$25)</f>
        <v>25.292222950432837</v>
      </c>
      <c r="N360" s="214">
        <f t="shared" si="70"/>
        <v>153.14339501893676</v>
      </c>
      <c r="O360" s="225" t="str">
        <f t="shared" si="71"/>
        <v>7-8 years</v>
      </c>
      <c r="P360" s="226">
        <f t="shared" si="72"/>
        <v>0.77534246575342469</v>
      </c>
      <c r="Q360" s="227">
        <f>$D360*P360*_xlfn.XLOOKUP($O360,'Sample Size cal and results'!$B$26:$B$27,'Sample Size cal and results'!$I$26:$I$27)</f>
        <v>93.705947519006529</v>
      </c>
      <c r="R360" s="330"/>
    </row>
    <row r="361" spans="1:18" ht="12.75">
      <c r="A361" s="99" t="s">
        <v>148</v>
      </c>
      <c r="B361" s="100">
        <v>41982</v>
      </c>
      <c r="C361" s="100">
        <f t="shared" si="62"/>
        <v>44538</v>
      </c>
      <c r="D361" s="209">
        <v>2</v>
      </c>
      <c r="E361" s="217">
        <f t="shared" si="63"/>
        <v>5.22</v>
      </c>
      <c r="F361" s="218">
        <f t="shared" si="64"/>
        <v>6.22</v>
      </c>
      <c r="G361" s="219">
        <f t="shared" si="65"/>
        <v>6.22</v>
      </c>
      <c r="H361" s="220">
        <f t="shared" si="66"/>
        <v>7.22</v>
      </c>
      <c r="I361" s="257" t="str">
        <f t="shared" si="67"/>
        <v>6-7 years</v>
      </c>
      <c r="J361" s="211">
        <f t="shared" si="68"/>
        <v>0.83835616438356164</v>
      </c>
      <c r="K361" s="258">
        <f>$D361*J361*_xlfn.XLOOKUP($I361,'Sample Size cal and results'!$B$24:$B$25,'Sample Size cal and results'!$H$24:$H$25)</f>
        <v>1.3747437856828379</v>
      </c>
      <c r="L361" s="211">
        <f t="shared" si="69"/>
        <v>0.16164383561643836</v>
      </c>
      <c r="M361" s="211">
        <f>$D361*L361*_xlfn.XLOOKUP($I361,'Sample Size cal and results'!$B$24:$B$25,'Sample Size cal and results'!$I$24:$I$25)</f>
        <v>0.27195938656379398</v>
      </c>
      <c r="N361" s="214">
        <f t="shared" si="70"/>
        <v>1.6467031722466319</v>
      </c>
      <c r="O361" s="225" t="str">
        <f t="shared" si="71"/>
        <v>7-8 years</v>
      </c>
      <c r="P361" s="226">
        <f t="shared" si="72"/>
        <v>0.77534246575342469</v>
      </c>
      <c r="Q361" s="227">
        <f>$D361*P361*_xlfn.XLOOKUP($O361,'Sample Size cal and results'!$B$26:$B$27,'Sample Size cal and results'!$I$26:$I$27)</f>
        <v>1.0075908335377046</v>
      </c>
      <c r="R361" s="330"/>
    </row>
    <row r="362" spans="1:18" ht="12.75">
      <c r="A362" s="99" t="s">
        <v>55</v>
      </c>
      <c r="B362" s="100">
        <v>41981</v>
      </c>
      <c r="C362" s="100">
        <f t="shared" si="62"/>
        <v>44537</v>
      </c>
      <c r="D362" s="209">
        <v>341</v>
      </c>
      <c r="E362" s="217">
        <f t="shared" si="63"/>
        <v>5.22</v>
      </c>
      <c r="F362" s="218">
        <f t="shared" si="64"/>
        <v>6.22</v>
      </c>
      <c r="G362" s="219">
        <f t="shared" si="65"/>
        <v>6.22</v>
      </c>
      <c r="H362" s="220">
        <f t="shared" si="66"/>
        <v>7.22</v>
      </c>
      <c r="I362" s="257" t="str">
        <f t="shared" si="67"/>
        <v>6-7 years</v>
      </c>
      <c r="J362" s="211">
        <f t="shared" si="68"/>
        <v>0.83835616438356164</v>
      </c>
      <c r="K362" s="258">
        <f>$D362*J362*_xlfn.XLOOKUP($I362,'Sample Size cal and results'!$B$24:$B$25,'Sample Size cal and results'!$H$24:$H$25)</f>
        <v>234.39381545892385</v>
      </c>
      <c r="L362" s="211">
        <f t="shared" si="69"/>
        <v>0.16164383561643836</v>
      </c>
      <c r="M362" s="211">
        <f>$D362*L362*_xlfn.XLOOKUP($I362,'Sample Size cal and results'!$B$24:$B$25,'Sample Size cal and results'!$I$24:$I$25)</f>
        <v>46.369075409126872</v>
      </c>
      <c r="N362" s="214">
        <f t="shared" si="70"/>
        <v>280.7628908680507</v>
      </c>
      <c r="O362" s="225" t="str">
        <f t="shared" si="71"/>
        <v>7-8 years</v>
      </c>
      <c r="P362" s="226">
        <f t="shared" si="72"/>
        <v>0.77260273972602744</v>
      </c>
      <c r="Q362" s="227">
        <f>$D362*P362*_xlfn.XLOOKUP($O362,'Sample Size cal and results'!$B$26:$B$27,'Sample Size cal and results'!$I$26:$I$27)</f>
        <v>171.18719034390944</v>
      </c>
      <c r="R362" s="330"/>
    </row>
    <row r="363" spans="1:18" ht="12.75">
      <c r="A363" s="99" t="s">
        <v>148</v>
      </c>
      <c r="B363" s="100">
        <v>41981</v>
      </c>
      <c r="C363" s="100">
        <f t="shared" si="62"/>
        <v>44537</v>
      </c>
      <c r="D363" s="209">
        <v>1</v>
      </c>
      <c r="E363" s="217">
        <f t="shared" si="63"/>
        <v>5.22</v>
      </c>
      <c r="F363" s="218">
        <f t="shared" si="64"/>
        <v>6.22</v>
      </c>
      <c r="G363" s="219">
        <f t="shared" si="65"/>
        <v>6.22</v>
      </c>
      <c r="H363" s="220">
        <f t="shared" si="66"/>
        <v>7.22</v>
      </c>
      <c r="I363" s="257" t="str">
        <f t="shared" si="67"/>
        <v>6-7 years</v>
      </c>
      <c r="J363" s="211">
        <f t="shared" si="68"/>
        <v>0.83835616438356164</v>
      </c>
      <c r="K363" s="258">
        <f>$D363*J363*_xlfn.XLOOKUP($I363,'Sample Size cal and results'!$B$24:$B$25,'Sample Size cal and results'!$H$24:$H$25)</f>
        <v>0.68737189284141897</v>
      </c>
      <c r="L363" s="211">
        <f t="shared" si="69"/>
        <v>0.16164383561643836</v>
      </c>
      <c r="M363" s="211">
        <f>$D363*L363*_xlfn.XLOOKUP($I363,'Sample Size cal and results'!$B$24:$B$25,'Sample Size cal and results'!$I$24:$I$25)</f>
        <v>0.13597969328189699</v>
      </c>
      <c r="N363" s="214">
        <f t="shared" si="70"/>
        <v>0.82335158612331594</v>
      </c>
      <c r="O363" s="225" t="str">
        <f t="shared" si="71"/>
        <v>7-8 years</v>
      </c>
      <c r="P363" s="226">
        <f t="shared" si="72"/>
        <v>0.77260273972602744</v>
      </c>
      <c r="Q363" s="227">
        <f>$D363*P363*_xlfn.XLOOKUP($O363,'Sample Size cal and results'!$B$26:$B$27,'Sample Size cal and results'!$I$26:$I$27)</f>
        <v>0.50201522094988105</v>
      </c>
      <c r="R363" s="330"/>
    </row>
    <row r="364" spans="1:18" ht="12.75">
      <c r="A364" s="99" t="s">
        <v>55</v>
      </c>
      <c r="B364" s="100">
        <v>41980</v>
      </c>
      <c r="C364" s="100">
        <f t="shared" si="62"/>
        <v>44536</v>
      </c>
      <c r="D364" s="209">
        <v>206</v>
      </c>
      <c r="E364" s="217">
        <f t="shared" si="63"/>
        <v>5.23</v>
      </c>
      <c r="F364" s="218">
        <f t="shared" si="64"/>
        <v>6.22</v>
      </c>
      <c r="G364" s="219">
        <f t="shared" si="65"/>
        <v>6.23</v>
      </c>
      <c r="H364" s="220">
        <f t="shared" si="66"/>
        <v>7.22</v>
      </c>
      <c r="I364" s="257" t="str">
        <f t="shared" si="67"/>
        <v>6-7 years</v>
      </c>
      <c r="J364" s="211">
        <f t="shared" si="68"/>
        <v>0.83835616438356164</v>
      </c>
      <c r="K364" s="258">
        <f>$D364*J364*_xlfn.XLOOKUP($I364,'Sample Size cal and results'!$B$24:$B$25,'Sample Size cal and results'!$H$24:$H$25)</f>
        <v>141.59860992533231</v>
      </c>
      <c r="L364" s="211">
        <f t="shared" si="69"/>
        <v>0.16164383561643836</v>
      </c>
      <c r="M364" s="211">
        <f>$D364*L364*_xlfn.XLOOKUP($I364,'Sample Size cal and results'!$B$24:$B$25,'Sample Size cal and results'!$I$24:$I$25)</f>
        <v>28.01181681607078</v>
      </c>
      <c r="N364" s="214">
        <f t="shared" si="70"/>
        <v>169.6104267414031</v>
      </c>
      <c r="O364" s="225" t="str">
        <f t="shared" si="71"/>
        <v>7-8 years</v>
      </c>
      <c r="P364" s="226">
        <f t="shared" si="72"/>
        <v>0.76986301369863008</v>
      </c>
      <c r="Q364" s="227">
        <f>$D364*P364*_xlfn.XLOOKUP($O364,'Sample Size cal and results'!$B$26:$B$27,'Sample Size cal and results'!$I$26:$I$27)</f>
        <v>103.04841517696742</v>
      </c>
      <c r="R364" s="330"/>
    </row>
    <row r="365" spans="1:18" ht="12.75">
      <c r="A365" s="99" t="s">
        <v>148</v>
      </c>
      <c r="B365" s="100">
        <v>41980</v>
      </c>
      <c r="C365" s="100">
        <f t="shared" si="62"/>
        <v>44536</v>
      </c>
      <c r="D365" s="209">
        <v>4</v>
      </c>
      <c r="E365" s="217">
        <f t="shared" si="63"/>
        <v>5.23</v>
      </c>
      <c r="F365" s="218">
        <f t="shared" si="64"/>
        <v>6.22</v>
      </c>
      <c r="G365" s="219">
        <f t="shared" si="65"/>
        <v>6.23</v>
      </c>
      <c r="H365" s="220">
        <f t="shared" si="66"/>
        <v>7.22</v>
      </c>
      <c r="I365" s="257" t="str">
        <f t="shared" si="67"/>
        <v>6-7 years</v>
      </c>
      <c r="J365" s="211">
        <f t="shared" si="68"/>
        <v>0.83835616438356164</v>
      </c>
      <c r="K365" s="258">
        <f>$D365*J365*_xlfn.XLOOKUP($I365,'Sample Size cal and results'!$B$24:$B$25,'Sample Size cal and results'!$H$24:$H$25)</f>
        <v>2.7494875713656759</v>
      </c>
      <c r="L365" s="211">
        <f t="shared" si="69"/>
        <v>0.16164383561643836</v>
      </c>
      <c r="M365" s="211">
        <f>$D365*L365*_xlfn.XLOOKUP($I365,'Sample Size cal and results'!$B$24:$B$25,'Sample Size cal and results'!$I$24:$I$25)</f>
        <v>0.54391877312758796</v>
      </c>
      <c r="N365" s="214">
        <f t="shared" si="70"/>
        <v>3.2934063444932637</v>
      </c>
      <c r="O365" s="225" t="str">
        <f t="shared" si="71"/>
        <v>7-8 years</v>
      </c>
      <c r="P365" s="226">
        <f t="shared" si="72"/>
        <v>0.76986301369863008</v>
      </c>
      <c r="Q365" s="227">
        <f>$D365*P365*_xlfn.XLOOKUP($O365,'Sample Size cal and results'!$B$26:$B$27,'Sample Size cal and results'!$I$26:$I$27)</f>
        <v>2.0009401005236391</v>
      </c>
      <c r="R365" s="330"/>
    </row>
    <row r="366" spans="1:18" ht="12.75">
      <c r="A366" s="99" t="s">
        <v>55</v>
      </c>
      <c r="B366" s="100">
        <v>41979</v>
      </c>
      <c r="C366" s="100">
        <f t="shared" si="62"/>
        <v>44535</v>
      </c>
      <c r="D366" s="209">
        <v>160</v>
      </c>
      <c r="E366" s="217">
        <f t="shared" si="63"/>
        <v>5.23</v>
      </c>
      <c r="F366" s="218">
        <f t="shared" si="64"/>
        <v>6.23</v>
      </c>
      <c r="G366" s="219">
        <f t="shared" si="65"/>
        <v>6.23</v>
      </c>
      <c r="H366" s="220">
        <f t="shared" si="66"/>
        <v>7.23</v>
      </c>
      <c r="I366" s="257" t="str">
        <f t="shared" si="67"/>
        <v>6-7 years</v>
      </c>
      <c r="J366" s="211">
        <f t="shared" si="68"/>
        <v>0.83835616438356164</v>
      </c>
      <c r="K366" s="258">
        <f>$D366*J366*_xlfn.XLOOKUP($I366,'Sample Size cal and results'!$B$24:$B$25,'Sample Size cal and results'!$H$24:$H$25)</f>
        <v>109.97950285462703</v>
      </c>
      <c r="L366" s="211">
        <f t="shared" si="69"/>
        <v>0.16164383561643836</v>
      </c>
      <c r="M366" s="211">
        <f>$D366*L366*_xlfn.XLOOKUP($I366,'Sample Size cal and results'!$B$24:$B$25,'Sample Size cal and results'!$I$24:$I$25)</f>
        <v>21.756750925103518</v>
      </c>
      <c r="N366" s="214">
        <f t="shared" si="70"/>
        <v>131.73625377973053</v>
      </c>
      <c r="O366" s="225" t="str">
        <f t="shared" si="71"/>
        <v>7-8 years</v>
      </c>
      <c r="P366" s="226">
        <f t="shared" si="72"/>
        <v>0.76712328767123283</v>
      </c>
      <c r="Q366" s="227">
        <f>$D366*P366*_xlfn.XLOOKUP($O366,'Sample Size cal and results'!$B$26:$B$27,'Sample Size cal and results'!$I$26:$I$27)</f>
        <v>79.752772689910174</v>
      </c>
      <c r="R366" s="330"/>
    </row>
    <row r="367" spans="1:18" ht="12.75">
      <c r="A367" s="99" t="s">
        <v>148</v>
      </c>
      <c r="B367" s="100">
        <v>41979</v>
      </c>
      <c r="C367" s="100">
        <f t="shared" si="62"/>
        <v>44535</v>
      </c>
      <c r="D367" s="209">
        <v>1</v>
      </c>
      <c r="E367" s="217">
        <f t="shared" si="63"/>
        <v>5.23</v>
      </c>
      <c r="F367" s="218">
        <f t="shared" si="64"/>
        <v>6.23</v>
      </c>
      <c r="G367" s="219">
        <f t="shared" si="65"/>
        <v>6.23</v>
      </c>
      <c r="H367" s="220">
        <f t="shared" si="66"/>
        <v>7.23</v>
      </c>
      <c r="I367" s="257" t="str">
        <f t="shared" si="67"/>
        <v>6-7 years</v>
      </c>
      <c r="J367" s="211">
        <f t="shared" si="68"/>
        <v>0.83835616438356164</v>
      </c>
      <c r="K367" s="258">
        <f>$D367*J367*_xlfn.XLOOKUP($I367,'Sample Size cal and results'!$B$24:$B$25,'Sample Size cal and results'!$H$24:$H$25)</f>
        <v>0.68737189284141897</v>
      </c>
      <c r="L367" s="211">
        <f t="shared" si="69"/>
        <v>0.16164383561643836</v>
      </c>
      <c r="M367" s="211">
        <f>$D367*L367*_xlfn.XLOOKUP($I367,'Sample Size cal and results'!$B$24:$B$25,'Sample Size cal and results'!$I$24:$I$25)</f>
        <v>0.13597969328189699</v>
      </c>
      <c r="N367" s="214">
        <f t="shared" si="70"/>
        <v>0.82335158612331594</v>
      </c>
      <c r="O367" s="225" t="str">
        <f t="shared" si="71"/>
        <v>7-8 years</v>
      </c>
      <c r="P367" s="226">
        <f t="shared" si="72"/>
        <v>0.76712328767123283</v>
      </c>
      <c r="Q367" s="227">
        <f>$D367*P367*_xlfn.XLOOKUP($O367,'Sample Size cal and results'!$B$26:$B$27,'Sample Size cal and results'!$I$26:$I$27)</f>
        <v>0.49845482931193857</v>
      </c>
      <c r="R367" s="330"/>
    </row>
    <row r="368" spans="1:18" ht="12.75">
      <c r="A368" s="99" t="s">
        <v>55</v>
      </c>
      <c r="B368" s="100">
        <v>41978</v>
      </c>
      <c r="C368" s="100">
        <f t="shared" si="62"/>
        <v>44534</v>
      </c>
      <c r="D368" s="209">
        <v>183</v>
      </c>
      <c r="E368" s="217">
        <f t="shared" si="63"/>
        <v>5.23</v>
      </c>
      <c r="F368" s="218">
        <f t="shared" si="64"/>
        <v>6.23</v>
      </c>
      <c r="G368" s="219">
        <f t="shared" si="65"/>
        <v>6.23</v>
      </c>
      <c r="H368" s="220">
        <f t="shared" si="66"/>
        <v>7.23</v>
      </c>
      <c r="I368" s="257" t="str">
        <f t="shared" si="67"/>
        <v>6-7 years</v>
      </c>
      <c r="J368" s="211">
        <f t="shared" si="68"/>
        <v>0.83835616438356164</v>
      </c>
      <c r="K368" s="258">
        <f>$D368*J368*_xlfn.XLOOKUP($I368,'Sample Size cal and results'!$B$24:$B$25,'Sample Size cal and results'!$H$24:$H$25)</f>
        <v>125.78905638997968</v>
      </c>
      <c r="L368" s="211">
        <f t="shared" si="69"/>
        <v>0.16164383561643836</v>
      </c>
      <c r="M368" s="211">
        <f>$D368*L368*_xlfn.XLOOKUP($I368,'Sample Size cal and results'!$B$24:$B$25,'Sample Size cal and results'!$I$24:$I$25)</f>
        <v>24.884283870587147</v>
      </c>
      <c r="N368" s="214">
        <f t="shared" si="70"/>
        <v>150.67334026056682</v>
      </c>
      <c r="O368" s="225" t="str">
        <f t="shared" si="71"/>
        <v>7-8 years</v>
      </c>
      <c r="P368" s="226">
        <f t="shared" si="72"/>
        <v>0.76438356164383559</v>
      </c>
      <c r="Q368" s="227">
        <f>$D368*P368*_xlfn.XLOOKUP($O368,'Sample Size cal and results'!$B$26:$B$27,'Sample Size cal and results'!$I$26:$I$27)</f>
        <v>90.891457929213018</v>
      </c>
      <c r="R368" s="330"/>
    </row>
    <row r="369" spans="1:18" ht="12.75">
      <c r="A369" s="99" t="s">
        <v>148</v>
      </c>
      <c r="B369" s="100">
        <v>41978</v>
      </c>
      <c r="C369" s="100">
        <f t="shared" si="62"/>
        <v>44534</v>
      </c>
      <c r="D369" s="209">
        <v>5</v>
      </c>
      <c r="E369" s="217">
        <f t="shared" si="63"/>
        <v>5.23</v>
      </c>
      <c r="F369" s="218">
        <f t="shared" si="64"/>
        <v>6.23</v>
      </c>
      <c r="G369" s="219">
        <f t="shared" si="65"/>
        <v>6.23</v>
      </c>
      <c r="H369" s="220">
        <f t="shared" si="66"/>
        <v>7.23</v>
      </c>
      <c r="I369" s="257" t="str">
        <f t="shared" si="67"/>
        <v>6-7 years</v>
      </c>
      <c r="J369" s="211">
        <f t="shared" si="68"/>
        <v>0.83835616438356164</v>
      </c>
      <c r="K369" s="258">
        <f>$D369*J369*_xlfn.XLOOKUP($I369,'Sample Size cal and results'!$B$24:$B$25,'Sample Size cal and results'!$H$24:$H$25)</f>
        <v>3.4368594642070946</v>
      </c>
      <c r="L369" s="211">
        <f t="shared" si="69"/>
        <v>0.16164383561643836</v>
      </c>
      <c r="M369" s="211">
        <f>$D369*L369*_xlfn.XLOOKUP($I369,'Sample Size cal and results'!$B$24:$B$25,'Sample Size cal and results'!$I$24:$I$25)</f>
        <v>0.67989846640948493</v>
      </c>
      <c r="N369" s="214">
        <f t="shared" si="70"/>
        <v>4.1167579306165791</v>
      </c>
      <c r="O369" s="225" t="str">
        <f t="shared" si="71"/>
        <v>7-8 years</v>
      </c>
      <c r="P369" s="226">
        <f t="shared" si="72"/>
        <v>0.76438356164383559</v>
      </c>
      <c r="Q369" s="227">
        <f>$D369*P369*_xlfn.XLOOKUP($O369,'Sample Size cal and results'!$B$26:$B$27,'Sample Size cal and results'!$I$26:$I$27)</f>
        <v>2.4833731674648369</v>
      </c>
      <c r="R369" s="330"/>
    </row>
    <row r="370" spans="1:18" ht="12.75">
      <c r="A370" s="99" t="s">
        <v>55</v>
      </c>
      <c r="B370" s="100">
        <v>41977</v>
      </c>
      <c r="C370" s="100">
        <f t="shared" si="62"/>
        <v>44533</v>
      </c>
      <c r="D370" s="209">
        <v>84</v>
      </c>
      <c r="E370" s="217">
        <f t="shared" si="63"/>
        <v>5.23</v>
      </c>
      <c r="F370" s="218">
        <f t="shared" si="64"/>
        <v>6.23</v>
      </c>
      <c r="G370" s="219">
        <f t="shared" si="65"/>
        <v>6.23</v>
      </c>
      <c r="H370" s="220">
        <f t="shared" si="66"/>
        <v>7.23</v>
      </c>
      <c r="I370" s="257" t="str">
        <f t="shared" si="67"/>
        <v>6-7 years</v>
      </c>
      <c r="J370" s="211">
        <f t="shared" si="68"/>
        <v>0.83835616438356164</v>
      </c>
      <c r="K370" s="258">
        <f>$D370*J370*_xlfn.XLOOKUP($I370,'Sample Size cal and results'!$B$24:$B$25,'Sample Size cal and results'!$H$24:$H$25)</f>
        <v>57.739238998679191</v>
      </c>
      <c r="L370" s="211">
        <f t="shared" si="69"/>
        <v>0.16164383561643836</v>
      </c>
      <c r="M370" s="211">
        <f>$D370*L370*_xlfn.XLOOKUP($I370,'Sample Size cal and results'!$B$24:$B$25,'Sample Size cal and results'!$I$24:$I$25)</f>
        <v>11.422294235679347</v>
      </c>
      <c r="N370" s="214">
        <f t="shared" si="70"/>
        <v>69.161533234358544</v>
      </c>
      <c r="O370" s="225" t="str">
        <f t="shared" si="71"/>
        <v>7-8 years</v>
      </c>
      <c r="P370" s="226">
        <f t="shared" si="72"/>
        <v>0.76164383561643834</v>
      </c>
      <c r="Q370" s="227">
        <f>$D370*P370*_xlfn.XLOOKUP($O370,'Sample Size cal and results'!$B$26:$B$27,'Sample Size cal and results'!$I$26:$I$27)</f>
        <v>41.571132764615683</v>
      </c>
      <c r="R370" s="330"/>
    </row>
    <row r="371" spans="1:18" ht="12.75">
      <c r="A371" s="99" t="s">
        <v>54</v>
      </c>
      <c r="B371" s="100">
        <v>41977</v>
      </c>
      <c r="C371" s="100">
        <f t="shared" si="62"/>
        <v>44533</v>
      </c>
      <c r="D371" s="209">
        <v>53</v>
      </c>
      <c r="E371" s="217">
        <f t="shared" si="63"/>
        <v>5.23</v>
      </c>
      <c r="F371" s="218">
        <f t="shared" si="64"/>
        <v>6.23</v>
      </c>
      <c r="G371" s="219">
        <f t="shared" si="65"/>
        <v>6.23</v>
      </c>
      <c r="H371" s="220">
        <f t="shared" si="66"/>
        <v>7.23</v>
      </c>
      <c r="I371" s="257" t="str">
        <f t="shared" si="67"/>
        <v>6-7 years</v>
      </c>
      <c r="J371" s="211">
        <f t="shared" si="68"/>
        <v>0.83835616438356164</v>
      </c>
      <c r="K371" s="258">
        <f>$D371*J371*_xlfn.XLOOKUP($I371,'Sample Size cal and results'!$B$24:$B$25,'Sample Size cal and results'!$H$24:$H$25)</f>
        <v>36.430710320595203</v>
      </c>
      <c r="L371" s="211">
        <f t="shared" si="69"/>
        <v>0.16164383561643836</v>
      </c>
      <c r="M371" s="211">
        <f>$D371*L371*_xlfn.XLOOKUP($I371,'Sample Size cal and results'!$B$24:$B$25,'Sample Size cal and results'!$I$24:$I$25)</f>
        <v>7.20692374394054</v>
      </c>
      <c r="N371" s="214">
        <f t="shared" si="70"/>
        <v>43.637634064535746</v>
      </c>
      <c r="O371" s="225" t="str">
        <f t="shared" si="71"/>
        <v>7-8 years</v>
      </c>
      <c r="P371" s="226">
        <f t="shared" si="72"/>
        <v>0.76164383561643834</v>
      </c>
      <c r="Q371" s="227">
        <f>$D371*P371*_xlfn.XLOOKUP($O371,'Sample Size cal and results'!$B$26:$B$27,'Sample Size cal and results'!$I$26:$I$27)</f>
        <v>26.2294051967218</v>
      </c>
      <c r="R371" s="330"/>
    </row>
    <row r="372" spans="1:18" ht="12.75">
      <c r="A372" s="99" t="s">
        <v>148</v>
      </c>
      <c r="B372" s="100">
        <v>41977</v>
      </c>
      <c r="C372" s="100">
        <f t="shared" si="62"/>
        <v>44533</v>
      </c>
      <c r="D372" s="209">
        <v>1</v>
      </c>
      <c r="E372" s="217">
        <f t="shared" si="63"/>
        <v>5.23</v>
      </c>
      <c r="F372" s="218">
        <f t="shared" si="64"/>
        <v>6.23</v>
      </c>
      <c r="G372" s="219">
        <f t="shared" si="65"/>
        <v>6.23</v>
      </c>
      <c r="H372" s="220">
        <f t="shared" si="66"/>
        <v>7.23</v>
      </c>
      <c r="I372" s="257" t="str">
        <f t="shared" si="67"/>
        <v>6-7 years</v>
      </c>
      <c r="J372" s="211">
        <f t="shared" si="68"/>
        <v>0.83835616438356164</v>
      </c>
      <c r="K372" s="258">
        <f>$D372*J372*_xlfn.XLOOKUP($I372,'Sample Size cal and results'!$B$24:$B$25,'Sample Size cal and results'!$H$24:$H$25)</f>
        <v>0.68737189284141897</v>
      </c>
      <c r="L372" s="211">
        <f t="shared" si="69"/>
        <v>0.16164383561643836</v>
      </c>
      <c r="M372" s="211">
        <f>$D372*L372*_xlfn.XLOOKUP($I372,'Sample Size cal and results'!$B$24:$B$25,'Sample Size cal and results'!$I$24:$I$25)</f>
        <v>0.13597969328189699</v>
      </c>
      <c r="N372" s="214">
        <f t="shared" si="70"/>
        <v>0.82335158612331594</v>
      </c>
      <c r="O372" s="225" t="str">
        <f t="shared" si="71"/>
        <v>7-8 years</v>
      </c>
      <c r="P372" s="226">
        <f t="shared" si="72"/>
        <v>0.76164383561643834</v>
      </c>
      <c r="Q372" s="227">
        <f>$D372*P372*_xlfn.XLOOKUP($O372,'Sample Size cal and results'!$B$26:$B$27,'Sample Size cal and results'!$I$26:$I$27)</f>
        <v>0.49489443767399621</v>
      </c>
      <c r="R372" s="330"/>
    </row>
    <row r="373" spans="1:18" ht="12.75">
      <c r="A373" s="99" t="s">
        <v>54</v>
      </c>
      <c r="B373" s="100">
        <v>41976</v>
      </c>
      <c r="C373" s="100">
        <f t="shared" si="62"/>
        <v>44532</v>
      </c>
      <c r="D373" s="209">
        <v>132</v>
      </c>
      <c r="E373" s="217">
        <f t="shared" si="63"/>
        <v>5.24</v>
      </c>
      <c r="F373" s="218">
        <f t="shared" si="64"/>
        <v>6.23</v>
      </c>
      <c r="G373" s="219">
        <f t="shared" si="65"/>
        <v>6.24</v>
      </c>
      <c r="H373" s="220">
        <f t="shared" si="66"/>
        <v>7.23</v>
      </c>
      <c r="I373" s="257" t="str">
        <f t="shared" si="67"/>
        <v>6-7 years</v>
      </c>
      <c r="J373" s="211">
        <f t="shared" si="68"/>
        <v>0.83835616438356164</v>
      </c>
      <c r="K373" s="258">
        <f>$D373*J373*_xlfn.XLOOKUP($I373,'Sample Size cal and results'!$B$24:$B$25,'Sample Size cal and results'!$H$24:$H$25)</f>
        <v>90.733089855067306</v>
      </c>
      <c r="L373" s="211">
        <f t="shared" si="69"/>
        <v>0.16164383561643836</v>
      </c>
      <c r="M373" s="211">
        <f>$D373*L373*_xlfn.XLOOKUP($I373,'Sample Size cal and results'!$B$24:$B$25,'Sample Size cal and results'!$I$24:$I$25)</f>
        <v>17.949319513210401</v>
      </c>
      <c r="N373" s="214">
        <f t="shared" si="70"/>
        <v>108.6824093682777</v>
      </c>
      <c r="O373" s="225" t="str">
        <f t="shared" si="71"/>
        <v>7-8 years</v>
      </c>
      <c r="P373" s="226">
        <f t="shared" si="72"/>
        <v>0.75890410958904109</v>
      </c>
      <c r="Q373" s="227">
        <f>$D373*P373*_xlfn.XLOOKUP($O373,'Sample Size cal and results'!$B$26:$B$27,'Sample Size cal and results'!$I$26:$I$27)</f>
        <v>65.091079924863294</v>
      </c>
      <c r="R373" s="330"/>
    </row>
    <row r="374" spans="1:18" ht="12.75">
      <c r="A374" s="99" t="s">
        <v>148</v>
      </c>
      <c r="B374" s="100">
        <v>41976</v>
      </c>
      <c r="C374" s="100">
        <f t="shared" si="62"/>
        <v>44532</v>
      </c>
      <c r="D374" s="209">
        <v>1</v>
      </c>
      <c r="E374" s="217">
        <f t="shared" si="63"/>
        <v>5.24</v>
      </c>
      <c r="F374" s="218">
        <f t="shared" si="64"/>
        <v>6.23</v>
      </c>
      <c r="G374" s="219">
        <f t="shared" si="65"/>
        <v>6.24</v>
      </c>
      <c r="H374" s="220">
        <f t="shared" si="66"/>
        <v>7.23</v>
      </c>
      <c r="I374" s="257" t="str">
        <f t="shared" si="67"/>
        <v>6-7 years</v>
      </c>
      <c r="J374" s="211">
        <f t="shared" si="68"/>
        <v>0.83835616438356164</v>
      </c>
      <c r="K374" s="258">
        <f>$D374*J374*_xlfn.XLOOKUP($I374,'Sample Size cal and results'!$B$24:$B$25,'Sample Size cal and results'!$H$24:$H$25)</f>
        <v>0.68737189284141897</v>
      </c>
      <c r="L374" s="211">
        <f t="shared" si="69"/>
        <v>0.16164383561643836</v>
      </c>
      <c r="M374" s="211">
        <f>$D374*L374*_xlfn.XLOOKUP($I374,'Sample Size cal and results'!$B$24:$B$25,'Sample Size cal and results'!$I$24:$I$25)</f>
        <v>0.13597969328189699</v>
      </c>
      <c r="N374" s="214">
        <f t="shared" si="70"/>
        <v>0.82335158612331594</v>
      </c>
      <c r="O374" s="225" t="str">
        <f t="shared" si="71"/>
        <v>7-8 years</v>
      </c>
      <c r="P374" s="226">
        <f t="shared" si="72"/>
        <v>0.75890410958904109</v>
      </c>
      <c r="Q374" s="227">
        <f>$D374*P374*_xlfn.XLOOKUP($O374,'Sample Size cal and results'!$B$26:$B$27,'Sample Size cal and results'!$I$26:$I$27)</f>
        <v>0.493114241855025</v>
      </c>
      <c r="R374" s="330"/>
    </row>
    <row r="375" spans="1:18" ht="12.75">
      <c r="A375" s="99" t="s">
        <v>54</v>
      </c>
      <c r="B375" s="100">
        <v>41975</v>
      </c>
      <c r="C375" s="100">
        <f t="shared" si="62"/>
        <v>44531</v>
      </c>
      <c r="D375" s="209">
        <v>134</v>
      </c>
      <c r="E375" s="217">
        <f t="shared" si="63"/>
        <v>5.24</v>
      </c>
      <c r="F375" s="218">
        <f t="shared" si="64"/>
        <v>6.24</v>
      </c>
      <c r="G375" s="219">
        <f t="shared" si="65"/>
        <v>6.24</v>
      </c>
      <c r="H375" s="220">
        <f t="shared" si="66"/>
        <v>7.24</v>
      </c>
      <c r="I375" s="257" t="str">
        <f t="shared" si="67"/>
        <v>6-7 years</v>
      </c>
      <c r="J375" s="211">
        <f t="shared" si="68"/>
        <v>0.83835616438356164</v>
      </c>
      <c r="K375" s="258">
        <f>$D375*J375*_xlfn.XLOOKUP($I375,'Sample Size cal and results'!$B$24:$B$25,'Sample Size cal and results'!$H$24:$H$25)</f>
        <v>92.107833640750144</v>
      </c>
      <c r="L375" s="211">
        <f t="shared" si="69"/>
        <v>0.16164383561643836</v>
      </c>
      <c r="M375" s="211">
        <f>$D375*L375*_xlfn.XLOOKUP($I375,'Sample Size cal and results'!$B$24:$B$25,'Sample Size cal and results'!$I$24:$I$25)</f>
        <v>18.221278899774195</v>
      </c>
      <c r="N375" s="214">
        <f t="shared" si="70"/>
        <v>110.32911254052433</v>
      </c>
      <c r="O375" s="225" t="str">
        <f t="shared" si="71"/>
        <v>7-8 years</v>
      </c>
      <c r="P375" s="226">
        <f t="shared" si="72"/>
        <v>0.75616438356164384</v>
      </c>
      <c r="Q375" s="227">
        <f>$D375*P375*_xlfn.XLOOKUP($O375,'Sample Size cal and results'!$B$26:$B$27,'Sample Size cal and results'!$I$26:$I$27)</f>
        <v>65.838762168831209</v>
      </c>
      <c r="R375" s="330"/>
    </row>
    <row r="376" spans="1:18" ht="12.75">
      <c r="A376" s="99" t="s">
        <v>148</v>
      </c>
      <c r="B376" s="100">
        <v>41975</v>
      </c>
      <c r="C376" s="100">
        <f t="shared" si="62"/>
        <v>44531</v>
      </c>
      <c r="D376" s="209">
        <v>3</v>
      </c>
      <c r="E376" s="217">
        <f t="shared" si="63"/>
        <v>5.24</v>
      </c>
      <c r="F376" s="218">
        <f t="shared" si="64"/>
        <v>6.24</v>
      </c>
      <c r="G376" s="219">
        <f t="shared" si="65"/>
        <v>6.24</v>
      </c>
      <c r="H376" s="220">
        <f t="shared" si="66"/>
        <v>7.24</v>
      </c>
      <c r="I376" s="257" t="str">
        <f t="shared" si="67"/>
        <v>6-7 years</v>
      </c>
      <c r="J376" s="211">
        <f t="shared" si="68"/>
        <v>0.83835616438356164</v>
      </c>
      <c r="K376" s="258">
        <f>$D376*J376*_xlfn.XLOOKUP($I376,'Sample Size cal and results'!$B$24:$B$25,'Sample Size cal and results'!$H$24:$H$25)</f>
        <v>2.0621156785242567</v>
      </c>
      <c r="L376" s="211">
        <f t="shared" si="69"/>
        <v>0.16164383561643836</v>
      </c>
      <c r="M376" s="211">
        <f>$D376*L376*_xlfn.XLOOKUP($I376,'Sample Size cal and results'!$B$24:$B$25,'Sample Size cal and results'!$I$24:$I$25)</f>
        <v>0.40793907984569094</v>
      </c>
      <c r="N376" s="214">
        <f t="shared" si="70"/>
        <v>2.4700547583699475</v>
      </c>
      <c r="O376" s="225" t="str">
        <f t="shared" si="71"/>
        <v>7-8 years</v>
      </c>
      <c r="P376" s="226">
        <f t="shared" si="72"/>
        <v>0.75616438356164384</v>
      </c>
      <c r="Q376" s="227">
        <f>$D376*P376*_xlfn.XLOOKUP($O376,'Sample Size cal and results'!$B$26:$B$27,'Sample Size cal and results'!$I$26:$I$27)</f>
        <v>1.4740021381081614</v>
      </c>
      <c r="R376" s="330"/>
    </row>
    <row r="377" spans="1:18" ht="12.75">
      <c r="A377" s="99" t="s">
        <v>54</v>
      </c>
      <c r="B377" s="100">
        <v>41974</v>
      </c>
      <c r="C377" s="100">
        <f t="shared" si="62"/>
        <v>44530</v>
      </c>
      <c r="D377" s="209">
        <v>105</v>
      </c>
      <c r="E377" s="217">
        <f t="shared" si="63"/>
        <v>5.24</v>
      </c>
      <c r="F377" s="218">
        <f t="shared" si="64"/>
        <v>6.24</v>
      </c>
      <c r="G377" s="219">
        <f t="shared" si="65"/>
        <v>6.24</v>
      </c>
      <c r="H377" s="220">
        <f t="shared" si="66"/>
        <v>7.24</v>
      </c>
      <c r="I377" s="257" t="str">
        <f t="shared" si="67"/>
        <v>6-7 years</v>
      </c>
      <c r="J377" s="211">
        <f t="shared" si="68"/>
        <v>0.83835616438356164</v>
      </c>
      <c r="K377" s="258">
        <f>$D377*J377*_xlfn.XLOOKUP($I377,'Sample Size cal and results'!$B$24:$B$25,'Sample Size cal and results'!$H$24:$H$25)</f>
        <v>72.174048748348994</v>
      </c>
      <c r="L377" s="211">
        <f t="shared" si="69"/>
        <v>0.16164383561643836</v>
      </c>
      <c r="M377" s="211">
        <f>$D377*L377*_xlfn.XLOOKUP($I377,'Sample Size cal and results'!$B$24:$B$25,'Sample Size cal and results'!$I$24:$I$25)</f>
        <v>14.277867794599183</v>
      </c>
      <c r="N377" s="214">
        <f t="shared" si="70"/>
        <v>86.451916542948183</v>
      </c>
      <c r="O377" s="225" t="str">
        <f t="shared" si="71"/>
        <v>7-8 years</v>
      </c>
      <c r="P377" s="226">
        <f t="shared" si="72"/>
        <v>0.75342465753424659</v>
      </c>
      <c r="Q377" s="227">
        <f>$D377*P377*_xlfn.XLOOKUP($O377,'Sample Size cal and results'!$B$26:$B$27,'Sample Size cal and results'!$I$26:$I$27)</f>
        <v>51.403154272793671</v>
      </c>
      <c r="R377" s="330"/>
    </row>
    <row r="378" spans="1:18" ht="12.75">
      <c r="A378" s="99" t="s">
        <v>148</v>
      </c>
      <c r="B378" s="100">
        <v>41974</v>
      </c>
      <c r="C378" s="100">
        <f t="shared" si="62"/>
        <v>44530</v>
      </c>
      <c r="D378" s="209">
        <v>2</v>
      </c>
      <c r="E378" s="217">
        <f t="shared" si="63"/>
        <v>5.24</v>
      </c>
      <c r="F378" s="218">
        <f t="shared" si="64"/>
        <v>6.24</v>
      </c>
      <c r="G378" s="219">
        <f t="shared" si="65"/>
        <v>6.24</v>
      </c>
      <c r="H378" s="220">
        <f t="shared" si="66"/>
        <v>7.24</v>
      </c>
      <c r="I378" s="257" t="str">
        <f t="shared" si="67"/>
        <v>6-7 years</v>
      </c>
      <c r="J378" s="211">
        <f t="shared" si="68"/>
        <v>0.83835616438356164</v>
      </c>
      <c r="K378" s="258">
        <f>$D378*J378*_xlfn.XLOOKUP($I378,'Sample Size cal and results'!$B$24:$B$25,'Sample Size cal and results'!$H$24:$H$25)</f>
        <v>1.3747437856828379</v>
      </c>
      <c r="L378" s="211">
        <f t="shared" si="69"/>
        <v>0.16164383561643836</v>
      </c>
      <c r="M378" s="211">
        <f>$D378*L378*_xlfn.XLOOKUP($I378,'Sample Size cal and results'!$B$24:$B$25,'Sample Size cal and results'!$I$24:$I$25)</f>
        <v>0.27195938656379398</v>
      </c>
      <c r="N378" s="214">
        <f t="shared" si="70"/>
        <v>1.6467031722466319</v>
      </c>
      <c r="O378" s="225" t="str">
        <f t="shared" si="71"/>
        <v>7-8 years</v>
      </c>
      <c r="P378" s="226">
        <f t="shared" si="72"/>
        <v>0.75342465753424659</v>
      </c>
      <c r="Q378" s="227">
        <f>$D378*P378*_xlfn.XLOOKUP($O378,'Sample Size cal and results'!$B$26:$B$27,'Sample Size cal and results'!$I$26:$I$27)</f>
        <v>0.97910770043416517</v>
      </c>
      <c r="R378" s="330"/>
    </row>
    <row r="379" spans="1:18" ht="12.75">
      <c r="A379" s="99" t="s">
        <v>54</v>
      </c>
      <c r="B379" s="100">
        <v>41973</v>
      </c>
      <c r="C379" s="100">
        <f t="shared" si="62"/>
        <v>44529</v>
      </c>
      <c r="D379" s="209">
        <v>187</v>
      </c>
      <c r="E379" s="217">
        <f t="shared" si="63"/>
        <v>5.25</v>
      </c>
      <c r="F379" s="218">
        <f t="shared" si="64"/>
        <v>6.24</v>
      </c>
      <c r="G379" s="219">
        <f t="shared" si="65"/>
        <v>6.25</v>
      </c>
      <c r="H379" s="220">
        <f t="shared" si="66"/>
        <v>7.24</v>
      </c>
      <c r="I379" s="257" t="str">
        <f t="shared" si="67"/>
        <v>6-7 years</v>
      </c>
      <c r="J379" s="211">
        <f t="shared" si="68"/>
        <v>0.83835616438356164</v>
      </c>
      <c r="K379" s="258">
        <f>$D379*J379*_xlfn.XLOOKUP($I379,'Sample Size cal and results'!$B$24:$B$25,'Sample Size cal and results'!$H$24:$H$25)</f>
        <v>128.53854396134534</v>
      </c>
      <c r="L379" s="211">
        <f t="shared" si="69"/>
        <v>0.16164383561643836</v>
      </c>
      <c r="M379" s="211">
        <f>$D379*L379*_xlfn.XLOOKUP($I379,'Sample Size cal and results'!$B$24:$B$25,'Sample Size cal and results'!$I$24:$I$25)</f>
        <v>25.428202643714737</v>
      </c>
      <c r="N379" s="214">
        <f t="shared" si="70"/>
        <v>153.96674660506008</v>
      </c>
      <c r="O379" s="225" t="str">
        <f t="shared" si="71"/>
        <v>7-8 years</v>
      </c>
      <c r="P379" s="226">
        <f t="shared" si="72"/>
        <v>0.75068493150684934</v>
      </c>
      <c r="Q379" s="227">
        <f>$D379*P379*_xlfn.XLOOKUP($O379,'Sample Size cal and results'!$B$26:$B$27,'Sample Size cal and results'!$I$26:$I$27)</f>
        <v>91.213673372446834</v>
      </c>
      <c r="R379" s="330"/>
    </row>
    <row r="380" spans="1:18" ht="12.75">
      <c r="A380" s="99" t="s">
        <v>54</v>
      </c>
      <c r="B380" s="100">
        <v>41972</v>
      </c>
      <c r="C380" s="100">
        <f t="shared" si="62"/>
        <v>44528</v>
      </c>
      <c r="D380" s="209">
        <v>1677</v>
      </c>
      <c r="E380" s="217">
        <f t="shared" si="63"/>
        <v>5.25</v>
      </c>
      <c r="F380" s="218">
        <f t="shared" si="64"/>
        <v>6.25</v>
      </c>
      <c r="G380" s="219">
        <f t="shared" si="65"/>
        <v>6.25</v>
      </c>
      <c r="H380" s="220">
        <f t="shared" si="66"/>
        <v>7.25</v>
      </c>
      <c r="I380" s="257" t="str">
        <f t="shared" si="67"/>
        <v>6-7 years</v>
      </c>
      <c r="J380" s="211">
        <f t="shared" si="68"/>
        <v>0.83835616438356164</v>
      </c>
      <c r="K380" s="258">
        <f>$D380*J380*_xlfn.XLOOKUP($I380,'Sample Size cal and results'!$B$24:$B$25,'Sample Size cal and results'!$H$24:$H$25)</f>
        <v>1152.7226642950595</v>
      </c>
      <c r="L380" s="211">
        <f t="shared" si="69"/>
        <v>0.16164383561643836</v>
      </c>
      <c r="M380" s="211">
        <f>$D380*L380*_xlfn.XLOOKUP($I380,'Sample Size cal and results'!$B$24:$B$25,'Sample Size cal and results'!$I$24:$I$25)</f>
        <v>228.03794563374126</v>
      </c>
      <c r="N380" s="214">
        <f t="shared" si="70"/>
        <v>1380.7606099288007</v>
      </c>
      <c r="O380" s="225" t="str">
        <f t="shared" si="71"/>
        <v>7-8 years</v>
      </c>
      <c r="P380" s="226">
        <f t="shared" si="72"/>
        <v>0.74794520547945209</v>
      </c>
      <c r="Q380" s="227">
        <f>$D380*P380*_xlfn.XLOOKUP($O380,'Sample Size cal and results'!$B$26:$B$27,'Sample Size cal and results'!$I$26:$I$27)</f>
        <v>815.01103003721812</v>
      </c>
      <c r="R380" s="330"/>
    </row>
    <row r="381" spans="1:18" ht="12.75">
      <c r="A381" s="99" t="s">
        <v>54</v>
      </c>
      <c r="B381" s="100">
        <v>41971</v>
      </c>
      <c r="C381" s="100">
        <f t="shared" si="62"/>
        <v>44527</v>
      </c>
      <c r="D381" s="209">
        <v>201</v>
      </c>
      <c r="E381" s="217">
        <f t="shared" si="63"/>
        <v>5.25</v>
      </c>
      <c r="F381" s="218">
        <f t="shared" si="64"/>
        <v>6.25</v>
      </c>
      <c r="G381" s="219">
        <f t="shared" si="65"/>
        <v>6.25</v>
      </c>
      <c r="H381" s="220">
        <f t="shared" si="66"/>
        <v>7.25</v>
      </c>
      <c r="I381" s="257" t="str">
        <f t="shared" si="67"/>
        <v>6-7 years</v>
      </c>
      <c r="J381" s="211">
        <f t="shared" si="68"/>
        <v>0.83835616438356164</v>
      </c>
      <c r="K381" s="258">
        <f>$D381*J381*_xlfn.XLOOKUP($I381,'Sample Size cal and results'!$B$24:$B$25,'Sample Size cal and results'!$H$24:$H$25)</f>
        <v>138.16175046112522</v>
      </c>
      <c r="L381" s="211">
        <f t="shared" si="69"/>
        <v>0.16164383561643836</v>
      </c>
      <c r="M381" s="211">
        <f>$D381*L381*_xlfn.XLOOKUP($I381,'Sample Size cal and results'!$B$24:$B$25,'Sample Size cal and results'!$I$24:$I$25)</f>
        <v>27.33191834966129</v>
      </c>
      <c r="N381" s="214">
        <f t="shared" si="70"/>
        <v>165.49366881078652</v>
      </c>
      <c r="O381" s="225" t="str">
        <f t="shared" si="71"/>
        <v>7-8 years</v>
      </c>
      <c r="P381" s="226">
        <f t="shared" si="72"/>
        <v>0.74520547945205484</v>
      </c>
      <c r="Q381" s="227">
        <f>$D381*P381*_xlfn.XLOOKUP($O381,'Sample Size cal and results'!$B$26:$B$27,'Sample Size cal and results'!$I$26:$I$27)</f>
        <v>97.326865814793962</v>
      </c>
      <c r="R381" s="330"/>
    </row>
    <row r="382" spans="1:18" ht="12.75">
      <c r="A382" s="99" t="s">
        <v>54</v>
      </c>
      <c r="B382" s="100">
        <v>41970</v>
      </c>
      <c r="C382" s="100">
        <f t="shared" si="62"/>
        <v>44526</v>
      </c>
      <c r="D382" s="209">
        <v>202</v>
      </c>
      <c r="E382" s="217">
        <f t="shared" si="63"/>
        <v>5.25</v>
      </c>
      <c r="F382" s="218">
        <f t="shared" si="64"/>
        <v>6.25</v>
      </c>
      <c r="G382" s="219">
        <f t="shared" si="65"/>
        <v>6.25</v>
      </c>
      <c r="H382" s="220">
        <f t="shared" si="66"/>
        <v>7.25</v>
      </c>
      <c r="I382" s="257" t="str">
        <f t="shared" si="67"/>
        <v>6-7 years</v>
      </c>
      <c r="J382" s="211">
        <f t="shared" si="68"/>
        <v>0.83835616438356164</v>
      </c>
      <c r="K382" s="258">
        <f>$D382*J382*_xlfn.XLOOKUP($I382,'Sample Size cal and results'!$B$24:$B$25,'Sample Size cal and results'!$H$24:$H$25)</f>
        <v>138.84912235396664</v>
      </c>
      <c r="L382" s="211">
        <f t="shared" si="69"/>
        <v>0.16164383561643836</v>
      </c>
      <c r="M382" s="211">
        <f>$D382*L382*_xlfn.XLOOKUP($I382,'Sample Size cal and results'!$B$24:$B$25,'Sample Size cal and results'!$I$24:$I$25)</f>
        <v>27.467898042943187</v>
      </c>
      <c r="N382" s="214">
        <f t="shared" si="70"/>
        <v>166.31702039690981</v>
      </c>
      <c r="O382" s="225" t="str">
        <f t="shared" si="71"/>
        <v>7-8 years</v>
      </c>
      <c r="P382" s="226">
        <f t="shared" si="72"/>
        <v>0.74246575342465748</v>
      </c>
      <c r="Q382" s="227">
        <f>$D382*P382*_xlfn.XLOOKUP($O382,'Sample Size cal and results'!$B$26:$B$27,'Sample Size cal and results'!$I$26:$I$27)</f>
        <v>97.451479522121929</v>
      </c>
      <c r="R382" s="330"/>
    </row>
    <row r="383" spans="1:18" ht="12.75">
      <c r="A383" s="99" t="s">
        <v>53</v>
      </c>
      <c r="B383" s="100">
        <v>41969</v>
      </c>
      <c r="C383" s="100">
        <f t="shared" si="62"/>
        <v>44525</v>
      </c>
      <c r="D383" s="209">
        <v>493</v>
      </c>
      <c r="E383" s="217">
        <f t="shared" si="63"/>
        <v>5.26</v>
      </c>
      <c r="F383" s="218">
        <f t="shared" si="64"/>
        <v>6.25</v>
      </c>
      <c r="G383" s="219">
        <f t="shared" si="65"/>
        <v>6.26</v>
      </c>
      <c r="H383" s="220">
        <f t="shared" si="66"/>
        <v>7.25</v>
      </c>
      <c r="I383" s="257" t="str">
        <f t="shared" si="67"/>
        <v>6-7 years</v>
      </c>
      <c r="J383" s="211">
        <f t="shared" si="68"/>
        <v>0.83835616438356164</v>
      </c>
      <c r="K383" s="258">
        <f>$D383*J383*_xlfn.XLOOKUP($I383,'Sample Size cal and results'!$B$24:$B$25,'Sample Size cal and results'!$H$24:$H$25)</f>
        <v>338.87434317081954</v>
      </c>
      <c r="L383" s="211">
        <f t="shared" si="69"/>
        <v>0.16164383561643836</v>
      </c>
      <c r="M383" s="211">
        <f>$D383*L383*_xlfn.XLOOKUP($I383,'Sample Size cal and results'!$B$24:$B$25,'Sample Size cal and results'!$I$24:$I$25)</f>
        <v>67.037988787975209</v>
      </c>
      <c r="N383" s="214">
        <f t="shared" si="70"/>
        <v>405.91233195879477</v>
      </c>
      <c r="O383" s="225" t="str">
        <f t="shared" si="71"/>
        <v>7-8 years</v>
      </c>
      <c r="P383" s="226">
        <f t="shared" si="72"/>
        <v>0.73972602739726023</v>
      </c>
      <c r="Q383" s="227">
        <f>$D383*P383*_xlfn.XLOOKUP($O383,'Sample Size cal and results'!$B$26:$B$27,'Sample Size cal and results'!$I$26:$I$27)</f>
        <v>236.96186546325765</v>
      </c>
      <c r="R383" s="330"/>
    </row>
    <row r="384" spans="1:18" ht="12.75">
      <c r="A384" s="99" t="s">
        <v>54</v>
      </c>
      <c r="B384" s="100">
        <v>41969</v>
      </c>
      <c r="C384" s="100">
        <f t="shared" si="62"/>
        <v>44525</v>
      </c>
      <c r="D384" s="209">
        <v>391</v>
      </c>
      <c r="E384" s="217">
        <f t="shared" si="63"/>
        <v>5.26</v>
      </c>
      <c r="F384" s="218">
        <f t="shared" si="64"/>
        <v>6.25</v>
      </c>
      <c r="G384" s="219">
        <f t="shared" si="65"/>
        <v>6.26</v>
      </c>
      <c r="H384" s="220">
        <f t="shared" si="66"/>
        <v>7.25</v>
      </c>
      <c r="I384" s="257" t="str">
        <f t="shared" si="67"/>
        <v>6-7 years</v>
      </c>
      <c r="J384" s="211">
        <f t="shared" si="68"/>
        <v>0.83835616438356164</v>
      </c>
      <c r="K384" s="258">
        <f>$D384*J384*_xlfn.XLOOKUP($I384,'Sample Size cal and results'!$B$24:$B$25,'Sample Size cal and results'!$H$24:$H$25)</f>
        <v>268.76241010099483</v>
      </c>
      <c r="L384" s="211">
        <f t="shared" si="69"/>
        <v>0.16164383561643836</v>
      </c>
      <c r="M384" s="211">
        <f>$D384*L384*_xlfn.XLOOKUP($I384,'Sample Size cal and results'!$B$24:$B$25,'Sample Size cal and results'!$I$24:$I$25)</f>
        <v>53.168060073221717</v>
      </c>
      <c r="N384" s="214">
        <f t="shared" si="70"/>
        <v>321.93047017421657</v>
      </c>
      <c r="O384" s="225" t="str">
        <f t="shared" si="71"/>
        <v>7-8 years</v>
      </c>
      <c r="P384" s="226">
        <f t="shared" si="72"/>
        <v>0.73972602739726023</v>
      </c>
      <c r="Q384" s="227">
        <f>$D384*P384*_xlfn.XLOOKUP($O384,'Sample Size cal and results'!$B$26:$B$27,'Sample Size cal and results'!$I$26:$I$27)</f>
        <v>187.93527260879054</v>
      </c>
      <c r="R384" s="330"/>
    </row>
    <row r="385" spans="1:18" ht="12.75">
      <c r="A385" s="99" t="s">
        <v>53</v>
      </c>
      <c r="B385" s="100">
        <v>41968</v>
      </c>
      <c r="C385" s="100">
        <f t="shared" si="62"/>
        <v>44524</v>
      </c>
      <c r="D385" s="209">
        <v>262</v>
      </c>
      <c r="E385" s="217">
        <f t="shared" si="63"/>
        <v>5.26</v>
      </c>
      <c r="F385" s="218">
        <f t="shared" si="64"/>
        <v>6.26</v>
      </c>
      <c r="G385" s="219">
        <f t="shared" si="65"/>
        <v>6.26</v>
      </c>
      <c r="H385" s="220">
        <f t="shared" si="66"/>
        <v>7.26</v>
      </c>
      <c r="I385" s="257" t="str">
        <f t="shared" si="67"/>
        <v>6-7 years</v>
      </c>
      <c r="J385" s="211">
        <f t="shared" si="68"/>
        <v>0.83835616438356164</v>
      </c>
      <c r="K385" s="258">
        <f>$D385*J385*_xlfn.XLOOKUP($I385,'Sample Size cal and results'!$B$24:$B$25,'Sample Size cal and results'!$H$24:$H$25)</f>
        <v>180.09143592445176</v>
      </c>
      <c r="L385" s="211">
        <f t="shared" si="69"/>
        <v>0.16164383561643836</v>
      </c>
      <c r="M385" s="211">
        <f>$D385*L385*_xlfn.XLOOKUP($I385,'Sample Size cal and results'!$B$24:$B$25,'Sample Size cal and results'!$I$24:$I$25)</f>
        <v>35.626679639857009</v>
      </c>
      <c r="N385" s="214">
        <f t="shared" si="70"/>
        <v>215.71811556430876</v>
      </c>
      <c r="O385" s="225" t="str">
        <f t="shared" si="71"/>
        <v>7-8 years</v>
      </c>
      <c r="P385" s="226">
        <f t="shared" si="72"/>
        <v>0.73698630136986298</v>
      </c>
      <c r="Q385" s="227">
        <f>$D385*P385*_xlfn.XLOOKUP($O385,'Sample Size cal and results'!$B$26:$B$27,'Sample Size cal and results'!$I$26:$I$27)</f>
        <v>125.46464092945288</v>
      </c>
      <c r="R385" s="330"/>
    </row>
    <row r="386" spans="1:18" ht="12.75">
      <c r="A386" s="99" t="s">
        <v>53</v>
      </c>
      <c r="B386" s="100">
        <v>41967</v>
      </c>
      <c r="C386" s="100">
        <f t="shared" si="62"/>
        <v>44523</v>
      </c>
      <c r="D386" s="209">
        <v>208</v>
      </c>
      <c r="E386" s="217">
        <f t="shared" si="63"/>
        <v>5.26</v>
      </c>
      <c r="F386" s="218">
        <f t="shared" si="64"/>
        <v>6.26</v>
      </c>
      <c r="G386" s="219">
        <f t="shared" si="65"/>
        <v>6.26</v>
      </c>
      <c r="H386" s="220">
        <f t="shared" si="66"/>
        <v>7.26</v>
      </c>
      <c r="I386" s="257" t="str">
        <f t="shared" si="67"/>
        <v>6-7 years</v>
      </c>
      <c r="J386" s="211">
        <f t="shared" si="68"/>
        <v>0.83835616438356164</v>
      </c>
      <c r="K386" s="258">
        <f>$D386*J386*_xlfn.XLOOKUP($I386,'Sample Size cal and results'!$B$24:$B$25,'Sample Size cal and results'!$H$24:$H$25)</f>
        <v>142.97335371101514</v>
      </c>
      <c r="L386" s="211">
        <f t="shared" si="69"/>
        <v>0.16164383561643836</v>
      </c>
      <c r="M386" s="211">
        <f>$D386*L386*_xlfn.XLOOKUP($I386,'Sample Size cal and results'!$B$24:$B$25,'Sample Size cal and results'!$I$24:$I$25)</f>
        <v>28.283776202634574</v>
      </c>
      <c r="N386" s="214">
        <f t="shared" si="70"/>
        <v>171.25712991364972</v>
      </c>
      <c r="O386" s="225" t="str">
        <f t="shared" si="71"/>
        <v>7-8 years</v>
      </c>
      <c r="P386" s="226">
        <f t="shared" si="72"/>
        <v>0.73424657534246573</v>
      </c>
      <c r="Q386" s="227">
        <f>$D386*P386*_xlfn.XLOOKUP($O386,'Sample Size cal and results'!$B$26:$B$27,'Sample Size cal and results'!$I$26:$I$27)</f>
        <v>99.235235732731084</v>
      </c>
      <c r="R386" s="330"/>
    </row>
    <row r="387" spans="1:18" ht="12.75">
      <c r="A387" s="99" t="s">
        <v>53</v>
      </c>
      <c r="B387" s="100">
        <v>41966</v>
      </c>
      <c r="C387" s="100">
        <f t="shared" ref="C387:C450" si="73">EDATE(B387,84)-1</f>
        <v>44522</v>
      </c>
      <c r="D387" s="209">
        <v>319</v>
      </c>
      <c r="E387" s="217">
        <f t="shared" ref="E387:E450" si="74">ROUNDDOWN(YEARFRAC($B387,$AB$4,1),2)</f>
        <v>5.26</v>
      </c>
      <c r="F387" s="218">
        <f t="shared" ref="F387:F450" si="75">ROUNDDOWN(YEARFRAC($B387,$AB$5,1),2)</f>
        <v>6.26</v>
      </c>
      <c r="G387" s="219">
        <f t="shared" ref="G387:G450" si="76">ROUNDDOWN(YEARFRAC($B387,$AC$4,1),2)</f>
        <v>6.26</v>
      </c>
      <c r="H387" s="220">
        <f t="shared" ref="H387:H450" si="77">ROUNDDOWN(YEARFRAC($B387,$AC$5,1),2)</f>
        <v>7.26</v>
      </c>
      <c r="I387" s="257" t="str">
        <f t="shared" ref="I387:I450" si="78">IF(DATEDIF($B387,$AB$5,"y")=5,"5-6 years","6-7 years")</f>
        <v>6-7 years</v>
      </c>
      <c r="J387" s="211">
        <f t="shared" ref="J387:J450" si="79">MAX(MIN($AC$7,C387)-MAX($AB$4,$B387,_xlfn.XLOOKUP($A387,$AE$3:$AE$37,$AF$3:$AF$37))+1,0)/365</f>
        <v>0.83835616438356164</v>
      </c>
      <c r="K387" s="258">
        <f>$D387*J387*_xlfn.XLOOKUP($I387,'Sample Size cal and results'!$B$24:$B$25,'Sample Size cal and results'!$H$24:$H$25)</f>
        <v>219.27163381641267</v>
      </c>
      <c r="L387" s="211">
        <f t="shared" ref="L387:L450" si="80">MAX(MIN($AB$5,C387)-MAX($AC$8,$B387,_xlfn.XLOOKUP($A387,$AE$3:$AE$37,$AF$3:$AF$37))+1,0)/365</f>
        <v>0.16164383561643836</v>
      </c>
      <c r="M387" s="211">
        <f>$D387*L387*_xlfn.XLOOKUP($I387,'Sample Size cal and results'!$B$24:$B$25,'Sample Size cal and results'!$I$24:$I$25)</f>
        <v>43.377522156925139</v>
      </c>
      <c r="N387" s="214">
        <f t="shared" ref="N387:N450" si="81">M387+K387</f>
        <v>262.64915597333783</v>
      </c>
      <c r="O387" s="225" t="str">
        <f t="shared" ref="O387:O450" si="82">IF(DATEDIF($B387,$AC$5,"y")=6,"6-7 years","7-8 years")</f>
        <v>7-8 years</v>
      </c>
      <c r="P387" s="226">
        <f t="shared" ref="P387:P450" si="83">MAX(MIN($AC$5,C387)-MAX($AC$4,$B387,_xlfn.XLOOKUP($A387,$AE$3:$AE$37,$AF$3:$AF$37))+1,0)/365</f>
        <v>0.73150684931506849</v>
      </c>
      <c r="Q387" s="227">
        <f>$D387*P387*_xlfn.XLOOKUP($O387,'Sample Size cal and results'!$B$26:$B$27,'Sample Size cal and results'!$I$26:$I$27)</f>
        <v>151.62461848923479</v>
      </c>
      <c r="R387" s="330"/>
    </row>
    <row r="388" spans="1:18" ht="12.75">
      <c r="A388" s="99" t="s">
        <v>53</v>
      </c>
      <c r="B388" s="100">
        <v>41965</v>
      </c>
      <c r="C388" s="100">
        <f t="shared" si="73"/>
        <v>44521</v>
      </c>
      <c r="D388" s="209">
        <v>261</v>
      </c>
      <c r="E388" s="217">
        <f t="shared" si="74"/>
        <v>5.27</v>
      </c>
      <c r="F388" s="218">
        <f t="shared" si="75"/>
        <v>6.26</v>
      </c>
      <c r="G388" s="219">
        <f t="shared" si="76"/>
        <v>6.27</v>
      </c>
      <c r="H388" s="220">
        <f t="shared" si="77"/>
        <v>7.26</v>
      </c>
      <c r="I388" s="257" t="str">
        <f t="shared" si="78"/>
        <v>6-7 years</v>
      </c>
      <c r="J388" s="211">
        <f t="shared" si="79"/>
        <v>0.83835616438356164</v>
      </c>
      <c r="K388" s="258">
        <f>$D388*J388*_xlfn.XLOOKUP($I388,'Sample Size cal and results'!$B$24:$B$25,'Sample Size cal and results'!$H$24:$H$25)</f>
        <v>179.40406403161035</v>
      </c>
      <c r="L388" s="211">
        <f t="shared" si="80"/>
        <v>0.16164383561643836</v>
      </c>
      <c r="M388" s="211">
        <f>$D388*L388*_xlfn.XLOOKUP($I388,'Sample Size cal and results'!$B$24:$B$25,'Sample Size cal and results'!$I$24:$I$25)</f>
        <v>35.490699946575113</v>
      </c>
      <c r="N388" s="214">
        <f t="shared" si="81"/>
        <v>214.89476397818547</v>
      </c>
      <c r="O388" s="225" t="str">
        <f t="shared" si="82"/>
        <v>7-8 years</v>
      </c>
      <c r="P388" s="226">
        <f t="shared" si="83"/>
        <v>0.72876712328767124</v>
      </c>
      <c r="Q388" s="227">
        <f>$D388*P388*_xlfn.XLOOKUP($O388,'Sample Size cal and results'!$B$26:$B$27,'Sample Size cal and results'!$I$26:$I$27)</f>
        <v>123.59187492789519</v>
      </c>
      <c r="R388" s="330"/>
    </row>
    <row r="389" spans="1:18" ht="12.75">
      <c r="A389" s="99" t="s">
        <v>53</v>
      </c>
      <c r="B389" s="100">
        <v>41964</v>
      </c>
      <c r="C389" s="100">
        <f t="shared" si="73"/>
        <v>44520</v>
      </c>
      <c r="D389" s="209">
        <v>202</v>
      </c>
      <c r="E389" s="217">
        <f t="shared" si="74"/>
        <v>5.27</v>
      </c>
      <c r="F389" s="218">
        <f t="shared" si="75"/>
        <v>6.27</v>
      </c>
      <c r="G389" s="219">
        <f t="shared" si="76"/>
        <v>6.27</v>
      </c>
      <c r="H389" s="220">
        <f t="shared" si="77"/>
        <v>7.27</v>
      </c>
      <c r="I389" s="257" t="str">
        <f t="shared" si="78"/>
        <v>6-7 years</v>
      </c>
      <c r="J389" s="211">
        <f t="shared" si="79"/>
        <v>0.83835616438356164</v>
      </c>
      <c r="K389" s="258">
        <f>$D389*J389*_xlfn.XLOOKUP($I389,'Sample Size cal and results'!$B$24:$B$25,'Sample Size cal and results'!$H$24:$H$25)</f>
        <v>138.84912235396664</v>
      </c>
      <c r="L389" s="211">
        <f t="shared" si="80"/>
        <v>0.16164383561643836</v>
      </c>
      <c r="M389" s="211">
        <f>$D389*L389*_xlfn.XLOOKUP($I389,'Sample Size cal and results'!$B$24:$B$25,'Sample Size cal and results'!$I$24:$I$25)</f>
        <v>27.467898042943187</v>
      </c>
      <c r="N389" s="214">
        <f t="shared" si="81"/>
        <v>166.31702039690981</v>
      </c>
      <c r="O389" s="225" t="str">
        <f t="shared" si="82"/>
        <v>7-8 years</v>
      </c>
      <c r="P389" s="226">
        <f t="shared" si="83"/>
        <v>0.72602739726027399</v>
      </c>
      <c r="Q389" s="227">
        <f>$D389*P389*_xlfn.XLOOKUP($O389,'Sample Size cal and results'!$B$26:$B$27,'Sample Size cal and results'!$I$26:$I$27)</f>
        <v>95.293882189528844</v>
      </c>
      <c r="R389" s="330"/>
    </row>
    <row r="390" spans="1:18" ht="12.75">
      <c r="A390" s="99" t="s">
        <v>53</v>
      </c>
      <c r="B390" s="100">
        <v>41963</v>
      </c>
      <c r="C390" s="100">
        <f t="shared" si="73"/>
        <v>44519</v>
      </c>
      <c r="D390" s="209">
        <v>298</v>
      </c>
      <c r="E390" s="217">
        <f t="shared" si="74"/>
        <v>5.27</v>
      </c>
      <c r="F390" s="218">
        <f t="shared" si="75"/>
        <v>6.27</v>
      </c>
      <c r="G390" s="219">
        <f t="shared" si="76"/>
        <v>6.27</v>
      </c>
      <c r="H390" s="220">
        <f t="shared" si="77"/>
        <v>7.27</v>
      </c>
      <c r="I390" s="257" t="str">
        <f t="shared" si="78"/>
        <v>6-7 years</v>
      </c>
      <c r="J390" s="211">
        <f t="shared" si="79"/>
        <v>0.83835616438356164</v>
      </c>
      <c r="K390" s="258">
        <f>$D390*J390*_xlfn.XLOOKUP($I390,'Sample Size cal and results'!$B$24:$B$25,'Sample Size cal and results'!$H$24:$H$25)</f>
        <v>204.83682406674285</v>
      </c>
      <c r="L390" s="211">
        <f t="shared" si="80"/>
        <v>0.16164383561643836</v>
      </c>
      <c r="M390" s="211">
        <f>$D390*L390*_xlfn.XLOOKUP($I390,'Sample Size cal and results'!$B$24:$B$25,'Sample Size cal and results'!$I$24:$I$25)</f>
        <v>40.521948598005302</v>
      </c>
      <c r="N390" s="214">
        <f t="shared" si="81"/>
        <v>245.35877266474816</v>
      </c>
      <c r="O390" s="225" t="str">
        <f t="shared" si="82"/>
        <v>7-8 years</v>
      </c>
      <c r="P390" s="226">
        <f t="shared" si="83"/>
        <v>0.72328767123287674</v>
      </c>
      <c r="Q390" s="227">
        <f>$D390*P390*_xlfn.XLOOKUP($O390,'Sample Size cal and results'!$B$26:$B$27,'Sample Size cal and results'!$I$26:$I$27)</f>
        <v>140.05156547010299</v>
      </c>
      <c r="R390" s="330"/>
    </row>
    <row r="391" spans="1:18" ht="12.75">
      <c r="A391" s="99" t="s">
        <v>53</v>
      </c>
      <c r="B391" s="100">
        <v>41962</v>
      </c>
      <c r="C391" s="100">
        <f t="shared" si="73"/>
        <v>44518</v>
      </c>
      <c r="D391" s="209">
        <v>254</v>
      </c>
      <c r="E391" s="217">
        <f t="shared" si="74"/>
        <v>5.28</v>
      </c>
      <c r="F391" s="218">
        <f t="shared" si="75"/>
        <v>6.27</v>
      </c>
      <c r="G391" s="219">
        <f t="shared" si="76"/>
        <v>6.28</v>
      </c>
      <c r="H391" s="220">
        <f t="shared" si="77"/>
        <v>7.27</v>
      </c>
      <c r="I391" s="257" t="str">
        <f t="shared" si="78"/>
        <v>6-7 years</v>
      </c>
      <c r="J391" s="211">
        <f t="shared" si="79"/>
        <v>0.83835616438356164</v>
      </c>
      <c r="K391" s="258">
        <f>$D391*J391*_xlfn.XLOOKUP($I391,'Sample Size cal and results'!$B$24:$B$25,'Sample Size cal and results'!$H$24:$H$25)</f>
        <v>174.59246078172043</v>
      </c>
      <c r="L391" s="211">
        <f t="shared" si="80"/>
        <v>0.16164383561643836</v>
      </c>
      <c r="M391" s="211">
        <f>$D391*L391*_xlfn.XLOOKUP($I391,'Sample Size cal and results'!$B$24:$B$25,'Sample Size cal and results'!$I$24:$I$25)</f>
        <v>34.538842093601836</v>
      </c>
      <c r="N391" s="214">
        <f t="shared" si="81"/>
        <v>209.13130287532226</v>
      </c>
      <c r="O391" s="225" t="str">
        <f t="shared" si="82"/>
        <v>7-8 years</v>
      </c>
      <c r="P391" s="226">
        <f t="shared" si="83"/>
        <v>0.72054794520547949</v>
      </c>
      <c r="Q391" s="227">
        <f>$D391*P391*_xlfn.XLOOKUP($O391,'Sample Size cal and results'!$B$26:$B$27,'Sample Size cal and results'!$I$26:$I$27)</f>
        <v>118.92064109891473</v>
      </c>
      <c r="R391" s="330"/>
    </row>
    <row r="392" spans="1:18" ht="12.75">
      <c r="A392" s="99" t="s">
        <v>53</v>
      </c>
      <c r="B392" s="100">
        <v>41961</v>
      </c>
      <c r="C392" s="100">
        <f t="shared" si="73"/>
        <v>44517</v>
      </c>
      <c r="D392" s="209">
        <v>369</v>
      </c>
      <c r="E392" s="217">
        <f t="shared" si="74"/>
        <v>5.28</v>
      </c>
      <c r="F392" s="218">
        <f t="shared" si="75"/>
        <v>6.28</v>
      </c>
      <c r="G392" s="219">
        <f t="shared" si="76"/>
        <v>6.28</v>
      </c>
      <c r="H392" s="220">
        <f t="shared" si="77"/>
        <v>7.28</v>
      </c>
      <c r="I392" s="257" t="str">
        <f t="shared" si="78"/>
        <v>6-7 years</v>
      </c>
      <c r="J392" s="211">
        <f t="shared" si="79"/>
        <v>0.83835616438356164</v>
      </c>
      <c r="K392" s="258">
        <f>$D392*J392*_xlfn.XLOOKUP($I392,'Sample Size cal and results'!$B$24:$B$25,'Sample Size cal and results'!$H$24:$H$25)</f>
        <v>253.64022845848356</v>
      </c>
      <c r="L392" s="211">
        <f t="shared" si="80"/>
        <v>0.16164383561643836</v>
      </c>
      <c r="M392" s="211">
        <f>$D392*L392*_xlfn.XLOOKUP($I392,'Sample Size cal and results'!$B$24:$B$25,'Sample Size cal and results'!$I$24:$I$25)</f>
        <v>50.176506821019984</v>
      </c>
      <c r="N392" s="214">
        <f t="shared" si="81"/>
        <v>303.81673527950352</v>
      </c>
      <c r="O392" s="225" t="str">
        <f t="shared" si="82"/>
        <v>7-8 years</v>
      </c>
      <c r="P392" s="226">
        <f t="shared" si="83"/>
        <v>0.71780821917808224</v>
      </c>
      <c r="Q392" s="227">
        <f>$D392*P392*_xlfn.XLOOKUP($O392,'Sample Size cal and results'!$B$26:$B$27,'Sample Size cal and results'!$I$26:$I$27)</f>
        <v>172.10577138649859</v>
      </c>
      <c r="R392" s="330"/>
    </row>
    <row r="393" spans="1:18" ht="12.75">
      <c r="A393" s="99" t="s">
        <v>53</v>
      </c>
      <c r="B393" s="100">
        <v>41960</v>
      </c>
      <c r="C393" s="100">
        <f t="shared" si="73"/>
        <v>44516</v>
      </c>
      <c r="D393" s="209">
        <v>269</v>
      </c>
      <c r="E393" s="217">
        <f t="shared" si="74"/>
        <v>5.28</v>
      </c>
      <c r="F393" s="218">
        <f t="shared" si="75"/>
        <v>6.28</v>
      </c>
      <c r="G393" s="219">
        <f t="shared" si="76"/>
        <v>6.28</v>
      </c>
      <c r="H393" s="220">
        <f t="shared" si="77"/>
        <v>7.28</v>
      </c>
      <c r="I393" s="257" t="str">
        <f t="shared" si="78"/>
        <v>6-7 years</v>
      </c>
      <c r="J393" s="211">
        <f t="shared" si="79"/>
        <v>0.83835616438356164</v>
      </c>
      <c r="K393" s="258">
        <f>$D393*J393*_xlfn.XLOOKUP($I393,'Sample Size cal and results'!$B$24:$B$25,'Sample Size cal and results'!$H$24:$H$25)</f>
        <v>184.9030391743417</v>
      </c>
      <c r="L393" s="211">
        <f t="shared" si="80"/>
        <v>0.16164383561643836</v>
      </c>
      <c r="M393" s="211">
        <f>$D393*L393*_xlfn.XLOOKUP($I393,'Sample Size cal and results'!$B$24:$B$25,'Sample Size cal and results'!$I$24:$I$25)</f>
        <v>36.578537492830286</v>
      </c>
      <c r="N393" s="214">
        <f t="shared" si="81"/>
        <v>221.48157666717199</v>
      </c>
      <c r="O393" s="225" t="str">
        <f t="shared" si="82"/>
        <v>7-8 years</v>
      </c>
      <c r="P393" s="226">
        <f t="shared" si="83"/>
        <v>0.71506849315068488</v>
      </c>
      <c r="Q393" s="227">
        <f>$D393*P393*_xlfn.XLOOKUP($O393,'Sample Size cal and results'!$B$26:$B$27,'Sample Size cal and results'!$I$26:$I$27)</f>
        <v>124.98576825414962</v>
      </c>
      <c r="R393" s="330"/>
    </row>
    <row r="394" spans="1:18" ht="12.75">
      <c r="A394" s="99" t="s">
        <v>53</v>
      </c>
      <c r="B394" s="100">
        <v>41959</v>
      </c>
      <c r="C394" s="100">
        <f t="shared" si="73"/>
        <v>44515</v>
      </c>
      <c r="D394" s="209">
        <v>250</v>
      </c>
      <c r="E394" s="217">
        <f t="shared" si="74"/>
        <v>5.28</v>
      </c>
      <c r="F394" s="218">
        <f t="shared" si="75"/>
        <v>6.28</v>
      </c>
      <c r="G394" s="219">
        <f t="shared" si="76"/>
        <v>6.28</v>
      </c>
      <c r="H394" s="220">
        <f t="shared" si="77"/>
        <v>7.28</v>
      </c>
      <c r="I394" s="257" t="str">
        <f t="shared" si="78"/>
        <v>6-7 years</v>
      </c>
      <c r="J394" s="211">
        <f t="shared" si="79"/>
        <v>0.83835616438356164</v>
      </c>
      <c r="K394" s="258">
        <f>$D394*J394*_xlfn.XLOOKUP($I394,'Sample Size cal and results'!$B$24:$B$25,'Sample Size cal and results'!$H$24:$H$25)</f>
        <v>171.84297321035476</v>
      </c>
      <c r="L394" s="211">
        <f t="shared" si="80"/>
        <v>0.16164383561643836</v>
      </c>
      <c r="M394" s="211">
        <f>$D394*L394*_xlfn.XLOOKUP($I394,'Sample Size cal and results'!$B$24:$B$25,'Sample Size cal and results'!$I$24:$I$25)</f>
        <v>33.994923320474243</v>
      </c>
      <c r="N394" s="214">
        <f t="shared" si="81"/>
        <v>205.837896530829</v>
      </c>
      <c r="O394" s="225" t="str">
        <f t="shared" si="82"/>
        <v>7-8 years</v>
      </c>
      <c r="P394" s="226">
        <f t="shared" si="83"/>
        <v>0.71232876712328763</v>
      </c>
      <c r="Q394" s="227">
        <f>$D394*P394*_xlfn.XLOOKUP($O394,'Sample Size cal and results'!$B$26:$B$27,'Sample Size cal and results'!$I$26:$I$27)</f>
        <v>115.7127282331286</v>
      </c>
      <c r="R394" s="330"/>
    </row>
    <row r="395" spans="1:18" ht="12.75">
      <c r="A395" s="99" t="s">
        <v>52</v>
      </c>
      <c r="B395" s="100">
        <v>41958</v>
      </c>
      <c r="C395" s="100">
        <f t="shared" si="73"/>
        <v>44514</v>
      </c>
      <c r="D395" s="209">
        <v>2375</v>
      </c>
      <c r="E395" s="217">
        <f t="shared" si="74"/>
        <v>5.29</v>
      </c>
      <c r="F395" s="218">
        <f t="shared" si="75"/>
        <v>6.28</v>
      </c>
      <c r="G395" s="219">
        <f t="shared" si="76"/>
        <v>6.29</v>
      </c>
      <c r="H395" s="220">
        <f t="shared" si="77"/>
        <v>7.28</v>
      </c>
      <c r="I395" s="257" t="str">
        <f t="shared" si="78"/>
        <v>6-7 years</v>
      </c>
      <c r="J395" s="211">
        <f t="shared" si="79"/>
        <v>0.83835616438356164</v>
      </c>
      <c r="K395" s="258">
        <f>$D395*J395*_xlfn.XLOOKUP($I395,'Sample Size cal and results'!$B$24:$B$25,'Sample Size cal and results'!$H$24:$H$25)</f>
        <v>1632.5082454983699</v>
      </c>
      <c r="L395" s="211">
        <f t="shared" si="80"/>
        <v>0.16164383561643836</v>
      </c>
      <c r="M395" s="211">
        <f>$D395*L395*_xlfn.XLOOKUP($I395,'Sample Size cal and results'!$B$24:$B$25,'Sample Size cal and results'!$I$24:$I$25)</f>
        <v>322.95177154450533</v>
      </c>
      <c r="N395" s="214">
        <f t="shared" si="81"/>
        <v>1955.4600170428753</v>
      </c>
      <c r="O395" s="225" t="str">
        <f t="shared" si="82"/>
        <v>7-8 years</v>
      </c>
      <c r="P395" s="226">
        <f t="shared" si="83"/>
        <v>0.70958904109589038</v>
      </c>
      <c r="Q395" s="227">
        <f>$D395*P395*_xlfn.XLOOKUP($O395,'Sample Size cal and results'!$B$26:$B$27,'Sample Size cal and results'!$I$26:$I$27)</f>
        <v>1095.042953144665</v>
      </c>
      <c r="R395" s="330"/>
    </row>
    <row r="396" spans="1:18" ht="12.75">
      <c r="A396" s="99" t="s">
        <v>53</v>
      </c>
      <c r="B396" s="100">
        <v>41958</v>
      </c>
      <c r="C396" s="100">
        <f t="shared" si="73"/>
        <v>44514</v>
      </c>
      <c r="D396" s="209">
        <v>697</v>
      </c>
      <c r="E396" s="217">
        <f t="shared" si="74"/>
        <v>5.29</v>
      </c>
      <c r="F396" s="218">
        <f t="shared" si="75"/>
        <v>6.28</v>
      </c>
      <c r="G396" s="219">
        <f t="shared" si="76"/>
        <v>6.29</v>
      </c>
      <c r="H396" s="220">
        <f t="shared" si="77"/>
        <v>7.28</v>
      </c>
      <c r="I396" s="257" t="str">
        <f t="shared" si="78"/>
        <v>6-7 years</v>
      </c>
      <c r="J396" s="211">
        <f t="shared" si="79"/>
        <v>0.83835616438356164</v>
      </c>
      <c r="K396" s="258">
        <f>$D396*J396*_xlfn.XLOOKUP($I396,'Sample Size cal and results'!$B$24:$B$25,'Sample Size cal and results'!$H$24:$H$25)</f>
        <v>479.09820931046903</v>
      </c>
      <c r="L396" s="211">
        <f t="shared" si="80"/>
        <v>0.16164383561643836</v>
      </c>
      <c r="M396" s="211">
        <f>$D396*L396*_xlfn.XLOOKUP($I396,'Sample Size cal and results'!$B$24:$B$25,'Sample Size cal and results'!$I$24:$I$25)</f>
        <v>94.777846217482193</v>
      </c>
      <c r="N396" s="214">
        <f t="shared" si="81"/>
        <v>573.87605552795117</v>
      </c>
      <c r="O396" s="225" t="str">
        <f t="shared" si="82"/>
        <v>7-8 years</v>
      </c>
      <c r="P396" s="226">
        <f t="shared" si="83"/>
        <v>0.70958904109589038</v>
      </c>
      <c r="Q396" s="227">
        <f>$D396*P396*_xlfn.XLOOKUP($O396,'Sample Size cal and results'!$B$26:$B$27,'Sample Size cal and results'!$I$26:$I$27)</f>
        <v>321.3662898281396</v>
      </c>
      <c r="R396" s="330"/>
    </row>
    <row r="397" spans="1:18" ht="12.75">
      <c r="A397" s="99" t="s">
        <v>146</v>
      </c>
      <c r="B397" s="100">
        <v>41958</v>
      </c>
      <c r="C397" s="100">
        <f t="shared" si="73"/>
        <v>44514</v>
      </c>
      <c r="D397" s="209">
        <v>3</v>
      </c>
      <c r="E397" s="217">
        <f t="shared" si="74"/>
        <v>5.29</v>
      </c>
      <c r="F397" s="218">
        <f t="shared" si="75"/>
        <v>6.28</v>
      </c>
      <c r="G397" s="219">
        <f t="shared" si="76"/>
        <v>6.29</v>
      </c>
      <c r="H397" s="220">
        <f t="shared" si="77"/>
        <v>7.28</v>
      </c>
      <c r="I397" s="257" t="str">
        <f t="shared" si="78"/>
        <v>6-7 years</v>
      </c>
      <c r="J397" s="211">
        <f t="shared" si="79"/>
        <v>0.83835616438356164</v>
      </c>
      <c r="K397" s="258">
        <f>$D397*J397*_xlfn.XLOOKUP($I397,'Sample Size cal and results'!$B$24:$B$25,'Sample Size cal and results'!$H$24:$H$25)</f>
        <v>2.0621156785242567</v>
      </c>
      <c r="L397" s="211">
        <f t="shared" si="80"/>
        <v>0.16164383561643836</v>
      </c>
      <c r="M397" s="211">
        <f>$D397*L397*_xlfn.XLOOKUP($I397,'Sample Size cal and results'!$B$24:$B$25,'Sample Size cal and results'!$I$24:$I$25)</f>
        <v>0.40793907984569094</v>
      </c>
      <c r="N397" s="214">
        <f t="shared" si="81"/>
        <v>2.4700547583699475</v>
      </c>
      <c r="O397" s="225" t="str">
        <f t="shared" si="82"/>
        <v>7-8 years</v>
      </c>
      <c r="P397" s="226">
        <f t="shared" si="83"/>
        <v>0.70958904109589038</v>
      </c>
      <c r="Q397" s="227">
        <f>$D397*P397*_xlfn.XLOOKUP($O397,'Sample Size cal and results'!$B$26:$B$27,'Sample Size cal and results'!$I$26:$I$27)</f>
        <v>1.3832121513406295</v>
      </c>
      <c r="R397" s="330"/>
    </row>
    <row r="398" spans="1:18" ht="12.75">
      <c r="A398" s="99" t="s">
        <v>52</v>
      </c>
      <c r="B398" s="100">
        <v>41957</v>
      </c>
      <c r="C398" s="100">
        <f t="shared" si="73"/>
        <v>44513</v>
      </c>
      <c r="D398" s="209">
        <v>204</v>
      </c>
      <c r="E398" s="217">
        <f t="shared" si="74"/>
        <v>5.29</v>
      </c>
      <c r="F398" s="218">
        <f t="shared" si="75"/>
        <v>6.29</v>
      </c>
      <c r="G398" s="219">
        <f t="shared" si="76"/>
        <v>6.29</v>
      </c>
      <c r="H398" s="220">
        <f t="shared" si="77"/>
        <v>7.29</v>
      </c>
      <c r="I398" s="257" t="str">
        <f t="shared" si="78"/>
        <v>6-7 years</v>
      </c>
      <c r="J398" s="211">
        <f t="shared" si="79"/>
        <v>0.83835616438356164</v>
      </c>
      <c r="K398" s="258">
        <f>$D398*J398*_xlfn.XLOOKUP($I398,'Sample Size cal and results'!$B$24:$B$25,'Sample Size cal and results'!$H$24:$H$25)</f>
        <v>140.22386613964946</v>
      </c>
      <c r="L398" s="211">
        <f t="shared" si="80"/>
        <v>0.16164383561643836</v>
      </c>
      <c r="M398" s="211">
        <f>$D398*L398*_xlfn.XLOOKUP($I398,'Sample Size cal and results'!$B$24:$B$25,'Sample Size cal and results'!$I$24:$I$25)</f>
        <v>27.739857429506987</v>
      </c>
      <c r="N398" s="214">
        <f t="shared" si="81"/>
        <v>167.96372356915646</v>
      </c>
      <c r="O398" s="225" t="str">
        <f t="shared" si="82"/>
        <v>7-8 years</v>
      </c>
      <c r="P398" s="226">
        <f t="shared" si="83"/>
        <v>0.70684931506849313</v>
      </c>
      <c r="Q398" s="227">
        <f>$D398*P398*_xlfn.XLOOKUP($O398,'Sample Size cal and results'!$B$26:$B$27,'Sample Size cal and results'!$I$26:$I$27)</f>
        <v>93.695266344092687</v>
      </c>
      <c r="R398" s="330"/>
    </row>
    <row r="399" spans="1:18" ht="12.75">
      <c r="A399" s="99" t="s">
        <v>52</v>
      </c>
      <c r="B399" s="100">
        <v>41956</v>
      </c>
      <c r="C399" s="100">
        <f t="shared" si="73"/>
        <v>44512</v>
      </c>
      <c r="D399" s="209">
        <v>206</v>
      </c>
      <c r="E399" s="217">
        <f t="shared" si="74"/>
        <v>5.29</v>
      </c>
      <c r="F399" s="218">
        <f t="shared" si="75"/>
        <v>6.29</v>
      </c>
      <c r="G399" s="219">
        <f t="shared" si="76"/>
        <v>6.29</v>
      </c>
      <c r="H399" s="220">
        <f t="shared" si="77"/>
        <v>7.29</v>
      </c>
      <c r="I399" s="257" t="str">
        <f t="shared" si="78"/>
        <v>6-7 years</v>
      </c>
      <c r="J399" s="211">
        <f t="shared" si="79"/>
        <v>0.83835616438356164</v>
      </c>
      <c r="K399" s="258">
        <f>$D399*J399*_xlfn.XLOOKUP($I399,'Sample Size cal and results'!$B$24:$B$25,'Sample Size cal and results'!$H$24:$H$25)</f>
        <v>141.59860992533231</v>
      </c>
      <c r="L399" s="211">
        <f t="shared" si="80"/>
        <v>0.16164383561643836</v>
      </c>
      <c r="M399" s="211">
        <f>$D399*L399*_xlfn.XLOOKUP($I399,'Sample Size cal and results'!$B$24:$B$25,'Sample Size cal and results'!$I$24:$I$25)</f>
        <v>28.01181681607078</v>
      </c>
      <c r="N399" s="214">
        <f t="shared" si="81"/>
        <v>169.6104267414031</v>
      </c>
      <c r="O399" s="225" t="str">
        <f t="shared" si="82"/>
        <v>7-8 years</v>
      </c>
      <c r="P399" s="226">
        <f t="shared" si="83"/>
        <v>0.70410958904109588</v>
      </c>
      <c r="Q399" s="227">
        <f>$D399*P399*_xlfn.XLOOKUP($O399,'Sample Size cal and results'!$B$26:$B$27,'Sample Size cal and results'!$I$26:$I$27)</f>
        <v>94.247127047973763</v>
      </c>
      <c r="R399" s="330"/>
    </row>
    <row r="400" spans="1:18" ht="12.75">
      <c r="A400" s="99" t="s">
        <v>52</v>
      </c>
      <c r="B400" s="100">
        <v>41955</v>
      </c>
      <c r="C400" s="100">
        <f t="shared" si="73"/>
        <v>44511</v>
      </c>
      <c r="D400" s="209">
        <v>269</v>
      </c>
      <c r="E400" s="217">
        <f t="shared" si="74"/>
        <v>5.29</v>
      </c>
      <c r="F400" s="218">
        <f t="shared" si="75"/>
        <v>6.29</v>
      </c>
      <c r="G400" s="219">
        <f t="shared" si="76"/>
        <v>6.29</v>
      </c>
      <c r="H400" s="220">
        <f t="shared" si="77"/>
        <v>7.29</v>
      </c>
      <c r="I400" s="257" t="str">
        <f t="shared" si="78"/>
        <v>6-7 years</v>
      </c>
      <c r="J400" s="211">
        <f t="shared" si="79"/>
        <v>0.83835616438356164</v>
      </c>
      <c r="K400" s="258">
        <f>$D400*J400*_xlfn.XLOOKUP($I400,'Sample Size cal and results'!$B$24:$B$25,'Sample Size cal and results'!$H$24:$H$25)</f>
        <v>184.9030391743417</v>
      </c>
      <c r="L400" s="211">
        <f t="shared" si="80"/>
        <v>0.16164383561643836</v>
      </c>
      <c r="M400" s="211">
        <f>$D400*L400*_xlfn.XLOOKUP($I400,'Sample Size cal and results'!$B$24:$B$25,'Sample Size cal and results'!$I$24:$I$25)</f>
        <v>36.578537492830286</v>
      </c>
      <c r="N400" s="214">
        <f t="shared" si="81"/>
        <v>221.48157666717199</v>
      </c>
      <c r="O400" s="225" t="str">
        <f t="shared" si="82"/>
        <v>7-8 years</v>
      </c>
      <c r="P400" s="226">
        <f t="shared" si="83"/>
        <v>0.70136986301369864</v>
      </c>
      <c r="Q400" s="227">
        <f>$D400*P400*_xlfn.XLOOKUP($O400,'Sample Size cal and results'!$B$26:$B$27,'Sample Size cal and results'!$I$26:$I$27)</f>
        <v>122.59140487763335</v>
      </c>
      <c r="R400" s="330"/>
    </row>
    <row r="401" spans="1:18" ht="12.75">
      <c r="A401" s="99" t="s">
        <v>52</v>
      </c>
      <c r="B401" s="100">
        <v>41954</v>
      </c>
      <c r="C401" s="100">
        <f t="shared" si="73"/>
        <v>44510</v>
      </c>
      <c r="D401" s="209">
        <v>207</v>
      </c>
      <c r="E401" s="217">
        <f t="shared" si="74"/>
        <v>5.3</v>
      </c>
      <c r="F401" s="218">
        <f t="shared" si="75"/>
        <v>6.29</v>
      </c>
      <c r="G401" s="219">
        <f t="shared" si="76"/>
        <v>6.3</v>
      </c>
      <c r="H401" s="220">
        <f t="shared" si="77"/>
        <v>7.29</v>
      </c>
      <c r="I401" s="257" t="str">
        <f t="shared" si="78"/>
        <v>6-7 years</v>
      </c>
      <c r="J401" s="211">
        <f t="shared" si="79"/>
        <v>0.83835616438356164</v>
      </c>
      <c r="K401" s="258">
        <f>$D401*J401*_xlfn.XLOOKUP($I401,'Sample Size cal and results'!$B$24:$B$25,'Sample Size cal and results'!$H$24:$H$25)</f>
        <v>142.28598181817372</v>
      </c>
      <c r="L401" s="211">
        <f t="shared" si="80"/>
        <v>0.16164383561643836</v>
      </c>
      <c r="M401" s="211">
        <f>$D401*L401*_xlfn.XLOOKUP($I401,'Sample Size cal and results'!$B$24:$B$25,'Sample Size cal and results'!$I$24:$I$25)</f>
        <v>28.147796509352677</v>
      </c>
      <c r="N401" s="214">
        <f t="shared" si="81"/>
        <v>170.4337783275264</v>
      </c>
      <c r="O401" s="225" t="str">
        <f t="shared" si="82"/>
        <v>7-8 years</v>
      </c>
      <c r="P401" s="226">
        <f t="shared" si="83"/>
        <v>0.69863013698630139</v>
      </c>
      <c r="Q401" s="227">
        <f>$D401*P401*_xlfn.XLOOKUP($O401,'Sample Size cal and results'!$B$26:$B$27,'Sample Size cal and results'!$I$26:$I$27)</f>
        <v>93.967636304395299</v>
      </c>
      <c r="R401" s="330"/>
    </row>
    <row r="402" spans="1:18" ht="12.75">
      <c r="A402" s="99" t="s">
        <v>52</v>
      </c>
      <c r="B402" s="100">
        <v>41953</v>
      </c>
      <c r="C402" s="100">
        <f t="shared" si="73"/>
        <v>44509</v>
      </c>
      <c r="D402" s="209">
        <v>224</v>
      </c>
      <c r="E402" s="217">
        <f t="shared" si="74"/>
        <v>5.3</v>
      </c>
      <c r="F402" s="218">
        <f t="shared" si="75"/>
        <v>6.3</v>
      </c>
      <c r="G402" s="219">
        <f t="shared" si="76"/>
        <v>6.3</v>
      </c>
      <c r="H402" s="220">
        <f t="shared" si="77"/>
        <v>7.3</v>
      </c>
      <c r="I402" s="257" t="str">
        <f t="shared" si="78"/>
        <v>6-7 years</v>
      </c>
      <c r="J402" s="211">
        <f t="shared" si="79"/>
        <v>0.83835616438356164</v>
      </c>
      <c r="K402" s="258">
        <f>$D402*J402*_xlfn.XLOOKUP($I402,'Sample Size cal and results'!$B$24:$B$25,'Sample Size cal and results'!$H$24:$H$25)</f>
        <v>153.97130399647784</v>
      </c>
      <c r="L402" s="211">
        <f t="shared" si="80"/>
        <v>0.16164383561643836</v>
      </c>
      <c r="M402" s="211">
        <f>$D402*L402*_xlfn.XLOOKUP($I402,'Sample Size cal and results'!$B$24:$B$25,'Sample Size cal and results'!$I$24:$I$25)</f>
        <v>30.45945129514492</v>
      </c>
      <c r="N402" s="214">
        <f t="shared" si="81"/>
        <v>184.43075529162277</v>
      </c>
      <c r="O402" s="225" t="str">
        <f t="shared" si="82"/>
        <v>7-8 years</v>
      </c>
      <c r="P402" s="226">
        <f t="shared" si="83"/>
        <v>0.69589041095890414</v>
      </c>
      <c r="Q402" s="227">
        <f>$D402*P402*_xlfn.XLOOKUP($O402,'Sample Size cal and results'!$B$26:$B$27,'Sample Size cal and results'!$I$26:$I$27)</f>
        <v>101.28602131618592</v>
      </c>
      <c r="R402" s="330"/>
    </row>
    <row r="403" spans="1:18" ht="12.75">
      <c r="A403" s="99" t="s">
        <v>52</v>
      </c>
      <c r="B403" s="100">
        <v>41952</v>
      </c>
      <c r="C403" s="100">
        <f t="shared" si="73"/>
        <v>44508</v>
      </c>
      <c r="D403" s="209">
        <v>205</v>
      </c>
      <c r="E403" s="217">
        <f t="shared" si="74"/>
        <v>5.3</v>
      </c>
      <c r="F403" s="218">
        <f t="shared" si="75"/>
        <v>6.3</v>
      </c>
      <c r="G403" s="219">
        <f t="shared" si="76"/>
        <v>6.3</v>
      </c>
      <c r="H403" s="220">
        <f t="shared" si="77"/>
        <v>7.3</v>
      </c>
      <c r="I403" s="257" t="str">
        <f t="shared" si="78"/>
        <v>6-7 years</v>
      </c>
      <c r="J403" s="211">
        <f t="shared" si="79"/>
        <v>0.83835616438356164</v>
      </c>
      <c r="K403" s="258">
        <f>$D403*J403*_xlfn.XLOOKUP($I403,'Sample Size cal and results'!$B$24:$B$25,'Sample Size cal and results'!$H$24:$H$25)</f>
        <v>140.9112380324909</v>
      </c>
      <c r="L403" s="211">
        <f t="shared" si="80"/>
        <v>0.16164383561643836</v>
      </c>
      <c r="M403" s="211">
        <f>$D403*L403*_xlfn.XLOOKUP($I403,'Sample Size cal and results'!$B$24:$B$25,'Sample Size cal and results'!$I$24:$I$25)</f>
        <v>27.875837122788884</v>
      </c>
      <c r="N403" s="214">
        <f t="shared" si="81"/>
        <v>168.78707515527978</v>
      </c>
      <c r="O403" s="225" t="str">
        <f t="shared" si="82"/>
        <v>7-8 years</v>
      </c>
      <c r="P403" s="226">
        <f t="shared" si="83"/>
        <v>0.69315068493150689</v>
      </c>
      <c r="Q403" s="227">
        <f>$D403*P403*_xlfn.XLOOKUP($O403,'Sample Size cal and results'!$B$26:$B$27,'Sample Size cal and results'!$I$26:$I$27)</f>
        <v>92.329856150941765</v>
      </c>
      <c r="R403" s="330"/>
    </row>
    <row r="404" spans="1:18" ht="12.75">
      <c r="A404" s="99" t="s">
        <v>52</v>
      </c>
      <c r="B404" s="100">
        <v>41951</v>
      </c>
      <c r="C404" s="100">
        <f t="shared" si="73"/>
        <v>44507</v>
      </c>
      <c r="D404" s="209">
        <v>1586</v>
      </c>
      <c r="E404" s="217">
        <f t="shared" si="74"/>
        <v>5.31</v>
      </c>
      <c r="F404" s="218">
        <f t="shared" si="75"/>
        <v>6.3</v>
      </c>
      <c r="G404" s="219">
        <f t="shared" si="76"/>
        <v>6.31</v>
      </c>
      <c r="H404" s="220">
        <f t="shared" si="77"/>
        <v>7.3</v>
      </c>
      <c r="I404" s="257" t="str">
        <f t="shared" si="78"/>
        <v>6-7 years</v>
      </c>
      <c r="J404" s="211">
        <f t="shared" si="79"/>
        <v>0.83835616438356164</v>
      </c>
      <c r="K404" s="258">
        <f>$D404*J404*_xlfn.XLOOKUP($I404,'Sample Size cal and results'!$B$24:$B$25,'Sample Size cal and results'!$H$24:$H$25)</f>
        <v>1090.1718220464904</v>
      </c>
      <c r="L404" s="211">
        <f t="shared" si="80"/>
        <v>0.16164383561643836</v>
      </c>
      <c r="M404" s="211">
        <f>$D404*L404*_xlfn.XLOOKUP($I404,'Sample Size cal and results'!$B$24:$B$25,'Sample Size cal and results'!$I$24:$I$25)</f>
        <v>215.66379354508859</v>
      </c>
      <c r="N404" s="214">
        <f t="shared" si="81"/>
        <v>1305.835615591579</v>
      </c>
      <c r="O404" s="225" t="str">
        <f t="shared" si="82"/>
        <v>7-8 years</v>
      </c>
      <c r="P404" s="226">
        <f t="shared" si="83"/>
        <v>0.69041095890410964</v>
      </c>
      <c r="Q404" s="227">
        <f>$D404*P404*_xlfn.XLOOKUP($O404,'Sample Size cal and results'!$B$26:$B$27,'Sample Size cal and results'!$I$26:$I$27)</f>
        <v>711.49442335986123</v>
      </c>
      <c r="R404" s="330"/>
    </row>
    <row r="405" spans="1:18" ht="12.75">
      <c r="A405" s="99" t="s">
        <v>52</v>
      </c>
      <c r="B405" s="100">
        <v>41950</v>
      </c>
      <c r="C405" s="100">
        <f t="shared" si="73"/>
        <v>44506</v>
      </c>
      <c r="D405" s="209">
        <v>234</v>
      </c>
      <c r="E405" s="217">
        <f t="shared" si="74"/>
        <v>5.31</v>
      </c>
      <c r="F405" s="218">
        <f t="shared" si="75"/>
        <v>6.31</v>
      </c>
      <c r="G405" s="219">
        <f t="shared" si="76"/>
        <v>6.31</v>
      </c>
      <c r="H405" s="220">
        <f t="shared" si="77"/>
        <v>7.31</v>
      </c>
      <c r="I405" s="257" t="str">
        <f t="shared" si="78"/>
        <v>6-7 years</v>
      </c>
      <c r="J405" s="211">
        <f t="shared" si="79"/>
        <v>0.83835616438356164</v>
      </c>
      <c r="K405" s="258">
        <f>$D405*J405*_xlfn.XLOOKUP($I405,'Sample Size cal and results'!$B$24:$B$25,'Sample Size cal and results'!$H$24:$H$25)</f>
        <v>160.84502292489205</v>
      </c>
      <c r="L405" s="211">
        <f t="shared" si="80"/>
        <v>0.16164383561643836</v>
      </c>
      <c r="M405" s="211">
        <f>$D405*L405*_xlfn.XLOOKUP($I405,'Sample Size cal and results'!$B$24:$B$25,'Sample Size cal and results'!$I$24:$I$25)</f>
        <v>31.819248227963893</v>
      </c>
      <c r="N405" s="214">
        <f t="shared" si="81"/>
        <v>192.66427115285595</v>
      </c>
      <c r="O405" s="225" t="str">
        <f t="shared" si="82"/>
        <v>7-8 years</v>
      </c>
      <c r="P405" s="226">
        <f t="shared" si="83"/>
        <v>0.68767123287671228</v>
      </c>
      <c r="Q405" s="227">
        <f>$D405*P405*_xlfn.XLOOKUP($O405,'Sample Size cal and results'!$B$26:$B$27,'Sample Size cal and results'!$I$26:$I$27)</f>
        <v>104.558021231455</v>
      </c>
      <c r="R405" s="330"/>
    </row>
    <row r="406" spans="1:18" ht="12.75">
      <c r="A406" s="99" t="s">
        <v>52</v>
      </c>
      <c r="B406" s="100">
        <v>41949</v>
      </c>
      <c r="C406" s="100">
        <f t="shared" si="73"/>
        <v>44505</v>
      </c>
      <c r="D406" s="209">
        <v>203</v>
      </c>
      <c r="E406" s="217">
        <f t="shared" si="74"/>
        <v>5.31</v>
      </c>
      <c r="F406" s="218">
        <f t="shared" si="75"/>
        <v>6.31</v>
      </c>
      <c r="G406" s="219">
        <f t="shared" si="76"/>
        <v>6.31</v>
      </c>
      <c r="H406" s="220">
        <f t="shared" si="77"/>
        <v>7.31</v>
      </c>
      <c r="I406" s="257" t="str">
        <f t="shared" si="78"/>
        <v>6-7 years</v>
      </c>
      <c r="J406" s="211">
        <f t="shared" si="79"/>
        <v>0.83835616438356164</v>
      </c>
      <c r="K406" s="258">
        <f>$D406*J406*_xlfn.XLOOKUP($I406,'Sample Size cal and results'!$B$24:$B$25,'Sample Size cal and results'!$H$24:$H$25)</f>
        <v>139.53649424680805</v>
      </c>
      <c r="L406" s="211">
        <f t="shared" si="80"/>
        <v>0.16164383561643836</v>
      </c>
      <c r="M406" s="211">
        <f>$D406*L406*_xlfn.XLOOKUP($I406,'Sample Size cal and results'!$B$24:$B$25,'Sample Size cal and results'!$I$24:$I$25)</f>
        <v>27.60387773622509</v>
      </c>
      <c r="N406" s="214">
        <f t="shared" si="81"/>
        <v>167.14037198303313</v>
      </c>
      <c r="O406" s="225" t="str">
        <f t="shared" si="82"/>
        <v>7-8 years</v>
      </c>
      <c r="P406" s="226">
        <f t="shared" si="83"/>
        <v>0.68493150684931503</v>
      </c>
      <c r="Q406" s="227">
        <f>$D406*P406*_xlfn.XLOOKUP($O406,'Sample Size cal and results'!$B$26:$B$27,'Sample Size cal and results'!$I$26:$I$27)</f>
        <v>90.344937812788871</v>
      </c>
      <c r="R406" s="330"/>
    </row>
    <row r="407" spans="1:18" ht="12.75">
      <c r="A407" s="99" t="s">
        <v>52</v>
      </c>
      <c r="B407" s="100">
        <v>41948</v>
      </c>
      <c r="C407" s="100">
        <f t="shared" si="73"/>
        <v>44504</v>
      </c>
      <c r="D407" s="209">
        <v>174</v>
      </c>
      <c r="E407" s="217">
        <f t="shared" si="74"/>
        <v>5.31</v>
      </c>
      <c r="F407" s="218">
        <f t="shared" si="75"/>
        <v>6.31</v>
      </c>
      <c r="G407" s="219">
        <f t="shared" si="76"/>
        <v>6.31</v>
      </c>
      <c r="H407" s="220">
        <f t="shared" si="77"/>
        <v>7.31</v>
      </c>
      <c r="I407" s="257" t="str">
        <f t="shared" si="78"/>
        <v>6-7 years</v>
      </c>
      <c r="J407" s="211">
        <f t="shared" si="79"/>
        <v>0.83835616438356164</v>
      </c>
      <c r="K407" s="258">
        <f>$D407*J407*_xlfn.XLOOKUP($I407,'Sample Size cal and results'!$B$24:$B$25,'Sample Size cal and results'!$H$24:$H$25)</f>
        <v>119.60270935440688</v>
      </c>
      <c r="L407" s="211">
        <f t="shared" si="80"/>
        <v>0.16164383561643836</v>
      </c>
      <c r="M407" s="211">
        <f>$D407*L407*_xlfn.XLOOKUP($I407,'Sample Size cal and results'!$B$24:$B$25,'Sample Size cal and results'!$I$24:$I$25)</f>
        <v>23.660466631050074</v>
      </c>
      <c r="N407" s="214">
        <f t="shared" si="81"/>
        <v>143.26317598545697</v>
      </c>
      <c r="O407" s="225" t="str">
        <f t="shared" si="82"/>
        <v>7-8 years</v>
      </c>
      <c r="P407" s="226">
        <f t="shared" si="83"/>
        <v>0.68219178082191778</v>
      </c>
      <c r="Q407" s="227">
        <f>$D407*P407*_xlfn.XLOOKUP($O407,'Sample Size cal and results'!$B$26:$B$27,'Sample Size cal and results'!$I$26:$I$27)</f>
        <v>77.128764052746618</v>
      </c>
      <c r="R407" s="330"/>
    </row>
    <row r="408" spans="1:18" ht="12.75">
      <c r="A408" s="99" t="s">
        <v>52</v>
      </c>
      <c r="B408" s="100">
        <v>41947</v>
      </c>
      <c r="C408" s="100">
        <f t="shared" si="73"/>
        <v>44503</v>
      </c>
      <c r="D408" s="209">
        <v>130</v>
      </c>
      <c r="E408" s="217">
        <f t="shared" si="74"/>
        <v>5.32</v>
      </c>
      <c r="F408" s="218">
        <f t="shared" si="75"/>
        <v>6.31</v>
      </c>
      <c r="G408" s="219">
        <f t="shared" si="76"/>
        <v>6.32</v>
      </c>
      <c r="H408" s="220">
        <f t="shared" si="77"/>
        <v>7.31</v>
      </c>
      <c r="I408" s="257" t="str">
        <f t="shared" si="78"/>
        <v>6-7 years</v>
      </c>
      <c r="J408" s="211">
        <f t="shared" si="79"/>
        <v>0.83835616438356164</v>
      </c>
      <c r="K408" s="258">
        <f>$D408*J408*_xlfn.XLOOKUP($I408,'Sample Size cal and results'!$B$24:$B$25,'Sample Size cal and results'!$H$24:$H$25)</f>
        <v>89.358346069384467</v>
      </c>
      <c r="L408" s="211">
        <f t="shared" si="80"/>
        <v>0.16164383561643836</v>
      </c>
      <c r="M408" s="211">
        <f>$D408*L408*_xlfn.XLOOKUP($I408,'Sample Size cal and results'!$B$24:$B$25,'Sample Size cal and results'!$I$24:$I$25)</f>
        <v>17.677360126646608</v>
      </c>
      <c r="N408" s="214">
        <f t="shared" si="81"/>
        <v>107.03570619603107</v>
      </c>
      <c r="O408" s="225" t="str">
        <f t="shared" si="82"/>
        <v>7-8 years</v>
      </c>
      <c r="P408" s="226">
        <f t="shared" si="83"/>
        <v>0.67945205479452053</v>
      </c>
      <c r="Q408" s="227">
        <f>$D408*P408*_xlfn.XLOOKUP($O408,'Sample Size cal and results'!$B$26:$B$27,'Sample Size cal and results'!$I$26:$I$27)</f>
        <v>57.393513203631791</v>
      </c>
      <c r="R408" s="330"/>
    </row>
    <row r="409" spans="1:18" ht="12.75">
      <c r="A409" s="99" t="s">
        <v>52</v>
      </c>
      <c r="B409" s="100">
        <v>41946</v>
      </c>
      <c r="C409" s="100">
        <f t="shared" si="73"/>
        <v>44502</v>
      </c>
      <c r="D409" s="209">
        <v>147</v>
      </c>
      <c r="E409" s="217">
        <f t="shared" si="74"/>
        <v>5.32</v>
      </c>
      <c r="F409" s="218">
        <f t="shared" si="75"/>
        <v>6.32</v>
      </c>
      <c r="G409" s="219">
        <f t="shared" si="76"/>
        <v>6.32</v>
      </c>
      <c r="H409" s="220">
        <f t="shared" si="77"/>
        <v>7.32</v>
      </c>
      <c r="I409" s="257" t="str">
        <f t="shared" si="78"/>
        <v>6-7 years</v>
      </c>
      <c r="J409" s="211">
        <f t="shared" si="79"/>
        <v>0.83835616438356164</v>
      </c>
      <c r="K409" s="258">
        <f>$D409*J409*_xlfn.XLOOKUP($I409,'Sample Size cal and results'!$B$24:$B$25,'Sample Size cal and results'!$H$24:$H$25)</f>
        <v>101.04366824768859</v>
      </c>
      <c r="L409" s="211">
        <f t="shared" si="80"/>
        <v>0.16164383561643836</v>
      </c>
      <c r="M409" s="211">
        <f>$D409*L409*_xlfn.XLOOKUP($I409,'Sample Size cal and results'!$B$24:$B$25,'Sample Size cal and results'!$I$24:$I$25)</f>
        <v>19.989014912438858</v>
      </c>
      <c r="N409" s="214">
        <f t="shared" si="81"/>
        <v>121.03268316012745</v>
      </c>
      <c r="O409" s="225" t="str">
        <f t="shared" si="82"/>
        <v>7-8 years</v>
      </c>
      <c r="P409" s="226">
        <f t="shared" si="83"/>
        <v>0.67671232876712328</v>
      </c>
      <c r="Q409" s="227">
        <f>$D409*P409*_xlfn.XLOOKUP($O409,'Sample Size cal and results'!$B$26:$B$27,'Sample Size cal and results'!$I$26:$I$27)</f>
        <v>64.637129991025645</v>
      </c>
      <c r="R409" s="330"/>
    </row>
    <row r="410" spans="1:18" ht="12.75">
      <c r="A410" s="99" t="s">
        <v>52</v>
      </c>
      <c r="B410" s="100">
        <v>41945</v>
      </c>
      <c r="C410" s="100">
        <f t="shared" si="73"/>
        <v>44501</v>
      </c>
      <c r="D410" s="209">
        <v>102</v>
      </c>
      <c r="E410" s="217">
        <f t="shared" si="74"/>
        <v>5.32</v>
      </c>
      <c r="F410" s="218">
        <f t="shared" si="75"/>
        <v>6.32</v>
      </c>
      <c r="G410" s="219">
        <f t="shared" si="76"/>
        <v>6.32</v>
      </c>
      <c r="H410" s="220">
        <f t="shared" si="77"/>
        <v>7.32</v>
      </c>
      <c r="I410" s="257" t="str">
        <f t="shared" si="78"/>
        <v>6-7 years</v>
      </c>
      <c r="J410" s="211">
        <f t="shared" si="79"/>
        <v>0.83835616438356164</v>
      </c>
      <c r="K410" s="258">
        <f>$D410*J410*_xlfn.XLOOKUP($I410,'Sample Size cal and results'!$B$24:$B$25,'Sample Size cal and results'!$H$24:$H$25)</f>
        <v>70.11193306982473</v>
      </c>
      <c r="L410" s="211">
        <f t="shared" si="80"/>
        <v>0.16164383561643836</v>
      </c>
      <c r="M410" s="211">
        <f>$D410*L410*_xlfn.XLOOKUP($I410,'Sample Size cal and results'!$B$24:$B$25,'Sample Size cal and results'!$I$24:$I$25)</f>
        <v>13.869928714753494</v>
      </c>
      <c r="N410" s="214">
        <f t="shared" si="81"/>
        <v>83.981861784578228</v>
      </c>
      <c r="O410" s="225" t="str">
        <f t="shared" si="82"/>
        <v>7-8 years</v>
      </c>
      <c r="P410" s="226">
        <f t="shared" si="83"/>
        <v>0.67397260273972603</v>
      </c>
      <c r="Q410" s="227">
        <f>$D410*P410*_xlfn.XLOOKUP($O410,'Sample Size cal and results'!$B$26:$B$27,'Sample Size cal and results'!$I$26:$I$27)</f>
        <v>44.668673489625583</v>
      </c>
      <c r="R410" s="330"/>
    </row>
    <row r="411" spans="1:18" ht="12.75">
      <c r="A411" s="99" t="s">
        <v>51</v>
      </c>
      <c r="B411" s="100">
        <v>41945</v>
      </c>
      <c r="C411" s="100">
        <f t="shared" si="73"/>
        <v>44501</v>
      </c>
      <c r="D411" s="209">
        <v>44</v>
      </c>
      <c r="E411" s="217">
        <f t="shared" si="74"/>
        <v>5.32</v>
      </c>
      <c r="F411" s="218">
        <f t="shared" si="75"/>
        <v>6.32</v>
      </c>
      <c r="G411" s="219">
        <f t="shared" si="76"/>
        <v>6.32</v>
      </c>
      <c r="H411" s="220">
        <f t="shared" si="77"/>
        <v>7.32</v>
      </c>
      <c r="I411" s="257" t="str">
        <f t="shared" si="78"/>
        <v>6-7 years</v>
      </c>
      <c r="J411" s="211">
        <f t="shared" si="79"/>
        <v>0.83835616438356164</v>
      </c>
      <c r="K411" s="258">
        <f>$D411*J411*_xlfn.XLOOKUP($I411,'Sample Size cal and results'!$B$24:$B$25,'Sample Size cal and results'!$H$24:$H$25)</f>
        <v>30.244363285022434</v>
      </c>
      <c r="L411" s="211">
        <f t="shared" si="80"/>
        <v>0.16164383561643836</v>
      </c>
      <c r="M411" s="211">
        <f>$D411*L411*_xlfn.XLOOKUP($I411,'Sample Size cal and results'!$B$24:$B$25,'Sample Size cal and results'!$I$24:$I$25)</f>
        <v>5.9831065044034668</v>
      </c>
      <c r="N411" s="214">
        <f t="shared" si="81"/>
        <v>36.227469789425903</v>
      </c>
      <c r="O411" s="225" t="str">
        <f t="shared" si="82"/>
        <v>7-8 years</v>
      </c>
      <c r="P411" s="226">
        <f t="shared" si="83"/>
        <v>0.67397260273972603</v>
      </c>
      <c r="Q411" s="227">
        <f>$D411*P411*_xlfn.XLOOKUP($O411,'Sample Size cal and results'!$B$26:$B$27,'Sample Size cal and results'!$I$26:$I$27)</f>
        <v>19.26883954454437</v>
      </c>
      <c r="R411" s="330"/>
    </row>
    <row r="412" spans="1:18" ht="12.75">
      <c r="A412" s="99" t="s">
        <v>51</v>
      </c>
      <c r="B412" s="100">
        <v>41944</v>
      </c>
      <c r="C412" s="100">
        <f t="shared" si="73"/>
        <v>44500</v>
      </c>
      <c r="D412" s="209">
        <v>122</v>
      </c>
      <c r="E412" s="217">
        <f t="shared" si="74"/>
        <v>5.33</v>
      </c>
      <c r="F412" s="218">
        <f t="shared" si="75"/>
        <v>6.32</v>
      </c>
      <c r="G412" s="219">
        <f t="shared" si="76"/>
        <v>6.32</v>
      </c>
      <c r="H412" s="220">
        <f t="shared" si="77"/>
        <v>7.32</v>
      </c>
      <c r="I412" s="257" t="str">
        <f t="shared" si="78"/>
        <v>6-7 years</v>
      </c>
      <c r="J412" s="211">
        <f t="shared" si="79"/>
        <v>0.83835616438356164</v>
      </c>
      <c r="K412" s="258">
        <f>$D412*J412*_xlfn.XLOOKUP($I412,'Sample Size cal and results'!$B$24:$B$25,'Sample Size cal and results'!$H$24:$H$25)</f>
        <v>83.859370926653114</v>
      </c>
      <c r="L412" s="211">
        <f t="shared" si="80"/>
        <v>0.16164383561643836</v>
      </c>
      <c r="M412" s="211">
        <f>$D412*L412*_xlfn.XLOOKUP($I412,'Sample Size cal and results'!$B$24:$B$25,'Sample Size cal and results'!$I$24:$I$25)</f>
        <v>16.589522580391431</v>
      </c>
      <c r="N412" s="214">
        <f t="shared" si="81"/>
        <v>100.44889350704455</v>
      </c>
      <c r="O412" s="225" t="str">
        <f t="shared" si="82"/>
        <v>7-8 years</v>
      </c>
      <c r="P412" s="226">
        <f t="shared" si="83"/>
        <v>0.67123287671232879</v>
      </c>
      <c r="Q412" s="227">
        <f>$D412*P412*_xlfn.XLOOKUP($O412,'Sample Size cal and results'!$B$26:$B$27,'Sample Size cal and results'!$I$26:$I$27)</f>
        <v>53.210053029049448</v>
      </c>
      <c r="R412" s="330"/>
    </row>
    <row r="413" spans="1:18" ht="12.75">
      <c r="A413" s="99" t="s">
        <v>148</v>
      </c>
      <c r="B413" s="100">
        <v>41943</v>
      </c>
      <c r="C413" s="100">
        <f t="shared" si="73"/>
        <v>44499</v>
      </c>
      <c r="D413" s="209">
        <v>1893</v>
      </c>
      <c r="E413" s="217">
        <f t="shared" si="74"/>
        <v>5.33</v>
      </c>
      <c r="F413" s="218">
        <f t="shared" si="75"/>
        <v>6.32</v>
      </c>
      <c r="G413" s="219">
        <f t="shared" si="76"/>
        <v>6.33</v>
      </c>
      <c r="H413" s="220">
        <f t="shared" si="77"/>
        <v>7.32</v>
      </c>
      <c r="I413" s="257" t="str">
        <f t="shared" si="78"/>
        <v>6-7 years</v>
      </c>
      <c r="J413" s="211">
        <f t="shared" si="79"/>
        <v>0.83835616438356164</v>
      </c>
      <c r="K413" s="258">
        <f>$D413*J413*_xlfn.XLOOKUP($I413,'Sample Size cal and results'!$B$24:$B$25,'Sample Size cal and results'!$H$24:$H$25)</f>
        <v>1301.1949931488061</v>
      </c>
      <c r="L413" s="211">
        <f t="shared" si="80"/>
        <v>0.16164383561643836</v>
      </c>
      <c r="M413" s="211">
        <f>$D413*L413*_xlfn.XLOOKUP($I413,'Sample Size cal and results'!$B$24:$B$25,'Sample Size cal and results'!$I$24:$I$25)</f>
        <v>257.40955938263096</v>
      </c>
      <c r="N413" s="214">
        <f t="shared" si="81"/>
        <v>1558.6045525314371</v>
      </c>
      <c r="O413" s="225" t="str">
        <f t="shared" si="82"/>
        <v>7-8 years</v>
      </c>
      <c r="P413" s="226">
        <f t="shared" si="83"/>
        <v>0.66849315068493154</v>
      </c>
      <c r="Q413" s="227">
        <f>$D413*P413*_xlfn.XLOOKUP($O413,'Sample Size cal and results'!$B$26:$B$27,'Sample Size cal and results'!$I$26:$I$27)</f>
        <v>822.25820721624996</v>
      </c>
      <c r="R413" s="330"/>
    </row>
    <row r="414" spans="1:18" ht="12.75">
      <c r="A414" s="99" t="s">
        <v>146</v>
      </c>
      <c r="B414" s="100">
        <v>41943</v>
      </c>
      <c r="C414" s="100">
        <f t="shared" si="73"/>
        <v>44499</v>
      </c>
      <c r="D414" s="209">
        <v>964</v>
      </c>
      <c r="E414" s="217">
        <f t="shared" si="74"/>
        <v>5.33</v>
      </c>
      <c r="F414" s="218">
        <f t="shared" si="75"/>
        <v>6.32</v>
      </c>
      <c r="G414" s="219">
        <f t="shared" si="76"/>
        <v>6.33</v>
      </c>
      <c r="H414" s="220">
        <f t="shared" si="77"/>
        <v>7.32</v>
      </c>
      <c r="I414" s="257" t="str">
        <f t="shared" si="78"/>
        <v>6-7 years</v>
      </c>
      <c r="J414" s="211">
        <f t="shared" si="79"/>
        <v>0.83835616438356164</v>
      </c>
      <c r="K414" s="258">
        <f>$D414*J414*_xlfn.XLOOKUP($I414,'Sample Size cal and results'!$B$24:$B$25,'Sample Size cal and results'!$H$24:$H$25)</f>
        <v>662.62650469912785</v>
      </c>
      <c r="L414" s="211">
        <f t="shared" si="80"/>
        <v>0.16164383561643836</v>
      </c>
      <c r="M414" s="211">
        <f>$D414*L414*_xlfn.XLOOKUP($I414,'Sample Size cal and results'!$B$24:$B$25,'Sample Size cal and results'!$I$24:$I$25)</f>
        <v>131.08442432374869</v>
      </c>
      <c r="N414" s="214">
        <f t="shared" si="81"/>
        <v>793.7109290228766</v>
      </c>
      <c r="O414" s="225" t="str">
        <f t="shared" si="82"/>
        <v>7-8 years</v>
      </c>
      <c r="P414" s="226">
        <f t="shared" si="83"/>
        <v>0.66849315068493154</v>
      </c>
      <c r="Q414" s="227">
        <f>$D414*P414*_xlfn.XLOOKUP($O414,'Sample Size cal and results'!$B$26:$B$27,'Sample Size cal and results'!$I$26:$I$27)</f>
        <v>418.73053975513199</v>
      </c>
      <c r="R414" s="330"/>
    </row>
    <row r="415" spans="1:18" ht="12.75">
      <c r="A415" s="99" t="s">
        <v>51</v>
      </c>
      <c r="B415" s="100">
        <v>41943</v>
      </c>
      <c r="C415" s="100">
        <f t="shared" si="73"/>
        <v>44499</v>
      </c>
      <c r="D415" s="209">
        <v>111</v>
      </c>
      <c r="E415" s="217">
        <f t="shared" si="74"/>
        <v>5.33</v>
      </c>
      <c r="F415" s="218">
        <f t="shared" si="75"/>
        <v>6.32</v>
      </c>
      <c r="G415" s="219">
        <f t="shared" si="76"/>
        <v>6.33</v>
      </c>
      <c r="H415" s="220">
        <f t="shared" si="77"/>
        <v>7.32</v>
      </c>
      <c r="I415" s="257" t="str">
        <f t="shared" si="78"/>
        <v>6-7 years</v>
      </c>
      <c r="J415" s="211">
        <f t="shared" si="79"/>
        <v>0.83835616438356164</v>
      </c>
      <c r="K415" s="258">
        <f>$D415*J415*_xlfn.XLOOKUP($I415,'Sample Size cal and results'!$B$24:$B$25,'Sample Size cal and results'!$H$24:$H$25)</f>
        <v>76.298280105397509</v>
      </c>
      <c r="L415" s="211">
        <f t="shared" si="80"/>
        <v>0.16164383561643836</v>
      </c>
      <c r="M415" s="211">
        <f>$D415*L415*_xlfn.XLOOKUP($I415,'Sample Size cal and results'!$B$24:$B$25,'Sample Size cal and results'!$I$24:$I$25)</f>
        <v>15.093745954290563</v>
      </c>
      <c r="N415" s="214">
        <f t="shared" si="81"/>
        <v>91.392026059688078</v>
      </c>
      <c r="O415" s="225" t="str">
        <f t="shared" si="82"/>
        <v>7-8 years</v>
      </c>
      <c r="P415" s="226">
        <f t="shared" si="83"/>
        <v>0.66849315068493154</v>
      </c>
      <c r="Q415" s="227">
        <f>$D415*P415*_xlfn.XLOOKUP($O415,'Sample Size cal and results'!$B$26:$B$27,'Sample Size cal and results'!$I$26:$I$27)</f>
        <v>48.214823561016239</v>
      </c>
      <c r="R415" s="330"/>
    </row>
    <row r="416" spans="1:18" ht="12.75">
      <c r="A416" s="99" t="s">
        <v>148</v>
      </c>
      <c r="B416" s="100">
        <v>41942</v>
      </c>
      <c r="C416" s="100">
        <f t="shared" si="73"/>
        <v>44498</v>
      </c>
      <c r="D416" s="209">
        <v>1269</v>
      </c>
      <c r="E416" s="217">
        <f t="shared" si="74"/>
        <v>5.33</v>
      </c>
      <c r="F416" s="218">
        <f t="shared" si="75"/>
        <v>6.33</v>
      </c>
      <c r="G416" s="219">
        <f t="shared" si="76"/>
        <v>6.33</v>
      </c>
      <c r="H416" s="220">
        <f t="shared" si="77"/>
        <v>7.33</v>
      </c>
      <c r="I416" s="257" t="str">
        <f t="shared" si="78"/>
        <v>6-7 years</v>
      </c>
      <c r="J416" s="211">
        <f t="shared" si="79"/>
        <v>0.83835616438356164</v>
      </c>
      <c r="K416" s="258">
        <f>$D416*J416*_xlfn.XLOOKUP($I416,'Sample Size cal and results'!$B$24:$B$25,'Sample Size cal and results'!$H$24:$H$25)</f>
        <v>872.27493201576067</v>
      </c>
      <c r="L416" s="211">
        <f t="shared" si="80"/>
        <v>0.16164383561643836</v>
      </c>
      <c r="M416" s="211">
        <f>$D416*L416*_xlfn.XLOOKUP($I416,'Sample Size cal and results'!$B$24:$B$25,'Sample Size cal and results'!$I$24:$I$25)</f>
        <v>172.55823077472726</v>
      </c>
      <c r="N416" s="214">
        <f t="shared" si="81"/>
        <v>1044.8331627904879</v>
      </c>
      <c r="O416" s="225" t="str">
        <f t="shared" si="82"/>
        <v>7-8 years</v>
      </c>
      <c r="P416" s="226">
        <f t="shared" si="83"/>
        <v>0.66575342465753429</v>
      </c>
      <c r="Q416" s="227">
        <f>$D416*P416*_xlfn.XLOOKUP($O416,'Sample Size cal and results'!$B$26:$B$27,'Sample Size cal and results'!$I$26:$I$27)</f>
        <v>548.9536441086949</v>
      </c>
      <c r="R416" s="330"/>
    </row>
    <row r="417" spans="1:18" ht="12.75">
      <c r="A417" s="99" t="s">
        <v>146</v>
      </c>
      <c r="B417" s="100">
        <v>41942</v>
      </c>
      <c r="C417" s="100">
        <f t="shared" si="73"/>
        <v>44498</v>
      </c>
      <c r="D417" s="209">
        <v>457</v>
      </c>
      <c r="E417" s="217">
        <f t="shared" si="74"/>
        <v>5.33</v>
      </c>
      <c r="F417" s="218">
        <f t="shared" si="75"/>
        <v>6.33</v>
      </c>
      <c r="G417" s="219">
        <f t="shared" si="76"/>
        <v>6.33</v>
      </c>
      <c r="H417" s="220">
        <f t="shared" si="77"/>
        <v>7.33</v>
      </c>
      <c r="I417" s="257" t="str">
        <f t="shared" si="78"/>
        <v>6-7 years</v>
      </c>
      <c r="J417" s="211">
        <f t="shared" si="79"/>
        <v>0.83835616438356164</v>
      </c>
      <c r="K417" s="258">
        <f>$D417*J417*_xlfn.XLOOKUP($I417,'Sample Size cal and results'!$B$24:$B$25,'Sample Size cal and results'!$H$24:$H$25)</f>
        <v>314.12895502852848</v>
      </c>
      <c r="L417" s="211">
        <f t="shared" si="80"/>
        <v>0.16164383561643836</v>
      </c>
      <c r="M417" s="211">
        <f>$D417*L417*_xlfn.XLOOKUP($I417,'Sample Size cal and results'!$B$24:$B$25,'Sample Size cal and results'!$I$24:$I$25)</f>
        <v>62.142719829826916</v>
      </c>
      <c r="N417" s="214">
        <f t="shared" si="81"/>
        <v>376.27167485835537</v>
      </c>
      <c r="O417" s="225" t="str">
        <f t="shared" si="82"/>
        <v>7-8 years</v>
      </c>
      <c r="P417" s="226">
        <f t="shared" si="83"/>
        <v>0.66575342465753429</v>
      </c>
      <c r="Q417" s="227">
        <f>$D417*P417*_xlfn.XLOOKUP($O417,'Sample Size cal and results'!$B$26:$B$27,'Sample Size cal and results'!$I$26:$I$27)</f>
        <v>197.69252589257178</v>
      </c>
      <c r="R417" s="330"/>
    </row>
    <row r="418" spans="1:18" ht="12.75">
      <c r="A418" s="99" t="s">
        <v>51</v>
      </c>
      <c r="B418" s="100">
        <v>41942</v>
      </c>
      <c r="C418" s="100">
        <f t="shared" si="73"/>
        <v>44498</v>
      </c>
      <c r="D418" s="209">
        <v>87</v>
      </c>
      <c r="E418" s="217">
        <f t="shared" si="74"/>
        <v>5.33</v>
      </c>
      <c r="F418" s="218">
        <f t="shared" si="75"/>
        <v>6.33</v>
      </c>
      <c r="G418" s="219">
        <f t="shared" si="76"/>
        <v>6.33</v>
      </c>
      <c r="H418" s="220">
        <f t="shared" si="77"/>
        <v>7.33</v>
      </c>
      <c r="I418" s="257" t="str">
        <f t="shared" si="78"/>
        <v>6-7 years</v>
      </c>
      <c r="J418" s="211">
        <f t="shared" si="79"/>
        <v>0.83835616438356164</v>
      </c>
      <c r="K418" s="258">
        <f>$D418*J418*_xlfn.XLOOKUP($I418,'Sample Size cal and results'!$B$24:$B$25,'Sample Size cal and results'!$H$24:$H$25)</f>
        <v>59.801354677203442</v>
      </c>
      <c r="L418" s="211">
        <f t="shared" si="80"/>
        <v>0.16164383561643836</v>
      </c>
      <c r="M418" s="211">
        <f>$D418*L418*_xlfn.XLOOKUP($I418,'Sample Size cal and results'!$B$24:$B$25,'Sample Size cal and results'!$I$24:$I$25)</f>
        <v>11.830233315525037</v>
      </c>
      <c r="N418" s="214">
        <f t="shared" si="81"/>
        <v>71.631587992728484</v>
      </c>
      <c r="O418" s="225" t="str">
        <f t="shared" si="82"/>
        <v>7-8 years</v>
      </c>
      <c r="P418" s="226">
        <f t="shared" si="83"/>
        <v>0.66575342465753429</v>
      </c>
      <c r="Q418" s="227">
        <f>$D418*P418*_xlfn.XLOOKUP($O418,'Sample Size cal and results'!$B$26:$B$27,'Sample Size cal and results'!$I$26:$I$27)</f>
        <v>37.635119808870343</v>
      </c>
      <c r="R418" s="330"/>
    </row>
    <row r="419" spans="1:18" ht="12.75">
      <c r="A419" s="99" t="s">
        <v>148</v>
      </c>
      <c r="B419" s="100">
        <v>41941</v>
      </c>
      <c r="C419" s="100">
        <f t="shared" si="73"/>
        <v>44497</v>
      </c>
      <c r="D419" s="209">
        <v>1000</v>
      </c>
      <c r="E419" s="217">
        <f t="shared" si="74"/>
        <v>5.33</v>
      </c>
      <c r="F419" s="218">
        <f t="shared" si="75"/>
        <v>6.33</v>
      </c>
      <c r="G419" s="219">
        <f t="shared" si="76"/>
        <v>6.33</v>
      </c>
      <c r="H419" s="220">
        <f t="shared" si="77"/>
        <v>7.33</v>
      </c>
      <c r="I419" s="257" t="str">
        <f t="shared" si="78"/>
        <v>6-7 years</v>
      </c>
      <c r="J419" s="211">
        <f t="shared" si="79"/>
        <v>0.83835616438356164</v>
      </c>
      <c r="K419" s="258">
        <f>$D419*J419*_xlfn.XLOOKUP($I419,'Sample Size cal and results'!$B$24:$B$25,'Sample Size cal and results'!$H$24:$H$25)</f>
        <v>687.37189284141903</v>
      </c>
      <c r="L419" s="211">
        <f t="shared" si="80"/>
        <v>0.16164383561643836</v>
      </c>
      <c r="M419" s="211">
        <f>$D419*L419*_xlfn.XLOOKUP($I419,'Sample Size cal and results'!$B$24:$B$25,'Sample Size cal and results'!$I$24:$I$25)</f>
        <v>135.97969328189697</v>
      </c>
      <c r="N419" s="214">
        <f t="shared" si="81"/>
        <v>823.351586123316</v>
      </c>
      <c r="O419" s="225" t="str">
        <f t="shared" si="82"/>
        <v>7-8 years</v>
      </c>
      <c r="P419" s="226">
        <f t="shared" si="83"/>
        <v>0.66301369863013704</v>
      </c>
      <c r="Q419" s="227">
        <f>$D419*P419*_xlfn.XLOOKUP($O419,'Sample Size cal and results'!$B$26:$B$27,'Sample Size cal and results'!$I$26:$I$27)</f>
        <v>430.80738819103266</v>
      </c>
      <c r="R419" s="330"/>
    </row>
    <row r="420" spans="1:18" ht="12.75">
      <c r="A420" s="99" t="s">
        <v>51</v>
      </c>
      <c r="B420" s="100">
        <v>41941</v>
      </c>
      <c r="C420" s="100">
        <f t="shared" si="73"/>
        <v>44497</v>
      </c>
      <c r="D420" s="209">
        <v>610</v>
      </c>
      <c r="E420" s="217">
        <f t="shared" si="74"/>
        <v>5.33</v>
      </c>
      <c r="F420" s="218">
        <f t="shared" si="75"/>
        <v>6.33</v>
      </c>
      <c r="G420" s="219">
        <f t="shared" si="76"/>
        <v>6.33</v>
      </c>
      <c r="H420" s="220">
        <f t="shared" si="77"/>
        <v>7.33</v>
      </c>
      <c r="I420" s="257" t="str">
        <f t="shared" si="78"/>
        <v>6-7 years</v>
      </c>
      <c r="J420" s="211">
        <f t="shared" si="79"/>
        <v>0.83835616438356164</v>
      </c>
      <c r="K420" s="258">
        <f>$D420*J420*_xlfn.XLOOKUP($I420,'Sample Size cal and results'!$B$24:$B$25,'Sample Size cal and results'!$H$24:$H$25)</f>
        <v>419.29685463326558</v>
      </c>
      <c r="L420" s="211">
        <f t="shared" si="80"/>
        <v>0.16164383561643836</v>
      </c>
      <c r="M420" s="211">
        <f>$D420*L420*_xlfn.XLOOKUP($I420,'Sample Size cal and results'!$B$24:$B$25,'Sample Size cal and results'!$I$24:$I$25)</f>
        <v>82.947612901957157</v>
      </c>
      <c r="N420" s="214">
        <f t="shared" si="81"/>
        <v>502.24446753522273</v>
      </c>
      <c r="O420" s="225" t="str">
        <f t="shared" si="82"/>
        <v>7-8 years</v>
      </c>
      <c r="P420" s="226">
        <f t="shared" si="83"/>
        <v>0.66301369863013704</v>
      </c>
      <c r="Q420" s="227">
        <f>$D420*P420*_xlfn.XLOOKUP($O420,'Sample Size cal and results'!$B$26:$B$27,'Sample Size cal and results'!$I$26:$I$27)</f>
        <v>262.79250679652995</v>
      </c>
      <c r="R420" s="330"/>
    </row>
    <row r="421" spans="1:18" ht="12.75">
      <c r="A421" s="99" t="s">
        <v>146</v>
      </c>
      <c r="B421" s="100">
        <v>41941</v>
      </c>
      <c r="C421" s="100">
        <f t="shared" si="73"/>
        <v>44497</v>
      </c>
      <c r="D421" s="209">
        <v>130</v>
      </c>
      <c r="E421" s="217">
        <f t="shared" si="74"/>
        <v>5.33</v>
      </c>
      <c r="F421" s="218">
        <f t="shared" si="75"/>
        <v>6.33</v>
      </c>
      <c r="G421" s="219">
        <f t="shared" si="76"/>
        <v>6.33</v>
      </c>
      <c r="H421" s="220">
        <f t="shared" si="77"/>
        <v>7.33</v>
      </c>
      <c r="I421" s="257" t="str">
        <f t="shared" si="78"/>
        <v>6-7 years</v>
      </c>
      <c r="J421" s="211">
        <f t="shared" si="79"/>
        <v>0.83835616438356164</v>
      </c>
      <c r="K421" s="258">
        <f>$D421*J421*_xlfn.XLOOKUP($I421,'Sample Size cal and results'!$B$24:$B$25,'Sample Size cal and results'!$H$24:$H$25)</f>
        <v>89.358346069384467</v>
      </c>
      <c r="L421" s="211">
        <f t="shared" si="80"/>
        <v>0.16164383561643836</v>
      </c>
      <c r="M421" s="211">
        <f>$D421*L421*_xlfn.XLOOKUP($I421,'Sample Size cal and results'!$B$24:$B$25,'Sample Size cal and results'!$I$24:$I$25)</f>
        <v>17.677360126646608</v>
      </c>
      <c r="N421" s="214">
        <f t="shared" si="81"/>
        <v>107.03570619603107</v>
      </c>
      <c r="O421" s="225" t="str">
        <f t="shared" si="82"/>
        <v>7-8 years</v>
      </c>
      <c r="P421" s="226">
        <f t="shared" si="83"/>
        <v>0.66301369863013704</v>
      </c>
      <c r="Q421" s="227">
        <f>$D421*P421*_xlfn.XLOOKUP($O421,'Sample Size cal and results'!$B$26:$B$27,'Sample Size cal and results'!$I$26:$I$27)</f>
        <v>56.004960464834255</v>
      </c>
      <c r="R421" s="330"/>
    </row>
    <row r="422" spans="1:18" ht="12.75">
      <c r="A422" s="99" t="s">
        <v>51</v>
      </c>
      <c r="B422" s="100">
        <v>41940</v>
      </c>
      <c r="C422" s="100">
        <f t="shared" si="73"/>
        <v>44496</v>
      </c>
      <c r="D422" s="209">
        <v>1256</v>
      </c>
      <c r="E422" s="217">
        <f t="shared" si="74"/>
        <v>5.34</v>
      </c>
      <c r="F422" s="218">
        <f t="shared" si="75"/>
        <v>6.33</v>
      </c>
      <c r="G422" s="219">
        <f t="shared" si="76"/>
        <v>6.34</v>
      </c>
      <c r="H422" s="220">
        <f t="shared" si="77"/>
        <v>7.33</v>
      </c>
      <c r="I422" s="257" t="str">
        <f t="shared" si="78"/>
        <v>6-7 years</v>
      </c>
      <c r="J422" s="211">
        <f t="shared" si="79"/>
        <v>0.83835616438356164</v>
      </c>
      <c r="K422" s="258">
        <f>$D422*J422*_xlfn.XLOOKUP($I422,'Sample Size cal and results'!$B$24:$B$25,'Sample Size cal and results'!$H$24:$H$25)</f>
        <v>863.33909740882211</v>
      </c>
      <c r="L422" s="211">
        <f t="shared" si="80"/>
        <v>0.16164383561643836</v>
      </c>
      <c r="M422" s="211">
        <f>$D422*L422*_xlfn.XLOOKUP($I422,'Sample Size cal and results'!$B$24:$B$25,'Sample Size cal and results'!$I$24:$I$25)</f>
        <v>170.79049476206262</v>
      </c>
      <c r="N422" s="214">
        <f t="shared" si="81"/>
        <v>1034.1295921708847</v>
      </c>
      <c r="O422" s="225" t="str">
        <f t="shared" si="82"/>
        <v>7-8 years</v>
      </c>
      <c r="P422" s="226">
        <f t="shared" si="83"/>
        <v>0.66027397260273968</v>
      </c>
      <c r="Q422" s="227">
        <f>$D422*P422*_xlfn.XLOOKUP($O422,'Sample Size cal and results'!$B$26:$B$27,'Sample Size cal and results'!$I$26:$I$27)</f>
        <v>538.85815361930906</v>
      </c>
      <c r="R422" s="330"/>
    </row>
    <row r="423" spans="1:18" ht="12.75">
      <c r="A423" s="99" t="s">
        <v>148</v>
      </c>
      <c r="B423" s="100">
        <v>41940</v>
      </c>
      <c r="C423" s="100">
        <f t="shared" si="73"/>
        <v>44496</v>
      </c>
      <c r="D423" s="209">
        <v>594</v>
      </c>
      <c r="E423" s="217">
        <f t="shared" si="74"/>
        <v>5.34</v>
      </c>
      <c r="F423" s="218">
        <f t="shared" si="75"/>
        <v>6.33</v>
      </c>
      <c r="G423" s="219">
        <f t="shared" si="76"/>
        <v>6.34</v>
      </c>
      <c r="H423" s="220">
        <f t="shared" si="77"/>
        <v>7.33</v>
      </c>
      <c r="I423" s="257" t="str">
        <f t="shared" si="78"/>
        <v>6-7 years</v>
      </c>
      <c r="J423" s="211">
        <f t="shared" si="79"/>
        <v>0.83835616438356164</v>
      </c>
      <c r="K423" s="258">
        <f>$D423*J423*_xlfn.XLOOKUP($I423,'Sample Size cal and results'!$B$24:$B$25,'Sample Size cal and results'!$H$24:$H$25)</f>
        <v>408.29890434780287</v>
      </c>
      <c r="L423" s="211">
        <f t="shared" si="80"/>
        <v>0.16164383561643836</v>
      </c>
      <c r="M423" s="211">
        <f>$D423*L423*_xlfn.XLOOKUP($I423,'Sample Size cal and results'!$B$24:$B$25,'Sample Size cal and results'!$I$24:$I$25)</f>
        <v>80.771937809446811</v>
      </c>
      <c r="N423" s="214">
        <f t="shared" si="81"/>
        <v>489.07084215724967</v>
      </c>
      <c r="O423" s="225" t="str">
        <f t="shared" si="82"/>
        <v>7-8 years</v>
      </c>
      <c r="P423" s="226">
        <f t="shared" si="83"/>
        <v>0.66027397260273968</v>
      </c>
      <c r="Q423" s="227">
        <f>$D423*P423*_xlfn.XLOOKUP($O423,'Sample Size cal and results'!$B$26:$B$27,'Sample Size cal and results'!$I$26:$I$27)</f>
        <v>254.84215226900446</v>
      </c>
      <c r="R423" s="330"/>
    </row>
    <row r="424" spans="1:18" ht="12.75">
      <c r="A424" s="99" t="s">
        <v>146</v>
      </c>
      <c r="B424" s="100">
        <v>41940</v>
      </c>
      <c r="C424" s="100">
        <f t="shared" si="73"/>
        <v>44496</v>
      </c>
      <c r="D424" s="209">
        <v>114</v>
      </c>
      <c r="E424" s="217">
        <f t="shared" si="74"/>
        <v>5.34</v>
      </c>
      <c r="F424" s="218">
        <f t="shared" si="75"/>
        <v>6.33</v>
      </c>
      <c r="G424" s="219">
        <f t="shared" si="76"/>
        <v>6.34</v>
      </c>
      <c r="H424" s="220">
        <f t="shared" si="77"/>
        <v>7.33</v>
      </c>
      <c r="I424" s="257" t="str">
        <f t="shared" si="78"/>
        <v>6-7 years</v>
      </c>
      <c r="J424" s="211">
        <f t="shared" si="79"/>
        <v>0.83835616438356164</v>
      </c>
      <c r="K424" s="258">
        <f>$D424*J424*_xlfn.XLOOKUP($I424,'Sample Size cal and results'!$B$24:$B$25,'Sample Size cal and results'!$H$24:$H$25)</f>
        <v>78.36039578392176</v>
      </c>
      <c r="L424" s="211">
        <f t="shared" si="80"/>
        <v>0.16164383561643836</v>
      </c>
      <c r="M424" s="211">
        <f>$D424*L424*_xlfn.XLOOKUP($I424,'Sample Size cal and results'!$B$24:$B$25,'Sample Size cal and results'!$I$24:$I$25)</f>
        <v>15.501685034136257</v>
      </c>
      <c r="N424" s="214">
        <f t="shared" si="81"/>
        <v>93.862080818058018</v>
      </c>
      <c r="O424" s="225" t="str">
        <f t="shared" si="82"/>
        <v>7-8 years</v>
      </c>
      <c r="P424" s="226">
        <f t="shared" si="83"/>
        <v>0.66027397260273968</v>
      </c>
      <c r="Q424" s="227">
        <f>$D424*P424*_xlfn.XLOOKUP($O424,'Sample Size cal and results'!$B$26:$B$27,'Sample Size cal and results'!$I$26:$I$27)</f>
        <v>48.909099930414996</v>
      </c>
      <c r="R424" s="330"/>
    </row>
    <row r="425" spans="1:18" ht="12.75">
      <c r="A425" s="99" t="s">
        <v>147</v>
      </c>
      <c r="B425" s="100">
        <v>41940</v>
      </c>
      <c r="C425" s="100">
        <f t="shared" si="73"/>
        <v>44496</v>
      </c>
      <c r="D425" s="209">
        <v>77</v>
      </c>
      <c r="E425" s="217">
        <f t="shared" si="74"/>
        <v>5.34</v>
      </c>
      <c r="F425" s="218">
        <f t="shared" si="75"/>
        <v>6.33</v>
      </c>
      <c r="G425" s="219">
        <f t="shared" si="76"/>
        <v>6.34</v>
      </c>
      <c r="H425" s="220">
        <f t="shared" si="77"/>
        <v>7.33</v>
      </c>
      <c r="I425" s="257" t="str">
        <f t="shared" si="78"/>
        <v>6-7 years</v>
      </c>
      <c r="J425" s="211">
        <f t="shared" si="79"/>
        <v>0.83835616438356164</v>
      </c>
      <c r="K425" s="258">
        <f>$D425*J425*_xlfn.XLOOKUP($I425,'Sample Size cal and results'!$B$24:$B$25,'Sample Size cal and results'!$H$24:$H$25)</f>
        <v>52.927635748789264</v>
      </c>
      <c r="L425" s="211">
        <f t="shared" si="80"/>
        <v>0.16164383561643836</v>
      </c>
      <c r="M425" s="211">
        <f>$D425*L425*_xlfn.XLOOKUP($I425,'Sample Size cal and results'!$B$24:$B$25,'Sample Size cal and results'!$I$24:$I$25)</f>
        <v>10.470436382706067</v>
      </c>
      <c r="N425" s="214">
        <f t="shared" si="81"/>
        <v>63.398072131495333</v>
      </c>
      <c r="O425" s="225" t="str">
        <f t="shared" si="82"/>
        <v>7-8 years</v>
      </c>
      <c r="P425" s="226">
        <f t="shared" si="83"/>
        <v>0.66027397260273968</v>
      </c>
      <c r="Q425" s="227">
        <f>$D425*P425*_xlfn.XLOOKUP($O425,'Sample Size cal and results'!$B$26:$B$27,'Sample Size cal and results'!$I$26:$I$27)</f>
        <v>33.035093812648732</v>
      </c>
      <c r="R425" s="330"/>
    </row>
    <row r="426" spans="1:18" ht="12.75">
      <c r="A426" s="99" t="s">
        <v>147</v>
      </c>
      <c r="B426" s="100">
        <v>41939</v>
      </c>
      <c r="C426" s="100">
        <f t="shared" si="73"/>
        <v>44495</v>
      </c>
      <c r="D426" s="209">
        <v>393</v>
      </c>
      <c r="E426" s="217">
        <f t="shared" si="74"/>
        <v>5.34</v>
      </c>
      <c r="F426" s="218">
        <f t="shared" si="75"/>
        <v>6.34</v>
      </c>
      <c r="G426" s="219">
        <f t="shared" si="76"/>
        <v>6.34</v>
      </c>
      <c r="H426" s="220">
        <f t="shared" si="77"/>
        <v>7.34</v>
      </c>
      <c r="I426" s="257" t="str">
        <f t="shared" si="78"/>
        <v>6-7 years</v>
      </c>
      <c r="J426" s="211">
        <f t="shared" si="79"/>
        <v>0.83835616438356164</v>
      </c>
      <c r="K426" s="258">
        <f>$D426*J426*_xlfn.XLOOKUP($I426,'Sample Size cal and results'!$B$24:$B$25,'Sample Size cal and results'!$H$24:$H$25)</f>
        <v>270.13715388667765</v>
      </c>
      <c r="L426" s="211">
        <f t="shared" si="80"/>
        <v>0.16164383561643836</v>
      </c>
      <c r="M426" s="211">
        <f>$D426*L426*_xlfn.XLOOKUP($I426,'Sample Size cal and results'!$B$24:$B$25,'Sample Size cal and results'!$I$24:$I$25)</f>
        <v>53.44001945978551</v>
      </c>
      <c r="N426" s="214">
        <f t="shared" si="81"/>
        <v>323.57717334646316</v>
      </c>
      <c r="O426" s="225" t="str">
        <f t="shared" si="82"/>
        <v>7-8 years</v>
      </c>
      <c r="P426" s="226">
        <f t="shared" si="83"/>
        <v>0.65753424657534243</v>
      </c>
      <c r="Q426" s="227">
        <f>$D426*P426*_xlfn.XLOOKUP($O426,'Sample Size cal and results'!$B$26:$B$27,'Sample Size cal and results'!$I$26:$I$27)</f>
        <v>167.90806964536446</v>
      </c>
      <c r="R426" s="330"/>
    </row>
    <row r="427" spans="1:18" ht="12.75">
      <c r="A427" s="99" t="s">
        <v>146</v>
      </c>
      <c r="B427" s="100">
        <v>41939</v>
      </c>
      <c r="C427" s="100">
        <f t="shared" si="73"/>
        <v>44495</v>
      </c>
      <c r="D427" s="209">
        <v>121</v>
      </c>
      <c r="E427" s="217">
        <f t="shared" si="74"/>
        <v>5.34</v>
      </c>
      <c r="F427" s="218">
        <f t="shared" si="75"/>
        <v>6.34</v>
      </c>
      <c r="G427" s="219">
        <f t="shared" si="76"/>
        <v>6.34</v>
      </c>
      <c r="H427" s="220">
        <f t="shared" si="77"/>
        <v>7.34</v>
      </c>
      <c r="I427" s="257" t="str">
        <f t="shared" si="78"/>
        <v>6-7 years</v>
      </c>
      <c r="J427" s="211">
        <f t="shared" si="79"/>
        <v>0.83835616438356164</v>
      </c>
      <c r="K427" s="258">
        <f>$D427*J427*_xlfn.XLOOKUP($I427,'Sample Size cal and results'!$B$24:$B$25,'Sample Size cal and results'!$H$24:$H$25)</f>
        <v>83.171999033811701</v>
      </c>
      <c r="L427" s="211">
        <f t="shared" si="80"/>
        <v>0.16164383561643836</v>
      </c>
      <c r="M427" s="211">
        <f>$D427*L427*_xlfn.XLOOKUP($I427,'Sample Size cal and results'!$B$24:$B$25,'Sample Size cal and results'!$I$24:$I$25)</f>
        <v>16.453542887109535</v>
      </c>
      <c r="N427" s="214">
        <f t="shared" si="81"/>
        <v>99.625541920921236</v>
      </c>
      <c r="O427" s="225" t="str">
        <f t="shared" si="82"/>
        <v>7-8 years</v>
      </c>
      <c r="P427" s="226">
        <f t="shared" si="83"/>
        <v>0.65753424657534243</v>
      </c>
      <c r="Q427" s="227">
        <f>$D427*P427*_xlfn.XLOOKUP($O427,'Sample Size cal and results'!$B$26:$B$27,'Sample Size cal and results'!$I$26:$I$27)</f>
        <v>51.696886582923916</v>
      </c>
      <c r="R427" s="330"/>
    </row>
    <row r="428" spans="1:18" ht="12.75">
      <c r="A428" s="99" t="s">
        <v>51</v>
      </c>
      <c r="B428" s="100">
        <v>41939</v>
      </c>
      <c r="C428" s="100">
        <f t="shared" si="73"/>
        <v>44495</v>
      </c>
      <c r="D428" s="209">
        <v>100</v>
      </c>
      <c r="E428" s="217">
        <f t="shared" si="74"/>
        <v>5.34</v>
      </c>
      <c r="F428" s="218">
        <f t="shared" si="75"/>
        <v>6.34</v>
      </c>
      <c r="G428" s="219">
        <f t="shared" si="76"/>
        <v>6.34</v>
      </c>
      <c r="H428" s="220">
        <f t="shared" si="77"/>
        <v>7.34</v>
      </c>
      <c r="I428" s="257" t="str">
        <f t="shared" si="78"/>
        <v>6-7 years</v>
      </c>
      <c r="J428" s="211">
        <f t="shared" si="79"/>
        <v>0.83835616438356164</v>
      </c>
      <c r="K428" s="258">
        <f>$D428*J428*_xlfn.XLOOKUP($I428,'Sample Size cal and results'!$B$24:$B$25,'Sample Size cal and results'!$H$24:$H$25)</f>
        <v>68.737189284141891</v>
      </c>
      <c r="L428" s="211">
        <f t="shared" si="80"/>
        <v>0.16164383561643836</v>
      </c>
      <c r="M428" s="211">
        <f>$D428*L428*_xlfn.XLOOKUP($I428,'Sample Size cal and results'!$B$24:$B$25,'Sample Size cal and results'!$I$24:$I$25)</f>
        <v>13.597969328189697</v>
      </c>
      <c r="N428" s="214">
        <f t="shared" si="81"/>
        <v>82.335158612331583</v>
      </c>
      <c r="O428" s="225" t="str">
        <f t="shared" si="82"/>
        <v>7-8 years</v>
      </c>
      <c r="P428" s="226">
        <f t="shared" si="83"/>
        <v>0.65753424657534243</v>
      </c>
      <c r="Q428" s="227">
        <f>$D428*P428*_xlfn.XLOOKUP($O428,'Sample Size cal and results'!$B$26:$B$27,'Sample Size cal and results'!$I$26:$I$27)</f>
        <v>42.724699655309017</v>
      </c>
      <c r="R428" s="330"/>
    </row>
    <row r="429" spans="1:18" ht="12.75">
      <c r="A429" s="99" t="s">
        <v>51</v>
      </c>
      <c r="B429" s="100">
        <v>41938</v>
      </c>
      <c r="C429" s="100">
        <f t="shared" si="73"/>
        <v>44494</v>
      </c>
      <c r="D429" s="209">
        <v>604</v>
      </c>
      <c r="E429" s="217">
        <f t="shared" si="74"/>
        <v>5.34</v>
      </c>
      <c r="F429" s="218">
        <f t="shared" si="75"/>
        <v>6.34</v>
      </c>
      <c r="G429" s="219">
        <f t="shared" si="76"/>
        <v>6.34</v>
      </c>
      <c r="H429" s="220">
        <f t="shared" si="77"/>
        <v>7.34</v>
      </c>
      <c r="I429" s="257" t="str">
        <f t="shared" si="78"/>
        <v>6-7 years</v>
      </c>
      <c r="J429" s="211">
        <f t="shared" si="79"/>
        <v>0.83835616438356164</v>
      </c>
      <c r="K429" s="258">
        <f>$D429*J429*_xlfn.XLOOKUP($I429,'Sample Size cal and results'!$B$24:$B$25,'Sample Size cal and results'!$H$24:$H$25)</f>
        <v>415.17262327621705</v>
      </c>
      <c r="L429" s="211">
        <f t="shared" si="80"/>
        <v>0.16164383561643836</v>
      </c>
      <c r="M429" s="211">
        <f>$D429*L429*_xlfn.XLOOKUP($I429,'Sample Size cal and results'!$B$24:$B$25,'Sample Size cal and results'!$I$24:$I$25)</f>
        <v>82.131734742265778</v>
      </c>
      <c r="N429" s="214">
        <f t="shared" si="81"/>
        <v>497.30435801848284</v>
      </c>
      <c r="O429" s="225" t="str">
        <f t="shared" si="82"/>
        <v>7-8 years</v>
      </c>
      <c r="P429" s="226">
        <f t="shared" si="83"/>
        <v>0.65479452054794518</v>
      </c>
      <c r="Q429" s="227">
        <f>$D429*P429*_xlfn.XLOOKUP($O429,'Sample Size cal and results'!$B$26:$B$27,'Sample Size cal and results'!$I$26:$I$27)</f>
        <v>256.98194764340792</v>
      </c>
      <c r="R429" s="330"/>
    </row>
    <row r="430" spans="1:18" ht="12.75">
      <c r="A430" s="99" t="s">
        <v>147</v>
      </c>
      <c r="B430" s="100">
        <v>41938</v>
      </c>
      <c r="C430" s="100">
        <f t="shared" si="73"/>
        <v>44494</v>
      </c>
      <c r="D430" s="209">
        <v>357</v>
      </c>
      <c r="E430" s="217">
        <f t="shared" si="74"/>
        <v>5.34</v>
      </c>
      <c r="F430" s="218">
        <f t="shared" si="75"/>
        <v>6.34</v>
      </c>
      <c r="G430" s="219">
        <f t="shared" si="76"/>
        <v>6.34</v>
      </c>
      <c r="H430" s="220">
        <f t="shared" si="77"/>
        <v>7.34</v>
      </c>
      <c r="I430" s="257" t="str">
        <f t="shared" si="78"/>
        <v>6-7 years</v>
      </c>
      <c r="J430" s="211">
        <f t="shared" si="79"/>
        <v>0.83835616438356164</v>
      </c>
      <c r="K430" s="258">
        <f>$D430*J430*_xlfn.XLOOKUP($I430,'Sample Size cal and results'!$B$24:$B$25,'Sample Size cal and results'!$H$24:$H$25)</f>
        <v>245.39176574438656</v>
      </c>
      <c r="L430" s="211">
        <f t="shared" si="80"/>
        <v>0.16164383561643836</v>
      </c>
      <c r="M430" s="211">
        <f>$D430*L430*_xlfn.XLOOKUP($I430,'Sample Size cal and results'!$B$24:$B$25,'Sample Size cal and results'!$I$24:$I$25)</f>
        <v>48.544750501637225</v>
      </c>
      <c r="N430" s="214">
        <f t="shared" si="81"/>
        <v>293.93651624602376</v>
      </c>
      <c r="O430" s="225" t="str">
        <f t="shared" si="82"/>
        <v>7-8 years</v>
      </c>
      <c r="P430" s="226">
        <f t="shared" si="83"/>
        <v>0.65479452054794518</v>
      </c>
      <c r="Q430" s="227">
        <f>$D430*P430*_xlfn.XLOOKUP($O430,'Sample Size cal and results'!$B$26:$B$27,'Sample Size cal and results'!$I$26:$I$27)</f>
        <v>151.8916478620805</v>
      </c>
      <c r="R430" s="330"/>
    </row>
    <row r="431" spans="1:18" ht="12.75">
      <c r="A431" s="99" t="s">
        <v>146</v>
      </c>
      <c r="B431" s="100">
        <v>41938</v>
      </c>
      <c r="C431" s="100">
        <f t="shared" si="73"/>
        <v>44494</v>
      </c>
      <c r="D431" s="209">
        <v>125</v>
      </c>
      <c r="E431" s="217">
        <f t="shared" si="74"/>
        <v>5.34</v>
      </c>
      <c r="F431" s="218">
        <f t="shared" si="75"/>
        <v>6.34</v>
      </c>
      <c r="G431" s="219">
        <f t="shared" si="76"/>
        <v>6.34</v>
      </c>
      <c r="H431" s="220">
        <f t="shared" si="77"/>
        <v>7.34</v>
      </c>
      <c r="I431" s="257" t="str">
        <f t="shared" si="78"/>
        <v>6-7 years</v>
      </c>
      <c r="J431" s="211">
        <f t="shared" si="79"/>
        <v>0.83835616438356164</v>
      </c>
      <c r="K431" s="258">
        <f>$D431*J431*_xlfn.XLOOKUP($I431,'Sample Size cal and results'!$B$24:$B$25,'Sample Size cal and results'!$H$24:$H$25)</f>
        <v>85.921486605177378</v>
      </c>
      <c r="L431" s="211">
        <f t="shared" si="80"/>
        <v>0.16164383561643836</v>
      </c>
      <c r="M431" s="211">
        <f>$D431*L431*_xlfn.XLOOKUP($I431,'Sample Size cal and results'!$B$24:$B$25,'Sample Size cal and results'!$I$24:$I$25)</f>
        <v>16.997461660237121</v>
      </c>
      <c r="N431" s="214">
        <f t="shared" si="81"/>
        <v>102.9189482654145</v>
      </c>
      <c r="O431" s="225" t="str">
        <f t="shared" si="82"/>
        <v>7-8 years</v>
      </c>
      <c r="P431" s="226">
        <f t="shared" si="83"/>
        <v>0.65479452054794518</v>
      </c>
      <c r="Q431" s="227">
        <f>$D431*P431*_xlfn.XLOOKUP($O431,'Sample Size cal and results'!$B$26:$B$27,'Sample Size cal and results'!$I$26:$I$27)</f>
        <v>53.183350091764872</v>
      </c>
      <c r="R431" s="330"/>
    </row>
    <row r="432" spans="1:18" ht="12.75">
      <c r="A432" s="99" t="s">
        <v>147</v>
      </c>
      <c r="B432" s="100">
        <v>41937</v>
      </c>
      <c r="C432" s="100">
        <f t="shared" si="73"/>
        <v>44493</v>
      </c>
      <c r="D432" s="209">
        <v>360</v>
      </c>
      <c r="E432" s="217">
        <f t="shared" si="74"/>
        <v>5.34</v>
      </c>
      <c r="F432" s="218">
        <f t="shared" si="75"/>
        <v>6.34</v>
      </c>
      <c r="G432" s="219">
        <f t="shared" si="76"/>
        <v>6.34</v>
      </c>
      <c r="H432" s="220">
        <f t="shared" si="77"/>
        <v>7.34</v>
      </c>
      <c r="I432" s="257" t="str">
        <f t="shared" si="78"/>
        <v>6-7 years</v>
      </c>
      <c r="J432" s="211">
        <f t="shared" si="79"/>
        <v>0.83835616438356164</v>
      </c>
      <c r="K432" s="258">
        <f>$D432*J432*_xlfn.XLOOKUP($I432,'Sample Size cal and results'!$B$24:$B$25,'Sample Size cal and results'!$H$24:$H$25)</f>
        <v>247.45388142291083</v>
      </c>
      <c r="L432" s="211">
        <f t="shared" si="80"/>
        <v>0.16164383561643836</v>
      </c>
      <c r="M432" s="211">
        <f>$D432*L432*_xlfn.XLOOKUP($I432,'Sample Size cal and results'!$B$24:$B$25,'Sample Size cal and results'!$I$24:$I$25)</f>
        <v>48.952689581482915</v>
      </c>
      <c r="N432" s="214">
        <f t="shared" si="81"/>
        <v>296.40657100439375</v>
      </c>
      <c r="O432" s="225" t="str">
        <f t="shared" si="82"/>
        <v>7-8 years</v>
      </c>
      <c r="P432" s="226">
        <f t="shared" si="83"/>
        <v>0.65205479452054793</v>
      </c>
      <c r="Q432" s="227">
        <f>$D432*P432*_xlfn.XLOOKUP($O432,'Sample Size cal and results'!$B$26:$B$27,'Sample Size cal and results'!$I$26:$I$27)</f>
        <v>152.52717776945323</v>
      </c>
      <c r="R432" s="330"/>
    </row>
    <row r="433" spans="1:18" ht="12.75">
      <c r="A433" s="99" t="s">
        <v>51</v>
      </c>
      <c r="B433" s="100">
        <v>41937</v>
      </c>
      <c r="C433" s="100">
        <f t="shared" si="73"/>
        <v>44493</v>
      </c>
      <c r="D433" s="209">
        <v>265</v>
      </c>
      <c r="E433" s="217">
        <f t="shared" si="74"/>
        <v>5.34</v>
      </c>
      <c r="F433" s="218">
        <f t="shared" si="75"/>
        <v>6.34</v>
      </c>
      <c r="G433" s="219">
        <f t="shared" si="76"/>
        <v>6.34</v>
      </c>
      <c r="H433" s="220">
        <f t="shared" si="77"/>
        <v>7.34</v>
      </c>
      <c r="I433" s="257" t="str">
        <f t="shared" si="78"/>
        <v>6-7 years</v>
      </c>
      <c r="J433" s="211">
        <f t="shared" si="79"/>
        <v>0.83835616438356164</v>
      </c>
      <c r="K433" s="258">
        <f>$D433*J433*_xlfn.XLOOKUP($I433,'Sample Size cal and results'!$B$24:$B$25,'Sample Size cal and results'!$H$24:$H$25)</f>
        <v>182.15355160297602</v>
      </c>
      <c r="L433" s="211">
        <f t="shared" si="80"/>
        <v>0.16164383561643836</v>
      </c>
      <c r="M433" s="211">
        <f>$D433*L433*_xlfn.XLOOKUP($I433,'Sample Size cal and results'!$B$24:$B$25,'Sample Size cal and results'!$I$24:$I$25)</f>
        <v>36.034618719702699</v>
      </c>
      <c r="N433" s="214">
        <f t="shared" si="81"/>
        <v>218.18817032267873</v>
      </c>
      <c r="O433" s="225" t="str">
        <f t="shared" si="82"/>
        <v>7-8 years</v>
      </c>
      <c r="P433" s="226">
        <f t="shared" si="83"/>
        <v>0.65205479452054793</v>
      </c>
      <c r="Q433" s="227">
        <f>$D433*P433*_xlfn.XLOOKUP($O433,'Sample Size cal and results'!$B$26:$B$27,'Sample Size cal and results'!$I$26:$I$27)</f>
        <v>112.27695030251418</v>
      </c>
      <c r="R433" s="330"/>
    </row>
    <row r="434" spans="1:18" ht="12.75">
      <c r="A434" s="99" t="s">
        <v>146</v>
      </c>
      <c r="B434" s="100">
        <v>41937</v>
      </c>
      <c r="C434" s="100">
        <f t="shared" si="73"/>
        <v>44493</v>
      </c>
      <c r="D434" s="209">
        <v>152</v>
      </c>
      <c r="E434" s="217">
        <f t="shared" si="74"/>
        <v>5.34</v>
      </c>
      <c r="F434" s="218">
        <f t="shared" si="75"/>
        <v>6.34</v>
      </c>
      <c r="G434" s="219">
        <f t="shared" si="76"/>
        <v>6.34</v>
      </c>
      <c r="H434" s="220">
        <f t="shared" si="77"/>
        <v>7.34</v>
      </c>
      <c r="I434" s="257" t="str">
        <f t="shared" si="78"/>
        <v>6-7 years</v>
      </c>
      <c r="J434" s="211">
        <f t="shared" si="79"/>
        <v>0.83835616438356164</v>
      </c>
      <c r="K434" s="258">
        <f>$D434*J434*_xlfn.XLOOKUP($I434,'Sample Size cal and results'!$B$24:$B$25,'Sample Size cal and results'!$H$24:$H$25)</f>
        <v>104.48052771189568</v>
      </c>
      <c r="L434" s="211">
        <f t="shared" si="80"/>
        <v>0.16164383561643836</v>
      </c>
      <c r="M434" s="211">
        <f>$D434*L434*_xlfn.XLOOKUP($I434,'Sample Size cal and results'!$B$24:$B$25,'Sample Size cal and results'!$I$24:$I$25)</f>
        <v>20.668913378848341</v>
      </c>
      <c r="N434" s="214">
        <f t="shared" si="81"/>
        <v>125.14944109074402</v>
      </c>
      <c r="O434" s="225" t="str">
        <f t="shared" si="82"/>
        <v>7-8 years</v>
      </c>
      <c r="P434" s="226">
        <f t="shared" si="83"/>
        <v>0.65205479452054793</v>
      </c>
      <c r="Q434" s="227">
        <f>$D434*P434*_xlfn.XLOOKUP($O434,'Sample Size cal and results'!$B$26:$B$27,'Sample Size cal and results'!$I$26:$I$27)</f>
        <v>64.400363947102463</v>
      </c>
      <c r="R434" s="330"/>
    </row>
    <row r="435" spans="1:18" ht="12.75">
      <c r="A435" s="99" t="s">
        <v>147</v>
      </c>
      <c r="B435" s="100">
        <v>41936</v>
      </c>
      <c r="C435" s="100">
        <f t="shared" si="73"/>
        <v>44492</v>
      </c>
      <c r="D435" s="209">
        <v>285</v>
      </c>
      <c r="E435" s="217">
        <f t="shared" si="74"/>
        <v>5.35</v>
      </c>
      <c r="F435" s="218">
        <f t="shared" si="75"/>
        <v>6.34</v>
      </c>
      <c r="G435" s="219">
        <f t="shared" si="76"/>
        <v>6.35</v>
      </c>
      <c r="H435" s="220">
        <f t="shared" si="77"/>
        <v>7.34</v>
      </c>
      <c r="I435" s="257" t="str">
        <f t="shared" si="78"/>
        <v>6-7 years</v>
      </c>
      <c r="J435" s="211">
        <f t="shared" si="79"/>
        <v>0.83835616438356164</v>
      </c>
      <c r="K435" s="258">
        <f>$D435*J435*_xlfn.XLOOKUP($I435,'Sample Size cal and results'!$B$24:$B$25,'Sample Size cal and results'!$H$24:$H$25)</f>
        <v>195.90098945980441</v>
      </c>
      <c r="L435" s="211">
        <f t="shared" si="80"/>
        <v>0.16164383561643836</v>
      </c>
      <c r="M435" s="211">
        <f>$D435*L435*_xlfn.XLOOKUP($I435,'Sample Size cal and results'!$B$24:$B$25,'Sample Size cal and results'!$I$24:$I$25)</f>
        <v>38.754212585340639</v>
      </c>
      <c r="N435" s="214">
        <f t="shared" si="81"/>
        <v>234.65520204514505</v>
      </c>
      <c r="O435" s="225" t="str">
        <f t="shared" si="82"/>
        <v>7-8 years</v>
      </c>
      <c r="P435" s="226">
        <f t="shared" si="83"/>
        <v>0.64931506849315068</v>
      </c>
      <c r="Q435" s="227">
        <f>$D435*P435*_xlfn.XLOOKUP($O435,'Sample Size cal and results'!$B$26:$B$27,'Sample Size cal and results'!$I$26:$I$27)</f>
        <v>120.24332659241034</v>
      </c>
      <c r="R435" s="330"/>
    </row>
    <row r="436" spans="1:18" ht="12.75">
      <c r="A436" s="99" t="s">
        <v>146</v>
      </c>
      <c r="B436" s="100">
        <v>41936</v>
      </c>
      <c r="C436" s="100">
        <f t="shared" si="73"/>
        <v>44492</v>
      </c>
      <c r="D436" s="209">
        <v>139</v>
      </c>
      <c r="E436" s="217">
        <f t="shared" si="74"/>
        <v>5.35</v>
      </c>
      <c r="F436" s="218">
        <f t="shared" si="75"/>
        <v>6.34</v>
      </c>
      <c r="G436" s="219">
        <f t="shared" si="76"/>
        <v>6.35</v>
      </c>
      <c r="H436" s="220">
        <f t="shared" si="77"/>
        <v>7.34</v>
      </c>
      <c r="I436" s="257" t="str">
        <f t="shared" si="78"/>
        <v>6-7 years</v>
      </c>
      <c r="J436" s="211">
        <f t="shared" si="79"/>
        <v>0.83835616438356164</v>
      </c>
      <c r="K436" s="258">
        <f>$D436*J436*_xlfn.XLOOKUP($I436,'Sample Size cal and results'!$B$24:$B$25,'Sample Size cal and results'!$H$24:$H$25)</f>
        <v>95.544693104957233</v>
      </c>
      <c r="L436" s="211">
        <f t="shared" si="80"/>
        <v>0.16164383561643836</v>
      </c>
      <c r="M436" s="211">
        <f>$D436*L436*_xlfn.XLOOKUP($I436,'Sample Size cal and results'!$B$24:$B$25,'Sample Size cal and results'!$I$24:$I$25)</f>
        <v>18.901177366183681</v>
      </c>
      <c r="N436" s="214">
        <f t="shared" si="81"/>
        <v>114.44587047114092</v>
      </c>
      <c r="O436" s="225" t="str">
        <f t="shared" si="82"/>
        <v>7-8 years</v>
      </c>
      <c r="P436" s="226">
        <f t="shared" si="83"/>
        <v>0.64931506849315068</v>
      </c>
      <c r="Q436" s="227">
        <f>$D436*P436*_xlfn.XLOOKUP($O436,'Sample Size cal and results'!$B$26:$B$27,'Sample Size cal and results'!$I$26:$I$27)</f>
        <v>58.644990864368552</v>
      </c>
      <c r="R436" s="330"/>
    </row>
    <row r="437" spans="1:18" ht="12.75">
      <c r="A437" s="99" t="s">
        <v>51</v>
      </c>
      <c r="B437" s="100">
        <v>41936</v>
      </c>
      <c r="C437" s="100">
        <f t="shared" si="73"/>
        <v>44492</v>
      </c>
      <c r="D437" s="209">
        <v>85</v>
      </c>
      <c r="E437" s="217">
        <f t="shared" si="74"/>
        <v>5.35</v>
      </c>
      <c r="F437" s="218">
        <f t="shared" si="75"/>
        <v>6.34</v>
      </c>
      <c r="G437" s="219">
        <f t="shared" si="76"/>
        <v>6.35</v>
      </c>
      <c r="H437" s="220">
        <f t="shared" si="77"/>
        <v>7.34</v>
      </c>
      <c r="I437" s="257" t="str">
        <f t="shared" si="78"/>
        <v>6-7 years</v>
      </c>
      <c r="J437" s="211">
        <f t="shared" si="79"/>
        <v>0.83835616438356164</v>
      </c>
      <c r="K437" s="258">
        <f>$D437*J437*_xlfn.XLOOKUP($I437,'Sample Size cal and results'!$B$24:$B$25,'Sample Size cal and results'!$H$24:$H$25)</f>
        <v>58.426610891520617</v>
      </c>
      <c r="L437" s="211">
        <f t="shared" si="80"/>
        <v>0.16164383561643836</v>
      </c>
      <c r="M437" s="211">
        <f>$D437*L437*_xlfn.XLOOKUP($I437,'Sample Size cal and results'!$B$24:$B$25,'Sample Size cal and results'!$I$24:$I$25)</f>
        <v>11.558273928961244</v>
      </c>
      <c r="N437" s="214">
        <f t="shared" si="81"/>
        <v>69.984884820481867</v>
      </c>
      <c r="O437" s="225" t="str">
        <f t="shared" si="82"/>
        <v>7-8 years</v>
      </c>
      <c r="P437" s="226">
        <f t="shared" si="83"/>
        <v>0.64931506849315068</v>
      </c>
      <c r="Q437" s="227">
        <f>$D437*P437*_xlfn.XLOOKUP($O437,'Sample Size cal and results'!$B$26:$B$27,'Sample Size cal and results'!$I$26:$I$27)</f>
        <v>35.862044773175015</v>
      </c>
      <c r="R437" s="330"/>
    </row>
    <row r="438" spans="1:18" ht="12.75">
      <c r="A438" s="99" t="s">
        <v>147</v>
      </c>
      <c r="B438" s="100">
        <v>41935</v>
      </c>
      <c r="C438" s="100">
        <f t="shared" si="73"/>
        <v>44491</v>
      </c>
      <c r="D438" s="209">
        <v>314</v>
      </c>
      <c r="E438" s="217">
        <f t="shared" si="74"/>
        <v>5.35</v>
      </c>
      <c r="F438" s="218">
        <f t="shared" si="75"/>
        <v>6.35</v>
      </c>
      <c r="G438" s="219">
        <f t="shared" si="76"/>
        <v>6.35</v>
      </c>
      <c r="H438" s="220">
        <f t="shared" si="77"/>
        <v>7.35</v>
      </c>
      <c r="I438" s="257" t="str">
        <f t="shared" si="78"/>
        <v>6-7 years</v>
      </c>
      <c r="J438" s="211">
        <f t="shared" si="79"/>
        <v>0.83835616438356164</v>
      </c>
      <c r="K438" s="258">
        <f>$D438*J438*_xlfn.XLOOKUP($I438,'Sample Size cal and results'!$B$24:$B$25,'Sample Size cal and results'!$H$24:$H$25)</f>
        <v>215.83477435220553</v>
      </c>
      <c r="L438" s="211">
        <f t="shared" si="80"/>
        <v>0.16164383561643836</v>
      </c>
      <c r="M438" s="211">
        <f>$D438*L438*_xlfn.XLOOKUP($I438,'Sample Size cal and results'!$B$24:$B$25,'Sample Size cal and results'!$I$24:$I$25)</f>
        <v>42.697623690515655</v>
      </c>
      <c r="N438" s="214">
        <f t="shared" si="81"/>
        <v>258.53239804272118</v>
      </c>
      <c r="O438" s="225" t="str">
        <f t="shared" si="82"/>
        <v>7-8 years</v>
      </c>
      <c r="P438" s="226">
        <f t="shared" si="83"/>
        <v>0.64657534246575343</v>
      </c>
      <c r="Q438" s="227">
        <f>$D438*P438*_xlfn.XLOOKUP($O438,'Sample Size cal and results'!$B$26:$B$27,'Sample Size cal and results'!$I$26:$I$27)</f>
        <v>131.91963096904252</v>
      </c>
      <c r="R438" s="330"/>
    </row>
    <row r="439" spans="1:18" ht="12.75">
      <c r="A439" s="99" t="s">
        <v>146</v>
      </c>
      <c r="B439" s="100">
        <v>41935</v>
      </c>
      <c r="C439" s="100">
        <f t="shared" si="73"/>
        <v>44491</v>
      </c>
      <c r="D439" s="209">
        <v>155</v>
      </c>
      <c r="E439" s="217">
        <f t="shared" si="74"/>
        <v>5.35</v>
      </c>
      <c r="F439" s="218">
        <f t="shared" si="75"/>
        <v>6.35</v>
      </c>
      <c r="G439" s="219">
        <f t="shared" si="76"/>
        <v>6.35</v>
      </c>
      <c r="H439" s="220">
        <f t="shared" si="77"/>
        <v>7.35</v>
      </c>
      <c r="I439" s="257" t="str">
        <f t="shared" si="78"/>
        <v>6-7 years</v>
      </c>
      <c r="J439" s="211">
        <f t="shared" si="79"/>
        <v>0.83835616438356164</v>
      </c>
      <c r="K439" s="258">
        <f>$D439*J439*_xlfn.XLOOKUP($I439,'Sample Size cal and results'!$B$24:$B$25,'Sample Size cal and results'!$H$24:$H$25)</f>
        <v>106.54264339041994</v>
      </c>
      <c r="L439" s="211">
        <f t="shared" si="80"/>
        <v>0.16164383561643836</v>
      </c>
      <c r="M439" s="211">
        <f>$D439*L439*_xlfn.XLOOKUP($I439,'Sample Size cal and results'!$B$24:$B$25,'Sample Size cal and results'!$I$24:$I$25)</f>
        <v>21.076852458694034</v>
      </c>
      <c r="N439" s="214">
        <f t="shared" si="81"/>
        <v>127.61949584911397</v>
      </c>
      <c r="O439" s="225" t="str">
        <f t="shared" si="82"/>
        <v>7-8 years</v>
      </c>
      <c r="P439" s="226">
        <f t="shared" si="83"/>
        <v>0.64657534246575343</v>
      </c>
      <c r="Q439" s="227">
        <f>$D439*P439*_xlfn.XLOOKUP($O439,'Sample Size cal and results'!$B$26:$B$27,'Sample Size cal and results'!$I$26:$I$27)</f>
        <v>65.119563057966843</v>
      </c>
      <c r="R439" s="330"/>
    </row>
    <row r="440" spans="1:18" ht="12.75">
      <c r="A440" s="99" t="s">
        <v>51</v>
      </c>
      <c r="B440" s="100">
        <v>41935</v>
      </c>
      <c r="C440" s="100">
        <f t="shared" si="73"/>
        <v>44491</v>
      </c>
      <c r="D440" s="209">
        <v>120</v>
      </c>
      <c r="E440" s="217">
        <f t="shared" si="74"/>
        <v>5.35</v>
      </c>
      <c r="F440" s="218">
        <f t="shared" si="75"/>
        <v>6.35</v>
      </c>
      <c r="G440" s="219">
        <f t="shared" si="76"/>
        <v>6.35</v>
      </c>
      <c r="H440" s="220">
        <f t="shared" si="77"/>
        <v>7.35</v>
      </c>
      <c r="I440" s="257" t="str">
        <f t="shared" si="78"/>
        <v>6-7 years</v>
      </c>
      <c r="J440" s="211">
        <f t="shared" si="79"/>
        <v>0.83835616438356164</v>
      </c>
      <c r="K440" s="258">
        <f>$D440*J440*_xlfn.XLOOKUP($I440,'Sample Size cal and results'!$B$24:$B$25,'Sample Size cal and results'!$H$24:$H$25)</f>
        <v>82.484627140970275</v>
      </c>
      <c r="L440" s="211">
        <f t="shared" si="80"/>
        <v>0.16164383561643836</v>
      </c>
      <c r="M440" s="211">
        <f>$D440*L440*_xlfn.XLOOKUP($I440,'Sample Size cal and results'!$B$24:$B$25,'Sample Size cal and results'!$I$24:$I$25)</f>
        <v>16.317563193827638</v>
      </c>
      <c r="N440" s="214">
        <f t="shared" si="81"/>
        <v>98.802190334797913</v>
      </c>
      <c r="O440" s="225" t="str">
        <f t="shared" si="82"/>
        <v>7-8 years</v>
      </c>
      <c r="P440" s="226">
        <f t="shared" si="83"/>
        <v>0.64657534246575343</v>
      </c>
      <c r="Q440" s="227">
        <f>$D440*P440*_xlfn.XLOOKUP($O440,'Sample Size cal and results'!$B$26:$B$27,'Sample Size cal and results'!$I$26:$I$27)</f>
        <v>50.415145593264647</v>
      </c>
      <c r="R440" s="330"/>
    </row>
    <row r="441" spans="1:18" ht="12.75">
      <c r="A441" s="99" t="s">
        <v>147</v>
      </c>
      <c r="B441" s="100">
        <v>41934</v>
      </c>
      <c r="C441" s="100">
        <f t="shared" si="73"/>
        <v>44490</v>
      </c>
      <c r="D441" s="209">
        <v>287</v>
      </c>
      <c r="E441" s="217">
        <f t="shared" si="74"/>
        <v>5.35</v>
      </c>
      <c r="F441" s="218">
        <f t="shared" si="75"/>
        <v>6.35</v>
      </c>
      <c r="G441" s="219">
        <f t="shared" si="76"/>
        <v>6.35</v>
      </c>
      <c r="H441" s="220">
        <f t="shared" si="77"/>
        <v>7.35</v>
      </c>
      <c r="I441" s="257" t="str">
        <f t="shared" si="78"/>
        <v>6-7 years</v>
      </c>
      <c r="J441" s="211">
        <f t="shared" si="79"/>
        <v>0.83835616438356164</v>
      </c>
      <c r="K441" s="258">
        <f>$D441*J441*_xlfn.XLOOKUP($I441,'Sample Size cal and results'!$B$24:$B$25,'Sample Size cal and results'!$H$24:$H$25)</f>
        <v>197.27573324548723</v>
      </c>
      <c r="L441" s="211">
        <f t="shared" si="80"/>
        <v>0.16164383561643836</v>
      </c>
      <c r="M441" s="211">
        <f>$D441*L441*_xlfn.XLOOKUP($I441,'Sample Size cal and results'!$B$24:$B$25,'Sample Size cal and results'!$I$24:$I$25)</f>
        <v>39.026171971904432</v>
      </c>
      <c r="N441" s="214">
        <f t="shared" si="81"/>
        <v>236.30190521739166</v>
      </c>
      <c r="O441" s="225" t="str">
        <f t="shared" si="82"/>
        <v>7-8 years</v>
      </c>
      <c r="P441" s="226">
        <f t="shared" si="83"/>
        <v>0.64383561643835618</v>
      </c>
      <c r="Q441" s="227">
        <f>$D441*P441*_xlfn.XLOOKUP($O441,'Sample Size cal and results'!$B$26:$B$27,'Sample Size cal and results'!$I$26:$I$27)</f>
        <v>120.06530701051322</v>
      </c>
      <c r="R441" s="330"/>
    </row>
    <row r="442" spans="1:18" ht="12.75">
      <c r="A442" s="99" t="s">
        <v>51</v>
      </c>
      <c r="B442" s="100">
        <v>41934</v>
      </c>
      <c r="C442" s="100">
        <f t="shared" si="73"/>
        <v>44490</v>
      </c>
      <c r="D442" s="209">
        <v>155</v>
      </c>
      <c r="E442" s="217">
        <f t="shared" si="74"/>
        <v>5.35</v>
      </c>
      <c r="F442" s="218">
        <f t="shared" si="75"/>
        <v>6.35</v>
      </c>
      <c r="G442" s="219">
        <f t="shared" si="76"/>
        <v>6.35</v>
      </c>
      <c r="H442" s="220">
        <f t="shared" si="77"/>
        <v>7.35</v>
      </c>
      <c r="I442" s="257" t="str">
        <f t="shared" si="78"/>
        <v>6-7 years</v>
      </c>
      <c r="J442" s="211">
        <f t="shared" si="79"/>
        <v>0.83835616438356164</v>
      </c>
      <c r="K442" s="258">
        <f>$D442*J442*_xlfn.XLOOKUP($I442,'Sample Size cal and results'!$B$24:$B$25,'Sample Size cal and results'!$H$24:$H$25)</f>
        <v>106.54264339041994</v>
      </c>
      <c r="L442" s="211">
        <f t="shared" si="80"/>
        <v>0.16164383561643836</v>
      </c>
      <c r="M442" s="211">
        <f>$D442*L442*_xlfn.XLOOKUP($I442,'Sample Size cal and results'!$B$24:$B$25,'Sample Size cal and results'!$I$24:$I$25)</f>
        <v>21.076852458694034</v>
      </c>
      <c r="N442" s="214">
        <f t="shared" si="81"/>
        <v>127.61949584911397</v>
      </c>
      <c r="O442" s="225" t="str">
        <f t="shared" si="82"/>
        <v>7-8 years</v>
      </c>
      <c r="P442" s="226">
        <f t="shared" si="83"/>
        <v>0.64383561643835618</v>
      </c>
      <c r="Q442" s="227">
        <f>$D442*P442*_xlfn.XLOOKUP($O442,'Sample Size cal and results'!$B$26:$B$27,'Sample Size cal and results'!$I$26:$I$27)</f>
        <v>64.843632706026298</v>
      </c>
      <c r="R442" s="330"/>
    </row>
    <row r="443" spans="1:18" ht="12.75">
      <c r="A443" s="99" t="s">
        <v>146</v>
      </c>
      <c r="B443" s="100">
        <v>41934</v>
      </c>
      <c r="C443" s="100">
        <f t="shared" si="73"/>
        <v>44490</v>
      </c>
      <c r="D443" s="209">
        <v>124</v>
      </c>
      <c r="E443" s="217">
        <f t="shared" si="74"/>
        <v>5.35</v>
      </c>
      <c r="F443" s="218">
        <f t="shared" si="75"/>
        <v>6.35</v>
      </c>
      <c r="G443" s="219">
        <f t="shared" si="76"/>
        <v>6.35</v>
      </c>
      <c r="H443" s="220">
        <f t="shared" si="77"/>
        <v>7.35</v>
      </c>
      <c r="I443" s="257" t="str">
        <f t="shared" si="78"/>
        <v>6-7 years</v>
      </c>
      <c r="J443" s="211">
        <f t="shared" si="79"/>
        <v>0.83835616438356164</v>
      </c>
      <c r="K443" s="258">
        <f>$D443*J443*_xlfn.XLOOKUP($I443,'Sample Size cal and results'!$B$24:$B$25,'Sample Size cal and results'!$H$24:$H$25)</f>
        <v>85.234114712335952</v>
      </c>
      <c r="L443" s="211">
        <f t="shared" si="80"/>
        <v>0.16164383561643836</v>
      </c>
      <c r="M443" s="211">
        <f>$D443*L443*_xlfn.XLOOKUP($I443,'Sample Size cal and results'!$B$24:$B$25,'Sample Size cal and results'!$I$24:$I$25)</f>
        <v>16.861481966955225</v>
      </c>
      <c r="N443" s="214">
        <f t="shared" si="81"/>
        <v>102.09559667929118</v>
      </c>
      <c r="O443" s="225" t="str">
        <f t="shared" si="82"/>
        <v>7-8 years</v>
      </c>
      <c r="P443" s="226">
        <f t="shared" si="83"/>
        <v>0.64383561643835618</v>
      </c>
      <c r="Q443" s="227">
        <f>$D443*P443*_xlfn.XLOOKUP($O443,'Sample Size cal and results'!$B$26:$B$27,'Sample Size cal and results'!$I$26:$I$27)</f>
        <v>51.874906164821041</v>
      </c>
      <c r="R443" s="330"/>
    </row>
    <row r="444" spans="1:18" ht="12.75">
      <c r="A444" s="99" t="s">
        <v>50</v>
      </c>
      <c r="B444" s="100">
        <v>41933</v>
      </c>
      <c r="C444" s="100">
        <f t="shared" si="73"/>
        <v>44489</v>
      </c>
      <c r="D444" s="209">
        <v>1872</v>
      </c>
      <c r="E444" s="217">
        <f t="shared" si="74"/>
        <v>5.36</v>
      </c>
      <c r="F444" s="218">
        <f t="shared" si="75"/>
        <v>6.35</v>
      </c>
      <c r="G444" s="219">
        <f t="shared" si="76"/>
        <v>6.36</v>
      </c>
      <c r="H444" s="220">
        <f t="shared" si="77"/>
        <v>7.35</v>
      </c>
      <c r="I444" s="257" t="str">
        <f t="shared" si="78"/>
        <v>6-7 years</v>
      </c>
      <c r="J444" s="211">
        <f t="shared" si="79"/>
        <v>0.83835616438356164</v>
      </c>
      <c r="K444" s="258">
        <f>$D444*J444*_xlfn.XLOOKUP($I444,'Sample Size cal and results'!$B$24:$B$25,'Sample Size cal and results'!$H$24:$H$25)</f>
        <v>1286.7601833991364</v>
      </c>
      <c r="L444" s="211">
        <f t="shared" si="80"/>
        <v>0.16164383561643836</v>
      </c>
      <c r="M444" s="211">
        <f>$D444*L444*_xlfn.XLOOKUP($I444,'Sample Size cal and results'!$B$24:$B$25,'Sample Size cal and results'!$I$24:$I$25)</f>
        <v>254.55398582371114</v>
      </c>
      <c r="N444" s="214">
        <f t="shared" si="81"/>
        <v>1541.3141692228476</v>
      </c>
      <c r="O444" s="225" t="str">
        <f t="shared" si="82"/>
        <v>7-8 years</v>
      </c>
      <c r="P444" s="226">
        <f t="shared" si="83"/>
        <v>0.64109589041095894</v>
      </c>
      <c r="Q444" s="227">
        <f>$D444*P444*_xlfn.XLOOKUP($O444,'Sample Size cal and results'!$B$26:$B$27,'Sample Size cal and results'!$I$26:$I$27)</f>
        <v>779.81121810870036</v>
      </c>
      <c r="R444" s="330"/>
    </row>
    <row r="445" spans="1:18" ht="12.75">
      <c r="A445" s="99" t="s">
        <v>147</v>
      </c>
      <c r="B445" s="100">
        <v>41933</v>
      </c>
      <c r="C445" s="100">
        <f t="shared" si="73"/>
        <v>44489</v>
      </c>
      <c r="D445" s="209">
        <v>323</v>
      </c>
      <c r="E445" s="217">
        <f t="shared" si="74"/>
        <v>5.36</v>
      </c>
      <c r="F445" s="218">
        <f t="shared" si="75"/>
        <v>6.35</v>
      </c>
      <c r="G445" s="219">
        <f t="shared" si="76"/>
        <v>6.36</v>
      </c>
      <c r="H445" s="220">
        <f t="shared" si="77"/>
        <v>7.35</v>
      </c>
      <c r="I445" s="257" t="str">
        <f t="shared" si="78"/>
        <v>6-7 years</v>
      </c>
      <c r="J445" s="211">
        <f t="shared" si="79"/>
        <v>0.83835616438356164</v>
      </c>
      <c r="K445" s="258">
        <f>$D445*J445*_xlfn.XLOOKUP($I445,'Sample Size cal and results'!$B$24:$B$25,'Sample Size cal and results'!$H$24:$H$25)</f>
        <v>222.02112138777832</v>
      </c>
      <c r="L445" s="211">
        <f t="shared" si="80"/>
        <v>0.16164383561643836</v>
      </c>
      <c r="M445" s="211">
        <f>$D445*L445*_xlfn.XLOOKUP($I445,'Sample Size cal and results'!$B$24:$B$25,'Sample Size cal and results'!$I$24:$I$25)</f>
        <v>43.921440930052725</v>
      </c>
      <c r="N445" s="214">
        <f t="shared" si="81"/>
        <v>265.94256231783106</v>
      </c>
      <c r="O445" s="225" t="str">
        <f t="shared" si="82"/>
        <v>7-8 years</v>
      </c>
      <c r="P445" s="226">
        <f t="shared" si="83"/>
        <v>0.64109589041095894</v>
      </c>
      <c r="Q445" s="227">
        <f>$D445*P445*_xlfn.XLOOKUP($O445,'Sample Size cal and results'!$B$26:$B$27,'Sample Size cal and results'!$I$26:$I$27)</f>
        <v>134.55076038948195</v>
      </c>
      <c r="R445" s="330"/>
    </row>
    <row r="446" spans="1:18" ht="12.75">
      <c r="A446" s="99" t="s">
        <v>51</v>
      </c>
      <c r="B446" s="100">
        <v>41933</v>
      </c>
      <c r="C446" s="100">
        <f t="shared" si="73"/>
        <v>44489</v>
      </c>
      <c r="D446" s="209">
        <v>185</v>
      </c>
      <c r="E446" s="217">
        <f t="shared" si="74"/>
        <v>5.36</v>
      </c>
      <c r="F446" s="218">
        <f t="shared" si="75"/>
        <v>6.35</v>
      </c>
      <c r="G446" s="219">
        <f t="shared" si="76"/>
        <v>6.36</v>
      </c>
      <c r="H446" s="220">
        <f t="shared" si="77"/>
        <v>7.35</v>
      </c>
      <c r="I446" s="257" t="str">
        <f t="shared" si="78"/>
        <v>6-7 years</v>
      </c>
      <c r="J446" s="211">
        <f t="shared" si="79"/>
        <v>0.83835616438356164</v>
      </c>
      <c r="K446" s="258">
        <f>$D446*J446*_xlfn.XLOOKUP($I446,'Sample Size cal and results'!$B$24:$B$25,'Sample Size cal and results'!$H$24:$H$25)</f>
        <v>127.1638001756625</v>
      </c>
      <c r="L446" s="211">
        <f t="shared" si="80"/>
        <v>0.16164383561643836</v>
      </c>
      <c r="M446" s="211">
        <f>$D446*L446*_xlfn.XLOOKUP($I446,'Sample Size cal and results'!$B$24:$B$25,'Sample Size cal and results'!$I$24:$I$25)</f>
        <v>25.15624325715094</v>
      </c>
      <c r="N446" s="214">
        <f t="shared" si="81"/>
        <v>152.32004343281343</v>
      </c>
      <c r="O446" s="225" t="str">
        <f t="shared" si="82"/>
        <v>7-8 years</v>
      </c>
      <c r="P446" s="226">
        <f t="shared" si="83"/>
        <v>0.64109589041095894</v>
      </c>
      <c r="Q446" s="227">
        <f>$D446*P446*_xlfn.XLOOKUP($O446,'Sample Size cal and results'!$B$26:$B$27,'Sample Size cal and results'!$I$26:$I$27)</f>
        <v>77.064677003263654</v>
      </c>
      <c r="R446" s="330"/>
    </row>
    <row r="447" spans="1:18" ht="12.75">
      <c r="A447" s="99" t="s">
        <v>146</v>
      </c>
      <c r="B447" s="100">
        <v>41933</v>
      </c>
      <c r="C447" s="100">
        <f t="shared" si="73"/>
        <v>44489</v>
      </c>
      <c r="D447" s="209">
        <v>75</v>
      </c>
      <c r="E447" s="217">
        <f t="shared" si="74"/>
        <v>5.36</v>
      </c>
      <c r="F447" s="218">
        <f t="shared" si="75"/>
        <v>6.35</v>
      </c>
      <c r="G447" s="219">
        <f t="shared" si="76"/>
        <v>6.36</v>
      </c>
      <c r="H447" s="220">
        <f t="shared" si="77"/>
        <v>7.35</v>
      </c>
      <c r="I447" s="257" t="str">
        <f t="shared" si="78"/>
        <v>6-7 years</v>
      </c>
      <c r="J447" s="211">
        <f t="shared" si="79"/>
        <v>0.83835616438356164</v>
      </c>
      <c r="K447" s="258">
        <f>$D447*J447*_xlfn.XLOOKUP($I447,'Sample Size cal and results'!$B$24:$B$25,'Sample Size cal and results'!$H$24:$H$25)</f>
        <v>51.552891963106418</v>
      </c>
      <c r="L447" s="211">
        <f t="shared" si="80"/>
        <v>0.16164383561643836</v>
      </c>
      <c r="M447" s="211">
        <f>$D447*L447*_xlfn.XLOOKUP($I447,'Sample Size cal and results'!$B$24:$B$25,'Sample Size cal and results'!$I$24:$I$25)</f>
        <v>10.198476996142274</v>
      </c>
      <c r="N447" s="214">
        <f t="shared" si="81"/>
        <v>61.751368959248694</v>
      </c>
      <c r="O447" s="225" t="str">
        <f t="shared" si="82"/>
        <v>7-8 years</v>
      </c>
      <c r="P447" s="226">
        <f t="shared" si="83"/>
        <v>0.64109589041095894</v>
      </c>
      <c r="Q447" s="227">
        <f>$D447*P447*_xlfn.XLOOKUP($O447,'Sample Size cal and results'!$B$26:$B$27,'Sample Size cal and results'!$I$26:$I$27)</f>
        <v>31.242436622944727</v>
      </c>
      <c r="R447" s="330"/>
    </row>
    <row r="448" spans="1:18" ht="12.75">
      <c r="A448" s="99" t="s">
        <v>147</v>
      </c>
      <c r="B448" s="100">
        <v>41932</v>
      </c>
      <c r="C448" s="100">
        <f t="shared" si="73"/>
        <v>44488</v>
      </c>
      <c r="D448" s="209">
        <v>346</v>
      </c>
      <c r="E448" s="217">
        <f t="shared" si="74"/>
        <v>5.36</v>
      </c>
      <c r="F448" s="218">
        <f t="shared" si="75"/>
        <v>6.36</v>
      </c>
      <c r="G448" s="219">
        <f t="shared" si="76"/>
        <v>6.36</v>
      </c>
      <c r="H448" s="220">
        <f t="shared" si="77"/>
        <v>7.35</v>
      </c>
      <c r="I448" s="257" t="str">
        <f t="shared" si="78"/>
        <v>6-7 years</v>
      </c>
      <c r="J448" s="211">
        <f t="shared" si="79"/>
        <v>0.83835616438356164</v>
      </c>
      <c r="K448" s="258">
        <f>$D448*J448*_xlfn.XLOOKUP($I448,'Sample Size cal and results'!$B$24:$B$25,'Sample Size cal and results'!$H$24:$H$25)</f>
        <v>237.83067492313094</v>
      </c>
      <c r="L448" s="211">
        <f t="shared" si="80"/>
        <v>0.16164383561643836</v>
      </c>
      <c r="M448" s="211">
        <f>$D448*L448*_xlfn.XLOOKUP($I448,'Sample Size cal and results'!$B$24:$B$25,'Sample Size cal and results'!$I$24:$I$25)</f>
        <v>47.048973875536355</v>
      </c>
      <c r="N448" s="214">
        <f t="shared" si="81"/>
        <v>284.87964879866729</v>
      </c>
      <c r="O448" s="225" t="str">
        <f t="shared" si="82"/>
        <v>7-8 years</v>
      </c>
      <c r="P448" s="226">
        <f t="shared" si="83"/>
        <v>0.63835616438356169</v>
      </c>
      <c r="Q448" s="227">
        <f>$D448*P448*_xlfn.XLOOKUP($O448,'Sample Size cal and results'!$B$26:$B$27,'Sample Size cal and results'!$I$26:$I$27)</f>
        <v>143.51582653382098</v>
      </c>
      <c r="R448" s="330"/>
    </row>
    <row r="449" spans="1:18" ht="12.75">
      <c r="A449" s="99" t="s">
        <v>50</v>
      </c>
      <c r="B449" s="100">
        <v>41932</v>
      </c>
      <c r="C449" s="100">
        <f t="shared" si="73"/>
        <v>44488</v>
      </c>
      <c r="D449" s="209">
        <v>141</v>
      </c>
      <c r="E449" s="217">
        <f t="shared" si="74"/>
        <v>5.36</v>
      </c>
      <c r="F449" s="218">
        <f t="shared" si="75"/>
        <v>6.36</v>
      </c>
      <c r="G449" s="219">
        <f t="shared" si="76"/>
        <v>6.36</v>
      </c>
      <c r="H449" s="220">
        <f t="shared" si="77"/>
        <v>7.35</v>
      </c>
      <c r="I449" s="257" t="str">
        <f t="shared" si="78"/>
        <v>6-7 years</v>
      </c>
      <c r="J449" s="211">
        <f t="shared" si="79"/>
        <v>0.83835616438356164</v>
      </c>
      <c r="K449" s="258">
        <f>$D449*J449*_xlfn.XLOOKUP($I449,'Sample Size cal and results'!$B$24:$B$25,'Sample Size cal and results'!$H$24:$H$25)</f>
        <v>96.919436890640071</v>
      </c>
      <c r="L449" s="211">
        <f t="shared" si="80"/>
        <v>0.16164383561643836</v>
      </c>
      <c r="M449" s="211">
        <f>$D449*L449*_xlfn.XLOOKUP($I449,'Sample Size cal and results'!$B$24:$B$25,'Sample Size cal and results'!$I$24:$I$25)</f>
        <v>19.173136752747475</v>
      </c>
      <c r="N449" s="214">
        <f t="shared" si="81"/>
        <v>116.09257364338754</v>
      </c>
      <c r="O449" s="225" t="str">
        <f t="shared" si="82"/>
        <v>7-8 years</v>
      </c>
      <c r="P449" s="226">
        <f t="shared" si="83"/>
        <v>0.63835616438356169</v>
      </c>
      <c r="Q449" s="227">
        <f>$D449*P449*_xlfn.XLOOKUP($O449,'Sample Size cal and results'!$B$26:$B$27,'Sample Size cal and results'!$I$26:$I$27)</f>
        <v>58.484773240661148</v>
      </c>
      <c r="R449" s="330"/>
    </row>
    <row r="450" spans="1:18" ht="12.75">
      <c r="A450" s="99" t="s">
        <v>146</v>
      </c>
      <c r="B450" s="100">
        <v>41932</v>
      </c>
      <c r="C450" s="100">
        <f t="shared" si="73"/>
        <v>44488</v>
      </c>
      <c r="D450" s="209">
        <v>79</v>
      </c>
      <c r="E450" s="217">
        <f t="shared" si="74"/>
        <v>5.36</v>
      </c>
      <c r="F450" s="218">
        <f t="shared" si="75"/>
        <v>6.36</v>
      </c>
      <c r="G450" s="219">
        <f t="shared" si="76"/>
        <v>6.36</v>
      </c>
      <c r="H450" s="220">
        <f t="shared" si="77"/>
        <v>7.35</v>
      </c>
      <c r="I450" s="257" t="str">
        <f t="shared" si="78"/>
        <v>6-7 years</v>
      </c>
      <c r="J450" s="211">
        <f t="shared" si="79"/>
        <v>0.83835616438356164</v>
      </c>
      <c r="K450" s="258">
        <f>$D450*J450*_xlfn.XLOOKUP($I450,'Sample Size cal and results'!$B$24:$B$25,'Sample Size cal and results'!$H$24:$H$25)</f>
        <v>54.302379534472102</v>
      </c>
      <c r="L450" s="211">
        <f t="shared" si="80"/>
        <v>0.16164383561643836</v>
      </c>
      <c r="M450" s="211">
        <f>$D450*L450*_xlfn.XLOOKUP($I450,'Sample Size cal and results'!$B$24:$B$25,'Sample Size cal and results'!$I$24:$I$25)</f>
        <v>10.742395769269862</v>
      </c>
      <c r="N450" s="214">
        <f t="shared" si="81"/>
        <v>65.044775303741972</v>
      </c>
      <c r="O450" s="225" t="str">
        <f t="shared" si="82"/>
        <v>7-8 years</v>
      </c>
      <c r="P450" s="226">
        <f t="shared" si="83"/>
        <v>0.63835616438356169</v>
      </c>
      <c r="Q450" s="227">
        <f>$D450*P450*_xlfn.XLOOKUP($O450,'Sample Size cal and results'!$B$26:$B$27,'Sample Size cal and results'!$I$26:$I$27)</f>
        <v>32.768064439803048</v>
      </c>
      <c r="R450" s="330"/>
    </row>
    <row r="451" spans="1:18" ht="12.75">
      <c r="A451" s="99" t="s">
        <v>147</v>
      </c>
      <c r="B451" s="100">
        <v>41931</v>
      </c>
      <c r="C451" s="100">
        <f t="shared" ref="C451:C514" si="84">EDATE(B451,84)-1</f>
        <v>44487</v>
      </c>
      <c r="D451" s="209">
        <v>237</v>
      </c>
      <c r="E451" s="217">
        <f t="shared" ref="E451:E514" si="85">ROUNDDOWN(YEARFRAC($B451,$AB$4,1),2)</f>
        <v>5.36</v>
      </c>
      <c r="F451" s="218">
        <f t="shared" ref="F451:F514" si="86">ROUNDDOWN(YEARFRAC($B451,$AB$5,1),2)</f>
        <v>6.36</v>
      </c>
      <c r="G451" s="219">
        <f t="shared" ref="G451:G514" si="87">ROUNDDOWN(YEARFRAC($B451,$AC$4,1),2)</f>
        <v>6.36</v>
      </c>
      <c r="H451" s="220">
        <f t="shared" ref="H451:H514" si="88">ROUNDDOWN(YEARFRAC($B451,$AC$5,1),2)</f>
        <v>7.36</v>
      </c>
      <c r="I451" s="257" t="str">
        <f t="shared" ref="I451:I514" si="89">IF(DATEDIF($B451,$AB$5,"y")=5,"5-6 years","6-7 years")</f>
        <v>6-7 years</v>
      </c>
      <c r="J451" s="211">
        <f t="shared" ref="J451:J514" si="90">MAX(MIN($AC$7,C451)-MAX($AB$4,$B451,_xlfn.XLOOKUP($A451,$AE$3:$AE$37,$AF$3:$AF$37))+1,0)/365</f>
        <v>0.83835616438356164</v>
      </c>
      <c r="K451" s="258">
        <f>$D451*J451*_xlfn.XLOOKUP($I451,'Sample Size cal and results'!$B$24:$B$25,'Sample Size cal and results'!$H$24:$H$25)</f>
        <v>162.90713860341629</v>
      </c>
      <c r="L451" s="211">
        <f t="shared" ref="L451:L514" si="91">MAX(MIN($AB$5,C451)-MAX($AC$8,$B451,_xlfn.XLOOKUP($A451,$AE$3:$AE$37,$AF$3:$AF$37))+1,0)/365</f>
        <v>0.16164383561643836</v>
      </c>
      <c r="M451" s="211">
        <f>$D451*L451*_xlfn.XLOOKUP($I451,'Sample Size cal and results'!$B$24:$B$25,'Sample Size cal and results'!$I$24:$I$25)</f>
        <v>32.227187307809587</v>
      </c>
      <c r="N451" s="214">
        <f t="shared" ref="N451:N514" si="92">M451+K451</f>
        <v>195.13432591122586</v>
      </c>
      <c r="O451" s="225" t="str">
        <f t="shared" ref="O451:O514" si="93">IF(DATEDIF($B451,$AC$5,"y")=6,"6-7 years","7-8 years")</f>
        <v>7-8 years</v>
      </c>
      <c r="P451" s="226">
        <f t="shared" ref="P451:P514" si="94">MAX(MIN($AC$5,C451)-MAX($AC$4,$B451,_xlfn.XLOOKUP($A451,$AE$3:$AE$37,$AF$3:$AF$37))+1,0)/365</f>
        <v>0.63561643835616444</v>
      </c>
      <c r="Q451" s="227">
        <f>$D451*P451*_xlfn.XLOOKUP($O451,'Sample Size cal and results'!$B$26:$B$27,'Sample Size cal and results'!$I$26:$I$27)</f>
        <v>97.882286910312985</v>
      </c>
      <c r="R451" s="330"/>
    </row>
    <row r="452" spans="1:18" ht="12.75">
      <c r="A452" s="99" t="s">
        <v>50</v>
      </c>
      <c r="B452" s="100">
        <v>41931</v>
      </c>
      <c r="C452" s="100">
        <f t="shared" si="84"/>
        <v>44487</v>
      </c>
      <c r="D452" s="209">
        <v>181</v>
      </c>
      <c r="E452" s="217">
        <f t="shared" si="85"/>
        <v>5.36</v>
      </c>
      <c r="F452" s="218">
        <f t="shared" si="86"/>
        <v>6.36</v>
      </c>
      <c r="G452" s="219">
        <f t="shared" si="87"/>
        <v>6.36</v>
      </c>
      <c r="H452" s="220">
        <f t="shared" si="88"/>
        <v>7.36</v>
      </c>
      <c r="I452" s="257" t="str">
        <f t="shared" si="89"/>
        <v>6-7 years</v>
      </c>
      <c r="J452" s="211">
        <f t="shared" si="90"/>
        <v>0.83835616438356164</v>
      </c>
      <c r="K452" s="258">
        <f>$D452*J452*_xlfn.XLOOKUP($I452,'Sample Size cal and results'!$B$24:$B$25,'Sample Size cal and results'!$H$24:$H$25)</f>
        <v>124.41431260429682</v>
      </c>
      <c r="L452" s="211">
        <f t="shared" si="91"/>
        <v>0.16164383561643836</v>
      </c>
      <c r="M452" s="211">
        <f>$D452*L452*_xlfn.XLOOKUP($I452,'Sample Size cal and results'!$B$24:$B$25,'Sample Size cal and results'!$I$24:$I$25)</f>
        <v>24.612324484023354</v>
      </c>
      <c r="N452" s="214">
        <f t="shared" si="92"/>
        <v>149.02663708832017</v>
      </c>
      <c r="O452" s="225" t="str">
        <f t="shared" si="93"/>
        <v>7-8 years</v>
      </c>
      <c r="P452" s="226">
        <f t="shared" si="94"/>
        <v>0.63561643835616444</v>
      </c>
      <c r="Q452" s="227">
        <f>$D452*P452*_xlfn.XLOOKUP($O452,'Sample Size cal and results'!$B$26:$B$27,'Sample Size cal and results'!$I$26:$I$27)</f>
        <v>74.753982830239025</v>
      </c>
      <c r="R452" s="330"/>
    </row>
    <row r="453" spans="1:18" ht="12.75">
      <c r="A453" s="99" t="s">
        <v>146</v>
      </c>
      <c r="B453" s="100">
        <v>41931</v>
      </c>
      <c r="C453" s="100">
        <f t="shared" si="84"/>
        <v>44487</v>
      </c>
      <c r="D453" s="209">
        <v>75</v>
      </c>
      <c r="E453" s="217">
        <f t="shared" si="85"/>
        <v>5.36</v>
      </c>
      <c r="F453" s="218">
        <f t="shared" si="86"/>
        <v>6.36</v>
      </c>
      <c r="G453" s="219">
        <f t="shared" si="87"/>
        <v>6.36</v>
      </c>
      <c r="H453" s="220">
        <f t="shared" si="88"/>
        <v>7.36</v>
      </c>
      <c r="I453" s="257" t="str">
        <f t="shared" si="89"/>
        <v>6-7 years</v>
      </c>
      <c r="J453" s="211">
        <f t="shared" si="90"/>
        <v>0.83835616438356164</v>
      </c>
      <c r="K453" s="258">
        <f>$D453*J453*_xlfn.XLOOKUP($I453,'Sample Size cal and results'!$B$24:$B$25,'Sample Size cal and results'!$H$24:$H$25)</f>
        <v>51.552891963106418</v>
      </c>
      <c r="L453" s="211">
        <f t="shared" si="91"/>
        <v>0.16164383561643836</v>
      </c>
      <c r="M453" s="211">
        <f>$D453*L453*_xlfn.XLOOKUP($I453,'Sample Size cal and results'!$B$24:$B$25,'Sample Size cal and results'!$I$24:$I$25)</f>
        <v>10.198476996142274</v>
      </c>
      <c r="N453" s="214">
        <f t="shared" si="92"/>
        <v>61.751368959248694</v>
      </c>
      <c r="O453" s="225" t="str">
        <f t="shared" si="93"/>
        <v>7-8 years</v>
      </c>
      <c r="P453" s="226">
        <f t="shared" si="94"/>
        <v>0.63561643835616444</v>
      </c>
      <c r="Q453" s="227">
        <f>$D453*P453*_xlfn.XLOOKUP($O453,'Sample Size cal and results'!$B$26:$B$27,'Sample Size cal and results'!$I$26:$I$27)</f>
        <v>30.975407250099046</v>
      </c>
      <c r="R453" s="330"/>
    </row>
    <row r="454" spans="1:18" ht="12.75">
      <c r="A454" s="99" t="s">
        <v>147</v>
      </c>
      <c r="B454" s="100">
        <v>41930</v>
      </c>
      <c r="C454" s="100">
        <f t="shared" si="84"/>
        <v>44486</v>
      </c>
      <c r="D454" s="209">
        <v>225</v>
      </c>
      <c r="E454" s="217">
        <f t="shared" si="85"/>
        <v>5.36</v>
      </c>
      <c r="F454" s="218">
        <f t="shared" si="86"/>
        <v>6.36</v>
      </c>
      <c r="G454" s="219">
        <f t="shared" si="87"/>
        <v>6.36</v>
      </c>
      <c r="H454" s="220">
        <f t="shared" si="88"/>
        <v>7.36</v>
      </c>
      <c r="I454" s="257" t="str">
        <f t="shared" si="89"/>
        <v>6-7 years</v>
      </c>
      <c r="J454" s="211">
        <f t="shared" si="90"/>
        <v>0.83835616438356164</v>
      </c>
      <c r="K454" s="258">
        <f>$D454*J454*_xlfn.XLOOKUP($I454,'Sample Size cal and results'!$B$24:$B$25,'Sample Size cal and results'!$H$24:$H$25)</f>
        <v>154.65867588931928</v>
      </c>
      <c r="L454" s="211">
        <f t="shared" si="91"/>
        <v>0.16164383561643836</v>
      </c>
      <c r="M454" s="211">
        <f>$D454*L454*_xlfn.XLOOKUP($I454,'Sample Size cal and results'!$B$24:$B$25,'Sample Size cal and results'!$I$24:$I$25)</f>
        <v>30.595430988426823</v>
      </c>
      <c r="N454" s="214">
        <f t="shared" si="92"/>
        <v>185.2541068777461</v>
      </c>
      <c r="O454" s="225" t="str">
        <f t="shared" si="93"/>
        <v>7-8 years</v>
      </c>
      <c r="P454" s="226">
        <f t="shared" si="94"/>
        <v>0.63287671232876708</v>
      </c>
      <c r="Q454" s="227">
        <f>$D454*P454*_xlfn.XLOOKUP($O454,'Sample Size cal and results'!$B$26:$B$27,'Sample Size cal and results'!$I$26:$I$27)</f>
        <v>92.525677691028605</v>
      </c>
      <c r="R454" s="330"/>
    </row>
    <row r="455" spans="1:18" ht="12.75">
      <c r="A455" s="99" t="s">
        <v>50</v>
      </c>
      <c r="B455" s="100">
        <v>41930</v>
      </c>
      <c r="C455" s="100">
        <f t="shared" si="84"/>
        <v>44486</v>
      </c>
      <c r="D455" s="209">
        <v>150</v>
      </c>
      <c r="E455" s="217">
        <f t="shared" si="85"/>
        <v>5.36</v>
      </c>
      <c r="F455" s="218">
        <f t="shared" si="86"/>
        <v>6.36</v>
      </c>
      <c r="G455" s="219">
        <f t="shared" si="87"/>
        <v>6.36</v>
      </c>
      <c r="H455" s="220">
        <f t="shared" si="88"/>
        <v>7.36</v>
      </c>
      <c r="I455" s="257" t="str">
        <f t="shared" si="89"/>
        <v>6-7 years</v>
      </c>
      <c r="J455" s="211">
        <f t="shared" si="90"/>
        <v>0.83835616438356164</v>
      </c>
      <c r="K455" s="258">
        <f>$D455*J455*_xlfn.XLOOKUP($I455,'Sample Size cal and results'!$B$24:$B$25,'Sample Size cal and results'!$H$24:$H$25)</f>
        <v>103.10578392621284</v>
      </c>
      <c r="L455" s="211">
        <f t="shared" si="91"/>
        <v>0.16164383561643836</v>
      </c>
      <c r="M455" s="211">
        <f>$D455*L455*_xlfn.XLOOKUP($I455,'Sample Size cal and results'!$B$24:$B$25,'Sample Size cal and results'!$I$24:$I$25)</f>
        <v>20.396953992284548</v>
      </c>
      <c r="N455" s="214">
        <f t="shared" si="92"/>
        <v>123.50273791849739</v>
      </c>
      <c r="O455" s="225" t="str">
        <f t="shared" si="93"/>
        <v>7-8 years</v>
      </c>
      <c r="P455" s="226">
        <f t="shared" si="94"/>
        <v>0.63287671232876708</v>
      </c>
      <c r="Q455" s="227">
        <f>$D455*P455*_xlfn.XLOOKUP($O455,'Sample Size cal and results'!$B$26:$B$27,'Sample Size cal and results'!$I$26:$I$27)</f>
        <v>61.683785127352394</v>
      </c>
      <c r="R455" s="330"/>
    </row>
    <row r="456" spans="1:18" ht="12.75">
      <c r="A456" s="99" t="s">
        <v>146</v>
      </c>
      <c r="B456" s="100">
        <v>41930</v>
      </c>
      <c r="C456" s="100">
        <f t="shared" si="84"/>
        <v>44486</v>
      </c>
      <c r="D456" s="209">
        <v>117</v>
      </c>
      <c r="E456" s="217">
        <f t="shared" si="85"/>
        <v>5.36</v>
      </c>
      <c r="F456" s="218">
        <f t="shared" si="86"/>
        <v>6.36</v>
      </c>
      <c r="G456" s="219">
        <f t="shared" si="87"/>
        <v>6.36</v>
      </c>
      <c r="H456" s="220">
        <f t="shared" si="88"/>
        <v>7.36</v>
      </c>
      <c r="I456" s="257" t="str">
        <f t="shared" si="89"/>
        <v>6-7 years</v>
      </c>
      <c r="J456" s="211">
        <f t="shared" si="90"/>
        <v>0.83835616438356164</v>
      </c>
      <c r="K456" s="258">
        <f>$D456*J456*_xlfn.XLOOKUP($I456,'Sample Size cal and results'!$B$24:$B$25,'Sample Size cal and results'!$H$24:$H$25)</f>
        <v>80.422511462446025</v>
      </c>
      <c r="L456" s="211">
        <f t="shared" si="91"/>
        <v>0.16164383561643836</v>
      </c>
      <c r="M456" s="211">
        <f>$D456*L456*_xlfn.XLOOKUP($I456,'Sample Size cal and results'!$B$24:$B$25,'Sample Size cal and results'!$I$24:$I$25)</f>
        <v>15.909624113981947</v>
      </c>
      <c r="N456" s="214">
        <f t="shared" si="92"/>
        <v>96.332135576427973</v>
      </c>
      <c r="O456" s="225" t="str">
        <f t="shared" si="93"/>
        <v>7-8 years</v>
      </c>
      <c r="P456" s="226">
        <f t="shared" si="94"/>
        <v>0.63287671232876708</v>
      </c>
      <c r="Q456" s="227">
        <f>$D456*P456*_xlfn.XLOOKUP($O456,'Sample Size cal and results'!$B$26:$B$27,'Sample Size cal and results'!$I$26:$I$27)</f>
        <v>48.113352399334872</v>
      </c>
      <c r="R456" s="330"/>
    </row>
    <row r="457" spans="1:18" ht="12.75">
      <c r="A457" s="99" t="s">
        <v>147</v>
      </c>
      <c r="B457" s="100">
        <v>41929</v>
      </c>
      <c r="C457" s="100">
        <f t="shared" si="84"/>
        <v>44485</v>
      </c>
      <c r="D457" s="209">
        <v>206</v>
      </c>
      <c r="E457" s="217">
        <f t="shared" si="85"/>
        <v>5.37</v>
      </c>
      <c r="F457" s="218">
        <f t="shared" si="86"/>
        <v>6.36</v>
      </c>
      <c r="G457" s="219">
        <f t="shared" si="87"/>
        <v>6.37</v>
      </c>
      <c r="H457" s="220">
        <f t="shared" si="88"/>
        <v>7.36</v>
      </c>
      <c r="I457" s="257" t="str">
        <f t="shared" si="89"/>
        <v>6-7 years</v>
      </c>
      <c r="J457" s="211">
        <f t="shared" si="90"/>
        <v>0.83835616438356164</v>
      </c>
      <c r="K457" s="258">
        <f>$D457*J457*_xlfn.XLOOKUP($I457,'Sample Size cal and results'!$B$24:$B$25,'Sample Size cal and results'!$H$24:$H$25)</f>
        <v>141.59860992533231</v>
      </c>
      <c r="L457" s="211">
        <f t="shared" si="91"/>
        <v>0.16164383561643836</v>
      </c>
      <c r="M457" s="211">
        <f>$D457*L457*_xlfn.XLOOKUP($I457,'Sample Size cal and results'!$B$24:$B$25,'Sample Size cal and results'!$I$24:$I$25)</f>
        <v>28.01181681607078</v>
      </c>
      <c r="N457" s="214">
        <f t="shared" si="92"/>
        <v>169.6104267414031</v>
      </c>
      <c r="O457" s="225" t="str">
        <f t="shared" si="93"/>
        <v>7-8 years</v>
      </c>
      <c r="P457" s="226">
        <f t="shared" si="94"/>
        <v>0.63013698630136983</v>
      </c>
      <c r="Q457" s="227">
        <f>$D457*P457*_xlfn.XLOOKUP($O457,'Sample Size cal and results'!$B$26:$B$27,'Sample Size cal and results'!$I$26:$I$27)</f>
        <v>84.345677902855897</v>
      </c>
      <c r="R457" s="330"/>
    </row>
    <row r="458" spans="1:18" ht="12.75">
      <c r="A458" s="99" t="s">
        <v>50</v>
      </c>
      <c r="B458" s="100">
        <v>41929</v>
      </c>
      <c r="C458" s="100">
        <f t="shared" si="84"/>
        <v>44485</v>
      </c>
      <c r="D458" s="209">
        <v>123</v>
      </c>
      <c r="E458" s="217">
        <f t="shared" si="85"/>
        <v>5.37</v>
      </c>
      <c r="F458" s="218">
        <f t="shared" si="86"/>
        <v>6.36</v>
      </c>
      <c r="G458" s="219">
        <f t="shared" si="87"/>
        <v>6.37</v>
      </c>
      <c r="H458" s="220">
        <f t="shared" si="88"/>
        <v>7.36</v>
      </c>
      <c r="I458" s="257" t="str">
        <f t="shared" si="89"/>
        <v>6-7 years</v>
      </c>
      <c r="J458" s="211">
        <f t="shared" si="90"/>
        <v>0.83835616438356164</v>
      </c>
      <c r="K458" s="258">
        <f>$D458*J458*_xlfn.XLOOKUP($I458,'Sample Size cal and results'!$B$24:$B$25,'Sample Size cal and results'!$H$24:$H$25)</f>
        <v>84.54674281949454</v>
      </c>
      <c r="L458" s="211">
        <f t="shared" si="91"/>
        <v>0.16164383561643836</v>
      </c>
      <c r="M458" s="211">
        <f>$D458*L458*_xlfn.XLOOKUP($I458,'Sample Size cal and results'!$B$24:$B$25,'Sample Size cal and results'!$I$24:$I$25)</f>
        <v>16.725502273673328</v>
      </c>
      <c r="N458" s="214">
        <f t="shared" si="92"/>
        <v>101.27224509316787</v>
      </c>
      <c r="O458" s="225" t="str">
        <f t="shared" si="93"/>
        <v>7-8 years</v>
      </c>
      <c r="P458" s="226">
        <f t="shared" si="94"/>
        <v>0.63013698630136983</v>
      </c>
      <c r="Q458" s="227">
        <f>$D458*P458*_xlfn.XLOOKUP($O458,'Sample Size cal and results'!$B$26:$B$27,'Sample Size cal and results'!$I$26:$I$27)</f>
        <v>50.36173971869551</v>
      </c>
      <c r="R458" s="330"/>
    </row>
    <row r="459" spans="1:18" ht="12.75">
      <c r="A459" s="99" t="s">
        <v>146</v>
      </c>
      <c r="B459" s="100">
        <v>41929</v>
      </c>
      <c r="C459" s="100">
        <f t="shared" si="84"/>
        <v>44485</v>
      </c>
      <c r="D459" s="209">
        <v>102</v>
      </c>
      <c r="E459" s="217">
        <f t="shared" si="85"/>
        <v>5.37</v>
      </c>
      <c r="F459" s="218">
        <f t="shared" si="86"/>
        <v>6.36</v>
      </c>
      <c r="G459" s="219">
        <f t="shared" si="87"/>
        <v>6.37</v>
      </c>
      <c r="H459" s="220">
        <f t="shared" si="88"/>
        <v>7.36</v>
      </c>
      <c r="I459" s="257" t="str">
        <f t="shared" si="89"/>
        <v>6-7 years</v>
      </c>
      <c r="J459" s="211">
        <f t="shared" si="90"/>
        <v>0.83835616438356164</v>
      </c>
      <c r="K459" s="258">
        <f>$D459*J459*_xlfn.XLOOKUP($I459,'Sample Size cal and results'!$B$24:$B$25,'Sample Size cal and results'!$H$24:$H$25)</f>
        <v>70.11193306982473</v>
      </c>
      <c r="L459" s="211">
        <f t="shared" si="91"/>
        <v>0.16164383561643836</v>
      </c>
      <c r="M459" s="211">
        <f>$D459*L459*_xlfn.XLOOKUP($I459,'Sample Size cal and results'!$B$24:$B$25,'Sample Size cal and results'!$I$24:$I$25)</f>
        <v>13.869928714753494</v>
      </c>
      <c r="N459" s="214">
        <f t="shared" si="92"/>
        <v>83.981861784578228</v>
      </c>
      <c r="O459" s="225" t="str">
        <f t="shared" si="93"/>
        <v>7-8 years</v>
      </c>
      <c r="P459" s="226">
        <f t="shared" si="94"/>
        <v>0.63013698630136983</v>
      </c>
      <c r="Q459" s="227">
        <f>$D459*P459*_xlfn.XLOOKUP($O459,'Sample Size cal and results'!$B$26:$B$27,'Sample Size cal and results'!$I$26:$I$27)</f>
        <v>41.763393913064569</v>
      </c>
      <c r="R459" s="330"/>
    </row>
    <row r="460" spans="1:18" ht="12.75">
      <c r="A460" s="99" t="s">
        <v>147</v>
      </c>
      <c r="B460" s="100">
        <v>41928</v>
      </c>
      <c r="C460" s="100">
        <f t="shared" si="84"/>
        <v>44484</v>
      </c>
      <c r="D460" s="209">
        <v>216</v>
      </c>
      <c r="E460" s="217">
        <f t="shared" si="85"/>
        <v>5.37</v>
      </c>
      <c r="F460" s="218">
        <f t="shared" si="86"/>
        <v>6.37</v>
      </c>
      <c r="G460" s="219">
        <f t="shared" si="87"/>
        <v>6.37</v>
      </c>
      <c r="H460" s="220">
        <f t="shared" si="88"/>
        <v>7.37</v>
      </c>
      <c r="I460" s="257" t="str">
        <f t="shared" si="89"/>
        <v>6-7 years</v>
      </c>
      <c r="J460" s="211">
        <f t="shared" si="90"/>
        <v>0.83835616438356164</v>
      </c>
      <c r="K460" s="258">
        <f>$D460*J460*_xlfn.XLOOKUP($I460,'Sample Size cal and results'!$B$24:$B$25,'Sample Size cal and results'!$H$24:$H$25)</f>
        <v>148.47232885374649</v>
      </c>
      <c r="L460" s="211">
        <f t="shared" si="91"/>
        <v>0.16164383561643836</v>
      </c>
      <c r="M460" s="211">
        <f>$D460*L460*_xlfn.XLOOKUP($I460,'Sample Size cal and results'!$B$24:$B$25,'Sample Size cal and results'!$I$24:$I$25)</f>
        <v>29.371613748889747</v>
      </c>
      <c r="N460" s="214">
        <f t="shared" si="92"/>
        <v>177.84394260263625</v>
      </c>
      <c r="O460" s="225" t="str">
        <f t="shared" si="93"/>
        <v>7-8 years</v>
      </c>
      <c r="P460" s="226">
        <f t="shared" si="94"/>
        <v>0.62739726027397258</v>
      </c>
      <c r="Q460" s="227">
        <f>$D460*P460*_xlfn.XLOOKUP($O460,'Sample Size cal and results'!$B$26:$B$27,'Sample Size cal and results'!$I$26:$I$27)</f>
        <v>88.055605989591896</v>
      </c>
      <c r="R460" s="330"/>
    </row>
    <row r="461" spans="1:18" ht="12.75">
      <c r="A461" s="99" t="s">
        <v>50</v>
      </c>
      <c r="B461" s="100">
        <v>41928</v>
      </c>
      <c r="C461" s="100">
        <f t="shared" si="84"/>
        <v>44484</v>
      </c>
      <c r="D461" s="209">
        <v>126</v>
      </c>
      <c r="E461" s="217">
        <f t="shared" si="85"/>
        <v>5.37</v>
      </c>
      <c r="F461" s="218">
        <f t="shared" si="86"/>
        <v>6.37</v>
      </c>
      <c r="G461" s="219">
        <f t="shared" si="87"/>
        <v>6.37</v>
      </c>
      <c r="H461" s="220">
        <f t="shared" si="88"/>
        <v>7.37</v>
      </c>
      <c r="I461" s="257" t="str">
        <f t="shared" si="89"/>
        <v>6-7 years</v>
      </c>
      <c r="J461" s="211">
        <f t="shared" si="90"/>
        <v>0.83835616438356164</v>
      </c>
      <c r="K461" s="258">
        <f>$D461*J461*_xlfn.XLOOKUP($I461,'Sample Size cal and results'!$B$24:$B$25,'Sample Size cal and results'!$H$24:$H$25)</f>
        <v>86.60885849801879</v>
      </c>
      <c r="L461" s="211">
        <f t="shared" si="91"/>
        <v>0.16164383561643836</v>
      </c>
      <c r="M461" s="211">
        <f>$D461*L461*_xlfn.XLOOKUP($I461,'Sample Size cal and results'!$B$24:$B$25,'Sample Size cal and results'!$I$24:$I$25)</f>
        <v>17.133441353519018</v>
      </c>
      <c r="N461" s="214">
        <f t="shared" si="92"/>
        <v>103.74229985153781</v>
      </c>
      <c r="O461" s="225" t="str">
        <f t="shared" si="93"/>
        <v>7-8 years</v>
      </c>
      <c r="P461" s="226">
        <f t="shared" si="94"/>
        <v>0.62739726027397258</v>
      </c>
      <c r="Q461" s="227">
        <f>$D461*P461*_xlfn.XLOOKUP($O461,'Sample Size cal and results'!$B$26:$B$27,'Sample Size cal and results'!$I$26:$I$27)</f>
        <v>51.365770160595275</v>
      </c>
      <c r="R461" s="330"/>
    </row>
    <row r="462" spans="1:18" ht="12.75">
      <c r="A462" s="99" t="s">
        <v>146</v>
      </c>
      <c r="B462" s="100">
        <v>41928</v>
      </c>
      <c r="C462" s="100">
        <f t="shared" si="84"/>
        <v>44484</v>
      </c>
      <c r="D462" s="209">
        <v>94</v>
      </c>
      <c r="E462" s="217">
        <f t="shared" si="85"/>
        <v>5.37</v>
      </c>
      <c r="F462" s="218">
        <f t="shared" si="86"/>
        <v>6.37</v>
      </c>
      <c r="G462" s="219">
        <f t="shared" si="87"/>
        <v>6.37</v>
      </c>
      <c r="H462" s="220">
        <f t="shared" si="88"/>
        <v>7.37</v>
      </c>
      <c r="I462" s="257" t="str">
        <f t="shared" si="89"/>
        <v>6-7 years</v>
      </c>
      <c r="J462" s="211">
        <f t="shared" si="90"/>
        <v>0.83835616438356164</v>
      </c>
      <c r="K462" s="258">
        <f>$D462*J462*_xlfn.XLOOKUP($I462,'Sample Size cal and results'!$B$24:$B$25,'Sample Size cal and results'!$H$24:$H$25)</f>
        <v>64.612957927093376</v>
      </c>
      <c r="L462" s="211">
        <f t="shared" si="91"/>
        <v>0.16164383561643836</v>
      </c>
      <c r="M462" s="211">
        <f>$D462*L462*_xlfn.XLOOKUP($I462,'Sample Size cal and results'!$B$24:$B$25,'Sample Size cal and results'!$I$24:$I$25)</f>
        <v>12.782091168498317</v>
      </c>
      <c r="N462" s="214">
        <f t="shared" si="92"/>
        <v>77.395049095591688</v>
      </c>
      <c r="O462" s="225" t="str">
        <f t="shared" si="93"/>
        <v>7-8 years</v>
      </c>
      <c r="P462" s="226">
        <f t="shared" si="94"/>
        <v>0.62739726027397258</v>
      </c>
      <c r="Q462" s="227">
        <f>$D462*P462*_xlfn.XLOOKUP($O462,'Sample Size cal and results'!$B$26:$B$27,'Sample Size cal and results'!$I$26:$I$27)</f>
        <v>38.320495199174253</v>
      </c>
      <c r="R462" s="330"/>
    </row>
    <row r="463" spans="1:18" ht="12.75">
      <c r="A463" s="99" t="s">
        <v>146</v>
      </c>
      <c r="B463" s="100">
        <v>41927</v>
      </c>
      <c r="C463" s="100">
        <f t="shared" si="84"/>
        <v>44483</v>
      </c>
      <c r="D463" s="209">
        <v>2529</v>
      </c>
      <c r="E463" s="217">
        <f t="shared" si="85"/>
        <v>5.37</v>
      </c>
      <c r="F463" s="218">
        <f t="shared" si="86"/>
        <v>6.37</v>
      </c>
      <c r="G463" s="219">
        <f t="shared" si="87"/>
        <v>6.37</v>
      </c>
      <c r="H463" s="220">
        <f t="shared" si="88"/>
        <v>7.37</v>
      </c>
      <c r="I463" s="257" t="str">
        <f t="shared" si="89"/>
        <v>6-7 years</v>
      </c>
      <c r="J463" s="211">
        <f t="shared" si="90"/>
        <v>0.83835616438356164</v>
      </c>
      <c r="K463" s="258">
        <f>$D463*J463*_xlfn.XLOOKUP($I463,'Sample Size cal and results'!$B$24:$B$25,'Sample Size cal and results'!$H$24:$H$25)</f>
        <v>1738.3635169959484</v>
      </c>
      <c r="L463" s="211">
        <f t="shared" si="91"/>
        <v>0.16164383561643836</v>
      </c>
      <c r="M463" s="211">
        <f>$D463*L463*_xlfn.XLOOKUP($I463,'Sample Size cal and results'!$B$24:$B$25,'Sample Size cal and results'!$I$24:$I$25)</f>
        <v>343.89264430991744</v>
      </c>
      <c r="N463" s="214">
        <f t="shared" si="92"/>
        <v>2082.256161305866</v>
      </c>
      <c r="O463" s="225" t="str">
        <f t="shared" si="93"/>
        <v>7-8 years</v>
      </c>
      <c r="P463" s="226">
        <f t="shared" si="94"/>
        <v>0.62465753424657533</v>
      </c>
      <c r="Q463" s="227">
        <f>$D463*P463*_xlfn.XLOOKUP($O463,'Sample Size cal and results'!$B$26:$B$27,'Sample Size cal and results'!$I$26:$I$27)</f>
        <v>1026.4822715686269</v>
      </c>
      <c r="R463" s="330"/>
    </row>
    <row r="464" spans="1:18" ht="12.75">
      <c r="A464" s="99" t="s">
        <v>147</v>
      </c>
      <c r="B464" s="100">
        <v>41927</v>
      </c>
      <c r="C464" s="100">
        <f t="shared" si="84"/>
        <v>44483</v>
      </c>
      <c r="D464" s="209">
        <v>1101</v>
      </c>
      <c r="E464" s="217">
        <f t="shared" si="85"/>
        <v>5.37</v>
      </c>
      <c r="F464" s="218">
        <f t="shared" si="86"/>
        <v>6.37</v>
      </c>
      <c r="G464" s="219">
        <f t="shared" si="87"/>
        <v>6.37</v>
      </c>
      <c r="H464" s="220">
        <f t="shared" si="88"/>
        <v>7.37</v>
      </c>
      <c r="I464" s="257" t="str">
        <f t="shared" si="89"/>
        <v>6-7 years</v>
      </c>
      <c r="J464" s="211">
        <f t="shared" si="90"/>
        <v>0.83835616438356164</v>
      </c>
      <c r="K464" s="258">
        <f>$D464*J464*_xlfn.XLOOKUP($I464,'Sample Size cal and results'!$B$24:$B$25,'Sample Size cal and results'!$H$24:$H$25)</f>
        <v>756.7964540184023</v>
      </c>
      <c r="L464" s="211">
        <f t="shared" si="91"/>
        <v>0.16164383561643836</v>
      </c>
      <c r="M464" s="211">
        <f>$D464*L464*_xlfn.XLOOKUP($I464,'Sample Size cal and results'!$B$24:$B$25,'Sample Size cal and results'!$I$24:$I$25)</f>
        <v>149.71364230336857</v>
      </c>
      <c r="N464" s="214">
        <f t="shared" si="92"/>
        <v>906.5100963217709</v>
      </c>
      <c r="O464" s="225" t="str">
        <f t="shared" si="93"/>
        <v>7-8 years</v>
      </c>
      <c r="P464" s="226">
        <f t="shared" si="94"/>
        <v>0.62465753424657533</v>
      </c>
      <c r="Q464" s="227">
        <f>$D464*P464*_xlfn.XLOOKUP($O464,'Sample Size cal and results'!$B$26:$B$27,'Sample Size cal and results'!$I$26:$I$27)</f>
        <v>446.87899604470476</v>
      </c>
      <c r="R464" s="330"/>
    </row>
    <row r="465" spans="1:18" ht="12.75">
      <c r="A465" s="99" t="s">
        <v>50</v>
      </c>
      <c r="B465" s="100">
        <v>41927</v>
      </c>
      <c r="C465" s="100">
        <f t="shared" si="84"/>
        <v>44483</v>
      </c>
      <c r="D465" s="209">
        <v>360</v>
      </c>
      <c r="E465" s="217">
        <f t="shared" si="85"/>
        <v>5.37</v>
      </c>
      <c r="F465" s="218">
        <f t="shared" si="86"/>
        <v>6.37</v>
      </c>
      <c r="G465" s="219">
        <f t="shared" si="87"/>
        <v>6.37</v>
      </c>
      <c r="H465" s="220">
        <f t="shared" si="88"/>
        <v>7.37</v>
      </c>
      <c r="I465" s="257" t="str">
        <f t="shared" si="89"/>
        <v>6-7 years</v>
      </c>
      <c r="J465" s="211">
        <f t="shared" si="90"/>
        <v>0.83835616438356164</v>
      </c>
      <c r="K465" s="258">
        <f>$D465*J465*_xlfn.XLOOKUP($I465,'Sample Size cal and results'!$B$24:$B$25,'Sample Size cal and results'!$H$24:$H$25)</f>
        <v>247.45388142291083</v>
      </c>
      <c r="L465" s="211">
        <f t="shared" si="91"/>
        <v>0.16164383561643836</v>
      </c>
      <c r="M465" s="211">
        <f>$D465*L465*_xlfn.XLOOKUP($I465,'Sample Size cal and results'!$B$24:$B$25,'Sample Size cal and results'!$I$24:$I$25)</f>
        <v>48.952689581482915</v>
      </c>
      <c r="N465" s="214">
        <f t="shared" si="92"/>
        <v>296.40657100439375</v>
      </c>
      <c r="O465" s="225" t="str">
        <f t="shared" si="93"/>
        <v>7-8 years</v>
      </c>
      <c r="P465" s="226">
        <f t="shared" si="94"/>
        <v>0.62465753424657533</v>
      </c>
      <c r="Q465" s="227">
        <f>$D465*P465*_xlfn.XLOOKUP($O465,'Sample Size cal and results'!$B$26:$B$27,'Sample Size cal and results'!$I$26:$I$27)</f>
        <v>146.11847282115687</v>
      </c>
      <c r="R465" s="330"/>
    </row>
    <row r="466" spans="1:18" ht="12.75">
      <c r="A466" s="99" t="s">
        <v>147</v>
      </c>
      <c r="B466" s="100">
        <v>41926</v>
      </c>
      <c r="C466" s="100">
        <f t="shared" si="84"/>
        <v>44482</v>
      </c>
      <c r="D466" s="209">
        <v>213</v>
      </c>
      <c r="E466" s="217">
        <f t="shared" si="85"/>
        <v>5.37</v>
      </c>
      <c r="F466" s="218">
        <f t="shared" si="86"/>
        <v>6.37</v>
      </c>
      <c r="G466" s="219">
        <f t="shared" si="87"/>
        <v>6.37</v>
      </c>
      <c r="H466" s="220">
        <f t="shared" si="88"/>
        <v>7.37</v>
      </c>
      <c r="I466" s="257" t="str">
        <f t="shared" si="89"/>
        <v>6-7 years</v>
      </c>
      <c r="J466" s="211">
        <f t="shared" si="90"/>
        <v>0.83835616438356164</v>
      </c>
      <c r="K466" s="258">
        <f>$D466*J466*_xlfn.XLOOKUP($I466,'Sample Size cal and results'!$B$24:$B$25,'Sample Size cal and results'!$H$24:$H$25)</f>
        <v>146.41021317522225</v>
      </c>
      <c r="L466" s="211">
        <f t="shared" si="91"/>
        <v>0.16164383561643836</v>
      </c>
      <c r="M466" s="211">
        <f>$D466*L466*_xlfn.XLOOKUP($I466,'Sample Size cal and results'!$B$24:$B$25,'Sample Size cal and results'!$I$24:$I$25)</f>
        <v>28.963674669044057</v>
      </c>
      <c r="N466" s="214">
        <f t="shared" si="92"/>
        <v>175.37388784426631</v>
      </c>
      <c r="O466" s="225" t="str">
        <f t="shared" si="93"/>
        <v>7-8 years</v>
      </c>
      <c r="P466" s="226">
        <f t="shared" si="94"/>
        <v>0.62191780821917808</v>
      </c>
      <c r="Q466" s="227">
        <f>$D466*P466*_xlfn.XLOOKUP($O466,'Sample Size cal and results'!$B$26:$B$27,'Sample Size cal and results'!$I$26:$I$27)</f>
        <v>86.074248043076949</v>
      </c>
      <c r="R466" s="330"/>
    </row>
    <row r="467" spans="1:18" ht="12.75">
      <c r="A467" s="99" t="s">
        <v>50</v>
      </c>
      <c r="B467" s="100">
        <v>41926</v>
      </c>
      <c r="C467" s="100">
        <f t="shared" si="84"/>
        <v>44482</v>
      </c>
      <c r="D467" s="209">
        <v>119</v>
      </c>
      <c r="E467" s="217">
        <f t="shared" si="85"/>
        <v>5.37</v>
      </c>
      <c r="F467" s="218">
        <f t="shared" si="86"/>
        <v>6.37</v>
      </c>
      <c r="G467" s="219">
        <f t="shared" si="87"/>
        <v>6.37</v>
      </c>
      <c r="H467" s="220">
        <f t="shared" si="88"/>
        <v>7.37</v>
      </c>
      <c r="I467" s="257" t="str">
        <f t="shared" si="89"/>
        <v>6-7 years</v>
      </c>
      <c r="J467" s="211">
        <f t="shared" si="90"/>
        <v>0.83835616438356164</v>
      </c>
      <c r="K467" s="258">
        <f>$D467*J467*_xlfn.XLOOKUP($I467,'Sample Size cal and results'!$B$24:$B$25,'Sample Size cal and results'!$H$24:$H$25)</f>
        <v>81.797255248128863</v>
      </c>
      <c r="L467" s="211">
        <f t="shared" si="91"/>
        <v>0.16164383561643836</v>
      </c>
      <c r="M467" s="211">
        <f>$D467*L467*_xlfn.XLOOKUP($I467,'Sample Size cal and results'!$B$24:$B$25,'Sample Size cal and results'!$I$24:$I$25)</f>
        <v>16.181583500545742</v>
      </c>
      <c r="N467" s="214">
        <f t="shared" si="92"/>
        <v>97.978838748674605</v>
      </c>
      <c r="O467" s="225" t="str">
        <f t="shared" si="93"/>
        <v>7-8 years</v>
      </c>
      <c r="P467" s="226">
        <f t="shared" si="94"/>
        <v>0.62191780821917808</v>
      </c>
      <c r="Q467" s="227">
        <f>$D467*P467*_xlfn.XLOOKUP($O467,'Sample Size cal and results'!$B$26:$B$27,'Sample Size cal and results'!$I$26:$I$27)</f>
        <v>48.088429657869277</v>
      </c>
      <c r="R467" s="330"/>
    </row>
    <row r="468" spans="1:18" ht="12.75">
      <c r="A468" s="99" t="s">
        <v>146</v>
      </c>
      <c r="B468" s="100">
        <v>41926</v>
      </c>
      <c r="C468" s="100">
        <f t="shared" si="84"/>
        <v>44482</v>
      </c>
      <c r="D468" s="209">
        <v>50</v>
      </c>
      <c r="E468" s="217">
        <f t="shared" si="85"/>
        <v>5.37</v>
      </c>
      <c r="F468" s="218">
        <f t="shared" si="86"/>
        <v>6.37</v>
      </c>
      <c r="G468" s="219">
        <f t="shared" si="87"/>
        <v>6.37</v>
      </c>
      <c r="H468" s="220">
        <f t="shared" si="88"/>
        <v>7.37</v>
      </c>
      <c r="I468" s="257" t="str">
        <f t="shared" si="89"/>
        <v>6-7 years</v>
      </c>
      <c r="J468" s="211">
        <f t="shared" si="90"/>
        <v>0.83835616438356164</v>
      </c>
      <c r="K468" s="258">
        <f>$D468*J468*_xlfn.XLOOKUP($I468,'Sample Size cal and results'!$B$24:$B$25,'Sample Size cal and results'!$H$24:$H$25)</f>
        <v>34.368594642070946</v>
      </c>
      <c r="L468" s="211">
        <f t="shared" si="91"/>
        <v>0.16164383561643836</v>
      </c>
      <c r="M468" s="211">
        <f>$D468*L468*_xlfn.XLOOKUP($I468,'Sample Size cal and results'!$B$24:$B$25,'Sample Size cal and results'!$I$24:$I$25)</f>
        <v>6.7989846640948484</v>
      </c>
      <c r="N468" s="214">
        <f t="shared" si="92"/>
        <v>41.167579306165791</v>
      </c>
      <c r="O468" s="225" t="str">
        <f t="shared" si="93"/>
        <v>7-8 years</v>
      </c>
      <c r="P468" s="226">
        <f t="shared" si="94"/>
        <v>0.62191780821917808</v>
      </c>
      <c r="Q468" s="227">
        <f>$D468*P468*_xlfn.XLOOKUP($O468,'Sample Size cal and results'!$B$26:$B$27,'Sample Size cal and results'!$I$26:$I$27)</f>
        <v>20.205222545323227</v>
      </c>
      <c r="R468" s="330"/>
    </row>
    <row r="469" spans="1:18" ht="12.75">
      <c r="A469" s="99" t="s">
        <v>147</v>
      </c>
      <c r="B469" s="100">
        <v>41925</v>
      </c>
      <c r="C469" s="100">
        <f t="shared" si="84"/>
        <v>44481</v>
      </c>
      <c r="D469" s="209">
        <v>195</v>
      </c>
      <c r="E469" s="217">
        <f t="shared" si="85"/>
        <v>5.38</v>
      </c>
      <c r="F469" s="218">
        <f t="shared" si="86"/>
        <v>6.37</v>
      </c>
      <c r="G469" s="219">
        <f t="shared" si="87"/>
        <v>6.38</v>
      </c>
      <c r="H469" s="220">
        <f t="shared" si="88"/>
        <v>7.37</v>
      </c>
      <c r="I469" s="257" t="str">
        <f t="shared" si="89"/>
        <v>6-7 years</v>
      </c>
      <c r="J469" s="211">
        <f t="shared" si="90"/>
        <v>0.83835616438356164</v>
      </c>
      <c r="K469" s="258">
        <f>$D469*J469*_xlfn.XLOOKUP($I469,'Sample Size cal and results'!$B$24:$B$25,'Sample Size cal and results'!$H$24:$H$25)</f>
        <v>134.03751910407669</v>
      </c>
      <c r="L469" s="211">
        <f t="shared" si="91"/>
        <v>0.16164383561643836</v>
      </c>
      <c r="M469" s="211">
        <f>$D469*L469*_xlfn.XLOOKUP($I469,'Sample Size cal and results'!$B$24:$B$25,'Sample Size cal and results'!$I$24:$I$25)</f>
        <v>26.51604018996991</v>
      </c>
      <c r="N469" s="214">
        <f t="shared" si="92"/>
        <v>160.55355929404661</v>
      </c>
      <c r="O469" s="225" t="str">
        <f t="shared" si="93"/>
        <v>7-8 years</v>
      </c>
      <c r="P469" s="226">
        <f t="shared" si="94"/>
        <v>0.61917808219178083</v>
      </c>
      <c r="Q469" s="227">
        <f>$D469*P469*_xlfn.XLOOKUP($O469,'Sample Size cal and results'!$B$26:$B$27,'Sample Size cal and results'!$I$26:$I$27)</f>
        <v>78.453229742061197</v>
      </c>
      <c r="R469" s="330"/>
    </row>
    <row r="470" spans="1:18" ht="12.75">
      <c r="A470" s="99" t="s">
        <v>50</v>
      </c>
      <c r="B470" s="100">
        <v>41925</v>
      </c>
      <c r="C470" s="100">
        <f t="shared" si="84"/>
        <v>44481</v>
      </c>
      <c r="D470" s="209">
        <v>112</v>
      </c>
      <c r="E470" s="217">
        <f t="shared" si="85"/>
        <v>5.38</v>
      </c>
      <c r="F470" s="218">
        <f t="shared" si="86"/>
        <v>6.37</v>
      </c>
      <c r="G470" s="219">
        <f t="shared" si="87"/>
        <v>6.38</v>
      </c>
      <c r="H470" s="220">
        <f t="shared" si="88"/>
        <v>7.37</v>
      </c>
      <c r="I470" s="257" t="str">
        <f t="shared" si="89"/>
        <v>6-7 years</v>
      </c>
      <c r="J470" s="211">
        <f t="shared" si="90"/>
        <v>0.83835616438356164</v>
      </c>
      <c r="K470" s="258">
        <f>$D470*J470*_xlfn.XLOOKUP($I470,'Sample Size cal and results'!$B$24:$B$25,'Sample Size cal and results'!$H$24:$H$25)</f>
        <v>76.985651998238922</v>
      </c>
      <c r="L470" s="211">
        <f t="shared" si="91"/>
        <v>0.16164383561643836</v>
      </c>
      <c r="M470" s="211">
        <f>$D470*L470*_xlfn.XLOOKUP($I470,'Sample Size cal and results'!$B$24:$B$25,'Sample Size cal and results'!$I$24:$I$25)</f>
        <v>15.22972564757246</v>
      </c>
      <c r="N470" s="214">
        <f t="shared" si="92"/>
        <v>92.215377645811387</v>
      </c>
      <c r="O470" s="225" t="str">
        <f t="shared" si="93"/>
        <v>7-8 years</v>
      </c>
      <c r="P470" s="226">
        <f t="shared" si="94"/>
        <v>0.61917808219178083</v>
      </c>
      <c r="Q470" s="227">
        <f>$D470*P470*_xlfn.XLOOKUP($O470,'Sample Size cal and results'!$B$26:$B$27,'Sample Size cal and results'!$I$26:$I$27)</f>
        <v>45.060316569799248</v>
      </c>
      <c r="R470" s="330"/>
    </row>
    <row r="471" spans="1:18" ht="12.75">
      <c r="A471" s="99" t="s">
        <v>146</v>
      </c>
      <c r="B471" s="100">
        <v>41925</v>
      </c>
      <c r="C471" s="100">
        <f t="shared" si="84"/>
        <v>44481</v>
      </c>
      <c r="D471" s="209">
        <v>48</v>
      </c>
      <c r="E471" s="217">
        <f t="shared" si="85"/>
        <v>5.38</v>
      </c>
      <c r="F471" s="218">
        <f t="shared" si="86"/>
        <v>6.37</v>
      </c>
      <c r="G471" s="219">
        <f t="shared" si="87"/>
        <v>6.38</v>
      </c>
      <c r="H471" s="220">
        <f t="shared" si="88"/>
        <v>7.37</v>
      </c>
      <c r="I471" s="257" t="str">
        <f t="shared" si="89"/>
        <v>6-7 years</v>
      </c>
      <c r="J471" s="211">
        <f t="shared" si="90"/>
        <v>0.83835616438356164</v>
      </c>
      <c r="K471" s="258">
        <f>$D471*J471*_xlfn.XLOOKUP($I471,'Sample Size cal and results'!$B$24:$B$25,'Sample Size cal and results'!$H$24:$H$25)</f>
        <v>32.993850856388107</v>
      </c>
      <c r="L471" s="211">
        <f t="shared" si="91"/>
        <v>0.16164383561643836</v>
      </c>
      <c r="M471" s="211">
        <f>$D471*L471*_xlfn.XLOOKUP($I471,'Sample Size cal and results'!$B$24:$B$25,'Sample Size cal and results'!$I$24:$I$25)</f>
        <v>6.5270252775310551</v>
      </c>
      <c r="N471" s="214">
        <f t="shared" si="92"/>
        <v>39.52087613391916</v>
      </c>
      <c r="O471" s="225" t="str">
        <f t="shared" si="93"/>
        <v>7-8 years</v>
      </c>
      <c r="P471" s="226">
        <f t="shared" si="94"/>
        <v>0.61917808219178083</v>
      </c>
      <c r="Q471" s="227">
        <f>$D471*P471*_xlfn.XLOOKUP($O471,'Sample Size cal and results'!$B$26:$B$27,'Sample Size cal and results'!$I$26:$I$27)</f>
        <v>19.31156424419968</v>
      </c>
      <c r="R471" s="330"/>
    </row>
    <row r="472" spans="1:18" ht="12.75">
      <c r="A472" s="99" t="s">
        <v>147</v>
      </c>
      <c r="B472" s="100">
        <v>41924</v>
      </c>
      <c r="C472" s="100">
        <f t="shared" si="84"/>
        <v>44480</v>
      </c>
      <c r="D472" s="209">
        <v>198</v>
      </c>
      <c r="E472" s="217">
        <f t="shared" si="85"/>
        <v>5.38</v>
      </c>
      <c r="F472" s="218">
        <f t="shared" si="86"/>
        <v>6.38</v>
      </c>
      <c r="G472" s="219">
        <f t="shared" si="87"/>
        <v>6.38</v>
      </c>
      <c r="H472" s="220">
        <f t="shared" si="88"/>
        <v>7.38</v>
      </c>
      <c r="I472" s="257" t="str">
        <f t="shared" si="89"/>
        <v>6-7 years</v>
      </c>
      <c r="J472" s="211">
        <f t="shared" si="90"/>
        <v>0.83835616438356164</v>
      </c>
      <c r="K472" s="258">
        <f>$D472*J472*_xlfn.XLOOKUP($I472,'Sample Size cal and results'!$B$24:$B$25,'Sample Size cal and results'!$H$24:$H$25)</f>
        <v>136.09963478260096</v>
      </c>
      <c r="L472" s="211">
        <f t="shared" si="91"/>
        <v>0.16164383561643836</v>
      </c>
      <c r="M472" s="211">
        <f>$D472*L472*_xlfn.XLOOKUP($I472,'Sample Size cal and results'!$B$24:$B$25,'Sample Size cal and results'!$I$24:$I$25)</f>
        <v>26.9239792698156</v>
      </c>
      <c r="N472" s="214">
        <f t="shared" si="92"/>
        <v>163.02361405241655</v>
      </c>
      <c r="O472" s="225" t="str">
        <f t="shared" si="93"/>
        <v>7-8 years</v>
      </c>
      <c r="P472" s="226">
        <f t="shared" si="94"/>
        <v>0.61643835616438358</v>
      </c>
      <c r="Q472" s="227">
        <f>$D472*P472*_xlfn.XLOOKUP($O472,'Sample Size cal and results'!$B$26:$B$27,'Sample Size cal and results'!$I$26:$I$27)</f>
        <v>79.307723735167372</v>
      </c>
      <c r="R472" s="330"/>
    </row>
    <row r="473" spans="1:18" ht="12.75">
      <c r="A473" s="99" t="s">
        <v>50</v>
      </c>
      <c r="B473" s="100">
        <v>41924</v>
      </c>
      <c r="C473" s="100">
        <f t="shared" si="84"/>
        <v>44480</v>
      </c>
      <c r="D473" s="209">
        <v>141</v>
      </c>
      <c r="E473" s="217">
        <f t="shared" si="85"/>
        <v>5.38</v>
      </c>
      <c r="F473" s="218">
        <f t="shared" si="86"/>
        <v>6.38</v>
      </c>
      <c r="G473" s="219">
        <f t="shared" si="87"/>
        <v>6.38</v>
      </c>
      <c r="H473" s="220">
        <f t="shared" si="88"/>
        <v>7.38</v>
      </c>
      <c r="I473" s="257" t="str">
        <f t="shared" si="89"/>
        <v>6-7 years</v>
      </c>
      <c r="J473" s="211">
        <f t="shared" si="90"/>
        <v>0.83835616438356164</v>
      </c>
      <c r="K473" s="258">
        <f>$D473*J473*_xlfn.XLOOKUP($I473,'Sample Size cal and results'!$B$24:$B$25,'Sample Size cal and results'!$H$24:$H$25)</f>
        <v>96.919436890640071</v>
      </c>
      <c r="L473" s="211">
        <f t="shared" si="91"/>
        <v>0.16164383561643836</v>
      </c>
      <c r="M473" s="211">
        <f>$D473*L473*_xlfn.XLOOKUP($I473,'Sample Size cal and results'!$B$24:$B$25,'Sample Size cal and results'!$I$24:$I$25)</f>
        <v>19.173136752747475</v>
      </c>
      <c r="N473" s="214">
        <f t="shared" si="92"/>
        <v>116.09257364338754</v>
      </c>
      <c r="O473" s="225" t="str">
        <f t="shared" si="93"/>
        <v>7-8 years</v>
      </c>
      <c r="P473" s="226">
        <f t="shared" si="94"/>
        <v>0.61643835616438358</v>
      </c>
      <c r="Q473" s="227">
        <f>$D473*P473*_xlfn.XLOOKUP($O473,'Sample Size cal and results'!$B$26:$B$27,'Sample Size cal and results'!$I$26:$I$27)</f>
        <v>56.476712356861619</v>
      </c>
      <c r="R473" s="330"/>
    </row>
    <row r="474" spans="1:18" ht="12.75">
      <c r="A474" s="99" t="s">
        <v>146</v>
      </c>
      <c r="B474" s="100">
        <v>41924</v>
      </c>
      <c r="C474" s="100">
        <f t="shared" si="84"/>
        <v>44480</v>
      </c>
      <c r="D474" s="209">
        <v>53</v>
      </c>
      <c r="E474" s="217">
        <f t="shared" si="85"/>
        <v>5.38</v>
      </c>
      <c r="F474" s="218">
        <f t="shared" si="86"/>
        <v>6.38</v>
      </c>
      <c r="G474" s="219">
        <f t="shared" si="87"/>
        <v>6.38</v>
      </c>
      <c r="H474" s="220">
        <f t="shared" si="88"/>
        <v>7.38</v>
      </c>
      <c r="I474" s="257" t="str">
        <f t="shared" si="89"/>
        <v>6-7 years</v>
      </c>
      <c r="J474" s="211">
        <f t="shared" si="90"/>
        <v>0.83835616438356164</v>
      </c>
      <c r="K474" s="258">
        <f>$D474*J474*_xlfn.XLOOKUP($I474,'Sample Size cal and results'!$B$24:$B$25,'Sample Size cal and results'!$H$24:$H$25)</f>
        <v>36.430710320595203</v>
      </c>
      <c r="L474" s="211">
        <f t="shared" si="91"/>
        <v>0.16164383561643836</v>
      </c>
      <c r="M474" s="211">
        <f>$D474*L474*_xlfn.XLOOKUP($I474,'Sample Size cal and results'!$B$24:$B$25,'Sample Size cal and results'!$I$24:$I$25)</f>
        <v>7.20692374394054</v>
      </c>
      <c r="N474" s="214">
        <f t="shared" si="92"/>
        <v>43.637634064535746</v>
      </c>
      <c r="O474" s="225" t="str">
        <f t="shared" si="93"/>
        <v>7-8 years</v>
      </c>
      <c r="P474" s="226">
        <f t="shared" si="94"/>
        <v>0.61643835616438358</v>
      </c>
      <c r="Q474" s="227">
        <f>$D474*P474*_xlfn.XLOOKUP($O474,'Sample Size cal and results'!$B$26:$B$27,'Sample Size cal and results'!$I$26:$I$27)</f>
        <v>21.228835141231674</v>
      </c>
      <c r="R474" s="330"/>
    </row>
    <row r="475" spans="1:18" ht="12.75">
      <c r="A475" s="99" t="s">
        <v>50</v>
      </c>
      <c r="B475" s="100">
        <v>41923</v>
      </c>
      <c r="C475" s="100">
        <f t="shared" si="84"/>
        <v>44479</v>
      </c>
      <c r="D475" s="209">
        <v>910</v>
      </c>
      <c r="E475" s="217">
        <f t="shared" si="85"/>
        <v>5.38</v>
      </c>
      <c r="F475" s="218">
        <f t="shared" si="86"/>
        <v>6.38</v>
      </c>
      <c r="G475" s="219">
        <f t="shared" si="87"/>
        <v>6.38</v>
      </c>
      <c r="H475" s="220">
        <f t="shared" si="88"/>
        <v>7.38</v>
      </c>
      <c r="I475" s="257" t="str">
        <f t="shared" si="89"/>
        <v>6-7 years</v>
      </c>
      <c r="J475" s="211">
        <f t="shared" si="90"/>
        <v>0.83835616438356164</v>
      </c>
      <c r="K475" s="258">
        <f>$D475*J475*_xlfn.XLOOKUP($I475,'Sample Size cal and results'!$B$24:$B$25,'Sample Size cal and results'!$H$24:$H$25)</f>
        <v>625.50842248569131</v>
      </c>
      <c r="L475" s="211">
        <f t="shared" si="91"/>
        <v>0.16164383561643836</v>
      </c>
      <c r="M475" s="211">
        <f>$D475*L475*_xlfn.XLOOKUP($I475,'Sample Size cal and results'!$B$24:$B$25,'Sample Size cal and results'!$I$24:$I$25)</f>
        <v>123.74152088652625</v>
      </c>
      <c r="N475" s="214">
        <f t="shared" si="92"/>
        <v>749.24994337221756</v>
      </c>
      <c r="O475" s="225" t="str">
        <f t="shared" si="93"/>
        <v>7-8 years</v>
      </c>
      <c r="P475" s="226">
        <f t="shared" si="94"/>
        <v>0.61369863013698633</v>
      </c>
      <c r="Q475" s="227">
        <f>$D475*P475*_xlfn.XLOOKUP($O475,'Sample Size cal and results'!$B$26:$B$27,'Sample Size cal and results'!$I$26:$I$27)</f>
        <v>362.87511573909137</v>
      </c>
      <c r="R475" s="330"/>
    </row>
    <row r="476" spans="1:18" ht="12.75">
      <c r="A476" s="99" t="s">
        <v>147</v>
      </c>
      <c r="B476" s="100">
        <v>41923</v>
      </c>
      <c r="C476" s="100">
        <f t="shared" si="84"/>
        <v>44479</v>
      </c>
      <c r="D476" s="209">
        <v>190</v>
      </c>
      <c r="E476" s="217">
        <f t="shared" si="85"/>
        <v>5.38</v>
      </c>
      <c r="F476" s="218">
        <f t="shared" si="86"/>
        <v>6.38</v>
      </c>
      <c r="G476" s="219">
        <f t="shared" si="87"/>
        <v>6.38</v>
      </c>
      <c r="H476" s="220">
        <f t="shared" si="88"/>
        <v>7.38</v>
      </c>
      <c r="I476" s="257" t="str">
        <f t="shared" si="89"/>
        <v>6-7 years</v>
      </c>
      <c r="J476" s="211">
        <f t="shared" si="90"/>
        <v>0.83835616438356164</v>
      </c>
      <c r="K476" s="258">
        <f>$D476*J476*_xlfn.XLOOKUP($I476,'Sample Size cal and results'!$B$24:$B$25,'Sample Size cal and results'!$H$24:$H$25)</f>
        <v>130.6006596398696</v>
      </c>
      <c r="L476" s="211">
        <f t="shared" si="91"/>
        <v>0.16164383561643836</v>
      </c>
      <c r="M476" s="211">
        <f>$D476*L476*_xlfn.XLOOKUP($I476,'Sample Size cal and results'!$B$24:$B$25,'Sample Size cal and results'!$I$24:$I$25)</f>
        <v>25.836141723560427</v>
      </c>
      <c r="N476" s="214">
        <f t="shared" si="92"/>
        <v>156.43680136343002</v>
      </c>
      <c r="O476" s="225" t="str">
        <f t="shared" si="93"/>
        <v>7-8 years</v>
      </c>
      <c r="P476" s="226">
        <f t="shared" si="94"/>
        <v>0.61369863013698633</v>
      </c>
      <c r="Q476" s="227">
        <f>$D476*P476*_xlfn.XLOOKUP($O476,'Sample Size cal and results'!$B$26:$B$27,'Sample Size cal and results'!$I$26:$I$27)</f>
        <v>75.765134055414677</v>
      </c>
      <c r="R476" s="330"/>
    </row>
    <row r="477" spans="1:18" ht="12.75">
      <c r="A477" s="99" t="s">
        <v>146</v>
      </c>
      <c r="B477" s="100">
        <v>41923</v>
      </c>
      <c r="C477" s="100">
        <f t="shared" si="84"/>
        <v>44479</v>
      </c>
      <c r="D477" s="209">
        <v>43</v>
      </c>
      <c r="E477" s="217">
        <f t="shared" si="85"/>
        <v>5.38</v>
      </c>
      <c r="F477" s="218">
        <f t="shared" si="86"/>
        <v>6.38</v>
      </c>
      <c r="G477" s="219">
        <f t="shared" si="87"/>
        <v>6.38</v>
      </c>
      <c r="H477" s="220">
        <f t="shared" si="88"/>
        <v>7.38</v>
      </c>
      <c r="I477" s="257" t="str">
        <f t="shared" si="89"/>
        <v>6-7 years</v>
      </c>
      <c r="J477" s="211">
        <f t="shared" si="90"/>
        <v>0.83835616438356164</v>
      </c>
      <c r="K477" s="258">
        <f>$D477*J477*_xlfn.XLOOKUP($I477,'Sample Size cal and results'!$B$24:$B$25,'Sample Size cal and results'!$H$24:$H$25)</f>
        <v>29.556991392181015</v>
      </c>
      <c r="L477" s="211">
        <f t="shared" si="91"/>
        <v>0.16164383561643836</v>
      </c>
      <c r="M477" s="211">
        <f>$D477*L477*_xlfn.XLOOKUP($I477,'Sample Size cal and results'!$B$24:$B$25,'Sample Size cal and results'!$I$24:$I$25)</f>
        <v>5.8471268111215702</v>
      </c>
      <c r="N477" s="214">
        <f t="shared" si="92"/>
        <v>35.404118203302588</v>
      </c>
      <c r="O477" s="225" t="str">
        <f t="shared" si="93"/>
        <v>7-8 years</v>
      </c>
      <c r="P477" s="226">
        <f t="shared" si="94"/>
        <v>0.61369863013698633</v>
      </c>
      <c r="Q477" s="227">
        <f>$D477*P477*_xlfn.XLOOKUP($O477,'Sample Size cal and results'!$B$26:$B$27,'Sample Size cal and results'!$I$26:$I$27)</f>
        <v>17.14684612833069</v>
      </c>
      <c r="R477" s="330"/>
    </row>
    <row r="478" spans="1:18" ht="12.75">
      <c r="A478" s="99" t="s">
        <v>147</v>
      </c>
      <c r="B478" s="100">
        <v>41922</v>
      </c>
      <c r="C478" s="100">
        <f t="shared" si="84"/>
        <v>44478</v>
      </c>
      <c r="D478" s="209">
        <v>227</v>
      </c>
      <c r="E478" s="217">
        <f t="shared" si="85"/>
        <v>5.39</v>
      </c>
      <c r="F478" s="218">
        <f t="shared" si="86"/>
        <v>6.38</v>
      </c>
      <c r="G478" s="219">
        <f t="shared" si="87"/>
        <v>6.39</v>
      </c>
      <c r="H478" s="220">
        <f t="shared" si="88"/>
        <v>7.38</v>
      </c>
      <c r="I478" s="257" t="str">
        <f t="shared" si="89"/>
        <v>6-7 years</v>
      </c>
      <c r="J478" s="211">
        <f t="shared" si="90"/>
        <v>0.83835616438356164</v>
      </c>
      <c r="K478" s="258">
        <f>$D478*J478*_xlfn.XLOOKUP($I478,'Sample Size cal and results'!$B$24:$B$25,'Sample Size cal and results'!$H$24:$H$25)</f>
        <v>156.03341967500211</v>
      </c>
      <c r="L478" s="211">
        <f t="shared" si="91"/>
        <v>0.16164383561643836</v>
      </c>
      <c r="M478" s="211">
        <f>$D478*L478*_xlfn.XLOOKUP($I478,'Sample Size cal and results'!$B$24:$B$25,'Sample Size cal and results'!$I$24:$I$25)</f>
        <v>30.867390374990617</v>
      </c>
      <c r="N478" s="214">
        <f t="shared" si="92"/>
        <v>186.90081004999271</v>
      </c>
      <c r="O478" s="225" t="str">
        <f t="shared" si="93"/>
        <v>7-8 years</v>
      </c>
      <c r="P478" s="226">
        <f t="shared" si="94"/>
        <v>0.61095890410958908</v>
      </c>
      <c r="Q478" s="227">
        <f>$D478*P478*_xlfn.XLOOKUP($O478,'Sample Size cal and results'!$B$26:$B$27,'Sample Size cal and results'!$I$26:$I$27)</f>
        <v>90.115292552141582</v>
      </c>
      <c r="R478" s="330"/>
    </row>
    <row r="479" spans="1:18" ht="12.75">
      <c r="A479" s="99" t="s">
        <v>50</v>
      </c>
      <c r="B479" s="100">
        <v>41922</v>
      </c>
      <c r="C479" s="100">
        <f t="shared" si="84"/>
        <v>44478</v>
      </c>
      <c r="D479" s="209">
        <v>121</v>
      </c>
      <c r="E479" s="217">
        <f t="shared" si="85"/>
        <v>5.39</v>
      </c>
      <c r="F479" s="218">
        <f t="shared" si="86"/>
        <v>6.38</v>
      </c>
      <c r="G479" s="219">
        <f t="shared" si="87"/>
        <v>6.39</v>
      </c>
      <c r="H479" s="220">
        <f t="shared" si="88"/>
        <v>7.38</v>
      </c>
      <c r="I479" s="257" t="str">
        <f t="shared" si="89"/>
        <v>6-7 years</v>
      </c>
      <c r="J479" s="211">
        <f t="shared" si="90"/>
        <v>0.83835616438356164</v>
      </c>
      <c r="K479" s="258">
        <f>$D479*J479*_xlfn.XLOOKUP($I479,'Sample Size cal and results'!$B$24:$B$25,'Sample Size cal and results'!$H$24:$H$25)</f>
        <v>83.171999033811701</v>
      </c>
      <c r="L479" s="211">
        <f t="shared" si="91"/>
        <v>0.16164383561643836</v>
      </c>
      <c r="M479" s="211">
        <f>$D479*L479*_xlfn.XLOOKUP($I479,'Sample Size cal and results'!$B$24:$B$25,'Sample Size cal and results'!$I$24:$I$25)</f>
        <v>16.453542887109535</v>
      </c>
      <c r="N479" s="214">
        <f t="shared" si="92"/>
        <v>99.625541920921236</v>
      </c>
      <c r="O479" s="225" t="str">
        <f t="shared" si="93"/>
        <v>7-8 years</v>
      </c>
      <c r="P479" s="226">
        <f t="shared" si="94"/>
        <v>0.61095890410958908</v>
      </c>
      <c r="Q479" s="227">
        <f>$D479*P479*_xlfn.XLOOKUP($O479,'Sample Size cal and results'!$B$26:$B$27,'Sample Size cal and results'!$I$26:$I$27)</f>
        <v>48.035023783300147</v>
      </c>
      <c r="R479" s="330"/>
    </row>
    <row r="480" spans="1:18" ht="12.75">
      <c r="A480" s="99" t="s">
        <v>146</v>
      </c>
      <c r="B480" s="100">
        <v>41922</v>
      </c>
      <c r="C480" s="100">
        <f t="shared" si="84"/>
        <v>44478</v>
      </c>
      <c r="D480" s="209">
        <v>48</v>
      </c>
      <c r="E480" s="217">
        <f t="shared" si="85"/>
        <v>5.39</v>
      </c>
      <c r="F480" s="218">
        <f t="shared" si="86"/>
        <v>6.38</v>
      </c>
      <c r="G480" s="219">
        <f t="shared" si="87"/>
        <v>6.39</v>
      </c>
      <c r="H480" s="220">
        <f t="shared" si="88"/>
        <v>7.38</v>
      </c>
      <c r="I480" s="257" t="str">
        <f t="shared" si="89"/>
        <v>6-7 years</v>
      </c>
      <c r="J480" s="211">
        <f t="shared" si="90"/>
        <v>0.83835616438356164</v>
      </c>
      <c r="K480" s="258">
        <f>$D480*J480*_xlfn.XLOOKUP($I480,'Sample Size cal and results'!$B$24:$B$25,'Sample Size cal and results'!$H$24:$H$25)</f>
        <v>32.993850856388107</v>
      </c>
      <c r="L480" s="211">
        <f t="shared" si="91"/>
        <v>0.16164383561643836</v>
      </c>
      <c r="M480" s="211">
        <f>$D480*L480*_xlfn.XLOOKUP($I480,'Sample Size cal and results'!$B$24:$B$25,'Sample Size cal and results'!$I$24:$I$25)</f>
        <v>6.5270252775310551</v>
      </c>
      <c r="N480" s="214">
        <f t="shared" si="92"/>
        <v>39.52087613391916</v>
      </c>
      <c r="O480" s="225" t="str">
        <f t="shared" si="93"/>
        <v>7-8 years</v>
      </c>
      <c r="P480" s="226">
        <f t="shared" si="94"/>
        <v>0.61095890410958908</v>
      </c>
      <c r="Q480" s="227">
        <f>$D480*P480*_xlfn.XLOOKUP($O480,'Sample Size cal and results'!$B$26:$B$27,'Sample Size cal and results'!$I$26:$I$27)</f>
        <v>19.055216046267827</v>
      </c>
      <c r="R480" s="330"/>
    </row>
    <row r="481" spans="1:18" ht="12.75">
      <c r="A481" s="99" t="s">
        <v>147</v>
      </c>
      <c r="B481" s="100">
        <v>41921</v>
      </c>
      <c r="C481" s="100">
        <f t="shared" si="84"/>
        <v>44477</v>
      </c>
      <c r="D481" s="209">
        <v>141</v>
      </c>
      <c r="E481" s="217">
        <f t="shared" si="85"/>
        <v>5.39</v>
      </c>
      <c r="F481" s="218">
        <f t="shared" si="86"/>
        <v>6.39</v>
      </c>
      <c r="G481" s="219">
        <f t="shared" si="87"/>
        <v>6.39</v>
      </c>
      <c r="H481" s="220">
        <f t="shared" si="88"/>
        <v>7.39</v>
      </c>
      <c r="I481" s="257" t="str">
        <f t="shared" si="89"/>
        <v>6-7 years</v>
      </c>
      <c r="J481" s="211">
        <f t="shared" si="90"/>
        <v>0.83835616438356164</v>
      </c>
      <c r="K481" s="258">
        <f>$D481*J481*_xlfn.XLOOKUP($I481,'Sample Size cal and results'!$B$24:$B$25,'Sample Size cal and results'!$H$24:$H$25)</f>
        <v>96.919436890640071</v>
      </c>
      <c r="L481" s="211">
        <f t="shared" si="91"/>
        <v>0.16164383561643836</v>
      </c>
      <c r="M481" s="211">
        <f>$D481*L481*_xlfn.XLOOKUP($I481,'Sample Size cal and results'!$B$24:$B$25,'Sample Size cal and results'!$I$24:$I$25)</f>
        <v>19.173136752747475</v>
      </c>
      <c r="N481" s="214">
        <f t="shared" si="92"/>
        <v>116.09257364338754</v>
      </c>
      <c r="O481" s="225" t="str">
        <f t="shared" si="93"/>
        <v>7-8 years</v>
      </c>
      <c r="P481" s="226">
        <f t="shared" si="94"/>
        <v>0.60821917808219184</v>
      </c>
      <c r="Q481" s="227">
        <f>$D481*P481*_xlfn.XLOOKUP($O481,'Sample Size cal and results'!$B$26:$B$27,'Sample Size cal and results'!$I$26:$I$27)</f>
        <v>55.723689525436804</v>
      </c>
      <c r="R481" s="330"/>
    </row>
    <row r="482" spans="1:18" ht="12.75">
      <c r="A482" s="99" t="s">
        <v>50</v>
      </c>
      <c r="B482" s="100">
        <v>41921</v>
      </c>
      <c r="C482" s="100">
        <f t="shared" si="84"/>
        <v>44477</v>
      </c>
      <c r="D482" s="209">
        <v>125</v>
      </c>
      <c r="E482" s="217">
        <f t="shared" si="85"/>
        <v>5.39</v>
      </c>
      <c r="F482" s="218">
        <f t="shared" si="86"/>
        <v>6.39</v>
      </c>
      <c r="G482" s="219">
        <f t="shared" si="87"/>
        <v>6.39</v>
      </c>
      <c r="H482" s="220">
        <f t="shared" si="88"/>
        <v>7.39</v>
      </c>
      <c r="I482" s="257" t="str">
        <f t="shared" si="89"/>
        <v>6-7 years</v>
      </c>
      <c r="J482" s="211">
        <f t="shared" si="90"/>
        <v>0.83835616438356164</v>
      </c>
      <c r="K482" s="258">
        <f>$D482*J482*_xlfn.XLOOKUP($I482,'Sample Size cal and results'!$B$24:$B$25,'Sample Size cal and results'!$H$24:$H$25)</f>
        <v>85.921486605177378</v>
      </c>
      <c r="L482" s="211">
        <f t="shared" si="91"/>
        <v>0.16164383561643836</v>
      </c>
      <c r="M482" s="211">
        <f>$D482*L482*_xlfn.XLOOKUP($I482,'Sample Size cal and results'!$B$24:$B$25,'Sample Size cal and results'!$I$24:$I$25)</f>
        <v>16.997461660237121</v>
      </c>
      <c r="N482" s="214">
        <f t="shared" si="92"/>
        <v>102.9189482654145</v>
      </c>
      <c r="O482" s="225" t="str">
        <f t="shared" si="93"/>
        <v>7-8 years</v>
      </c>
      <c r="P482" s="226">
        <f t="shared" si="94"/>
        <v>0.60821917808219184</v>
      </c>
      <c r="Q482" s="227">
        <f>$D482*P482*_xlfn.XLOOKUP($O482,'Sample Size cal and results'!$B$26:$B$27,'Sample Size cal and results'!$I$26:$I$27)</f>
        <v>49.400433976451069</v>
      </c>
      <c r="R482" s="330"/>
    </row>
    <row r="483" spans="1:18" ht="12.75">
      <c r="A483" s="99" t="s">
        <v>146</v>
      </c>
      <c r="B483" s="100">
        <v>41921</v>
      </c>
      <c r="C483" s="100">
        <f t="shared" si="84"/>
        <v>44477</v>
      </c>
      <c r="D483" s="209">
        <v>67</v>
      </c>
      <c r="E483" s="217">
        <f t="shared" si="85"/>
        <v>5.39</v>
      </c>
      <c r="F483" s="218">
        <f t="shared" si="86"/>
        <v>6.39</v>
      </c>
      <c r="G483" s="219">
        <f t="shared" si="87"/>
        <v>6.39</v>
      </c>
      <c r="H483" s="220">
        <f t="shared" si="88"/>
        <v>7.39</v>
      </c>
      <c r="I483" s="257" t="str">
        <f t="shared" si="89"/>
        <v>6-7 years</v>
      </c>
      <c r="J483" s="211">
        <f t="shared" si="90"/>
        <v>0.83835616438356164</v>
      </c>
      <c r="K483" s="258">
        <f>$D483*J483*_xlfn.XLOOKUP($I483,'Sample Size cal and results'!$B$24:$B$25,'Sample Size cal and results'!$H$24:$H$25)</f>
        <v>46.053916820375072</v>
      </c>
      <c r="L483" s="211">
        <f t="shared" si="91"/>
        <v>0.16164383561643836</v>
      </c>
      <c r="M483" s="211">
        <f>$D483*L483*_xlfn.XLOOKUP($I483,'Sample Size cal and results'!$B$24:$B$25,'Sample Size cal and results'!$I$24:$I$25)</f>
        <v>9.1106394498870973</v>
      </c>
      <c r="N483" s="214">
        <f t="shared" si="92"/>
        <v>55.164556270262167</v>
      </c>
      <c r="O483" s="225" t="str">
        <f t="shared" si="93"/>
        <v>7-8 years</v>
      </c>
      <c r="P483" s="226">
        <f t="shared" si="94"/>
        <v>0.60821917808219184</v>
      </c>
      <c r="Q483" s="227">
        <f>$D483*P483*_xlfn.XLOOKUP($O483,'Sample Size cal and results'!$B$26:$B$27,'Sample Size cal and results'!$I$26:$I$27)</f>
        <v>26.478632611377769</v>
      </c>
      <c r="R483" s="330"/>
    </row>
    <row r="484" spans="1:18" ht="12.75">
      <c r="A484" s="99" t="s">
        <v>49</v>
      </c>
      <c r="B484" s="100">
        <v>41920</v>
      </c>
      <c r="C484" s="100">
        <f t="shared" si="84"/>
        <v>44476</v>
      </c>
      <c r="D484" s="209">
        <v>532</v>
      </c>
      <c r="E484" s="217">
        <f t="shared" si="85"/>
        <v>5.39</v>
      </c>
      <c r="F484" s="218">
        <f t="shared" si="86"/>
        <v>6.39</v>
      </c>
      <c r="G484" s="219">
        <f t="shared" si="87"/>
        <v>6.39</v>
      </c>
      <c r="H484" s="220">
        <f t="shared" si="88"/>
        <v>7.39</v>
      </c>
      <c r="I484" s="257" t="str">
        <f t="shared" si="89"/>
        <v>6-7 years</v>
      </c>
      <c r="J484" s="211">
        <f t="shared" si="90"/>
        <v>0.83835616438356164</v>
      </c>
      <c r="K484" s="258">
        <f>$D484*J484*_xlfn.XLOOKUP($I484,'Sample Size cal and results'!$B$24:$B$25,'Sample Size cal and results'!$H$24:$H$25)</f>
        <v>365.68184699163487</v>
      </c>
      <c r="L484" s="211">
        <f t="shared" si="91"/>
        <v>0.16164383561643836</v>
      </c>
      <c r="M484" s="211">
        <f>$D484*L484*_xlfn.XLOOKUP($I484,'Sample Size cal and results'!$B$24:$B$25,'Sample Size cal and results'!$I$24:$I$25)</f>
        <v>72.341196825969192</v>
      </c>
      <c r="N484" s="214">
        <f t="shared" si="92"/>
        <v>438.02304381760405</v>
      </c>
      <c r="O484" s="225" t="str">
        <f t="shared" si="93"/>
        <v>7-8 years</v>
      </c>
      <c r="P484" s="226">
        <f t="shared" si="94"/>
        <v>0.60547945205479448</v>
      </c>
      <c r="Q484" s="227">
        <f>$D484*P484*_xlfn.XLOOKUP($O484,'Sample Size cal and results'!$B$26:$B$27,'Sample Size cal and results'!$I$26:$I$27)</f>
        <v>209.301182828083</v>
      </c>
      <c r="R484" s="330"/>
    </row>
    <row r="485" spans="1:18" ht="12.75">
      <c r="A485" s="99" t="s">
        <v>147</v>
      </c>
      <c r="B485" s="100">
        <v>41920</v>
      </c>
      <c r="C485" s="100">
        <f t="shared" si="84"/>
        <v>44476</v>
      </c>
      <c r="D485" s="209">
        <v>150</v>
      </c>
      <c r="E485" s="217">
        <f t="shared" si="85"/>
        <v>5.39</v>
      </c>
      <c r="F485" s="218">
        <f t="shared" si="86"/>
        <v>6.39</v>
      </c>
      <c r="G485" s="219">
        <f t="shared" si="87"/>
        <v>6.39</v>
      </c>
      <c r="H485" s="220">
        <f t="shared" si="88"/>
        <v>7.39</v>
      </c>
      <c r="I485" s="257" t="str">
        <f t="shared" si="89"/>
        <v>6-7 years</v>
      </c>
      <c r="J485" s="211">
        <f t="shared" si="90"/>
        <v>0.83835616438356164</v>
      </c>
      <c r="K485" s="258">
        <f>$D485*J485*_xlfn.XLOOKUP($I485,'Sample Size cal and results'!$B$24:$B$25,'Sample Size cal and results'!$H$24:$H$25)</f>
        <v>103.10578392621284</v>
      </c>
      <c r="L485" s="211">
        <f t="shared" si="91"/>
        <v>0.16164383561643836</v>
      </c>
      <c r="M485" s="211">
        <f>$D485*L485*_xlfn.XLOOKUP($I485,'Sample Size cal and results'!$B$24:$B$25,'Sample Size cal and results'!$I$24:$I$25)</f>
        <v>20.396953992284548</v>
      </c>
      <c r="N485" s="214">
        <f t="shared" si="92"/>
        <v>123.50273791849739</v>
      </c>
      <c r="O485" s="225" t="str">
        <f t="shared" si="93"/>
        <v>7-8 years</v>
      </c>
      <c r="P485" s="226">
        <f t="shared" si="94"/>
        <v>0.60547945205479448</v>
      </c>
      <c r="Q485" s="227">
        <f>$D485*P485*_xlfn.XLOOKUP($O485,'Sample Size cal and results'!$B$26:$B$27,'Sample Size cal and results'!$I$26:$I$27)</f>
        <v>59.013491398895582</v>
      </c>
      <c r="R485" s="330"/>
    </row>
    <row r="486" spans="1:18" ht="12.75">
      <c r="A486" s="99" t="s">
        <v>146</v>
      </c>
      <c r="B486" s="100">
        <v>41920</v>
      </c>
      <c r="C486" s="100">
        <f t="shared" si="84"/>
        <v>44476</v>
      </c>
      <c r="D486" s="209">
        <v>56</v>
      </c>
      <c r="E486" s="217">
        <f t="shared" si="85"/>
        <v>5.39</v>
      </c>
      <c r="F486" s="218">
        <f t="shared" si="86"/>
        <v>6.39</v>
      </c>
      <c r="G486" s="219">
        <f t="shared" si="87"/>
        <v>6.39</v>
      </c>
      <c r="H486" s="220">
        <f t="shared" si="88"/>
        <v>7.39</v>
      </c>
      <c r="I486" s="257" t="str">
        <f t="shared" si="89"/>
        <v>6-7 years</v>
      </c>
      <c r="J486" s="211">
        <f t="shared" si="90"/>
        <v>0.83835616438356164</v>
      </c>
      <c r="K486" s="258">
        <f>$D486*J486*_xlfn.XLOOKUP($I486,'Sample Size cal and results'!$B$24:$B$25,'Sample Size cal and results'!$H$24:$H$25)</f>
        <v>38.492825999119461</v>
      </c>
      <c r="L486" s="211">
        <f t="shared" si="91"/>
        <v>0.16164383561643836</v>
      </c>
      <c r="M486" s="211">
        <f>$D486*L486*_xlfn.XLOOKUP($I486,'Sample Size cal and results'!$B$24:$B$25,'Sample Size cal and results'!$I$24:$I$25)</f>
        <v>7.6148628237862299</v>
      </c>
      <c r="N486" s="214">
        <f t="shared" si="92"/>
        <v>46.107688822905693</v>
      </c>
      <c r="O486" s="225" t="str">
        <f t="shared" si="93"/>
        <v>7-8 years</v>
      </c>
      <c r="P486" s="226">
        <f t="shared" si="94"/>
        <v>0.60547945205479448</v>
      </c>
      <c r="Q486" s="227">
        <f>$D486*P486*_xlfn.XLOOKUP($O486,'Sample Size cal and results'!$B$26:$B$27,'Sample Size cal and results'!$I$26:$I$27)</f>
        <v>22.031703455587685</v>
      </c>
      <c r="R486" s="330"/>
    </row>
    <row r="487" spans="1:18" ht="12.75">
      <c r="A487" s="99" t="s">
        <v>50</v>
      </c>
      <c r="B487" s="100">
        <v>41920</v>
      </c>
      <c r="C487" s="100">
        <f t="shared" si="84"/>
        <v>44476</v>
      </c>
      <c r="D487" s="209">
        <v>26</v>
      </c>
      <c r="E487" s="217">
        <f t="shared" si="85"/>
        <v>5.39</v>
      </c>
      <c r="F487" s="218">
        <f t="shared" si="86"/>
        <v>6.39</v>
      </c>
      <c r="G487" s="219">
        <f t="shared" si="87"/>
        <v>6.39</v>
      </c>
      <c r="H487" s="220">
        <f t="shared" si="88"/>
        <v>7.39</v>
      </c>
      <c r="I487" s="257" t="str">
        <f t="shared" si="89"/>
        <v>6-7 years</v>
      </c>
      <c r="J487" s="211">
        <f t="shared" si="90"/>
        <v>0.83835616438356164</v>
      </c>
      <c r="K487" s="258">
        <f>$D487*J487*_xlfn.XLOOKUP($I487,'Sample Size cal and results'!$B$24:$B$25,'Sample Size cal and results'!$H$24:$H$25)</f>
        <v>17.871669213876892</v>
      </c>
      <c r="L487" s="211">
        <f t="shared" si="91"/>
        <v>0.16164383561643836</v>
      </c>
      <c r="M487" s="211">
        <f>$D487*L487*_xlfn.XLOOKUP($I487,'Sample Size cal and results'!$B$24:$B$25,'Sample Size cal and results'!$I$24:$I$25)</f>
        <v>3.5354720253293217</v>
      </c>
      <c r="N487" s="214">
        <f t="shared" si="92"/>
        <v>21.407141239206215</v>
      </c>
      <c r="O487" s="225" t="str">
        <f t="shared" si="93"/>
        <v>7-8 years</v>
      </c>
      <c r="P487" s="226">
        <f t="shared" si="94"/>
        <v>0.60547945205479448</v>
      </c>
      <c r="Q487" s="227">
        <f>$D487*P487*_xlfn.XLOOKUP($O487,'Sample Size cal and results'!$B$26:$B$27,'Sample Size cal and results'!$I$26:$I$27)</f>
        <v>10.229005175808568</v>
      </c>
      <c r="R487" s="330"/>
    </row>
    <row r="488" spans="1:18" ht="12.75">
      <c r="A488" s="99" t="s">
        <v>147</v>
      </c>
      <c r="B488" s="100">
        <v>41919</v>
      </c>
      <c r="C488" s="100">
        <f t="shared" si="84"/>
        <v>44475</v>
      </c>
      <c r="D488" s="209">
        <v>164</v>
      </c>
      <c r="E488" s="217">
        <f t="shared" si="85"/>
        <v>5.39</v>
      </c>
      <c r="F488" s="218">
        <f t="shared" si="86"/>
        <v>6.39</v>
      </c>
      <c r="G488" s="219">
        <f t="shared" si="87"/>
        <v>6.39</v>
      </c>
      <c r="H488" s="220">
        <f t="shared" si="88"/>
        <v>7.39</v>
      </c>
      <c r="I488" s="257" t="str">
        <f t="shared" si="89"/>
        <v>6-7 years</v>
      </c>
      <c r="J488" s="211">
        <f t="shared" si="90"/>
        <v>0.83835616438356164</v>
      </c>
      <c r="K488" s="258">
        <f>$D488*J488*_xlfn.XLOOKUP($I488,'Sample Size cal and results'!$B$24:$B$25,'Sample Size cal and results'!$H$24:$H$25)</f>
        <v>112.72899042599271</v>
      </c>
      <c r="L488" s="211">
        <f t="shared" si="91"/>
        <v>0.16164383561643836</v>
      </c>
      <c r="M488" s="211">
        <f>$D488*L488*_xlfn.XLOOKUP($I488,'Sample Size cal and results'!$B$24:$B$25,'Sample Size cal and results'!$I$24:$I$25)</f>
        <v>22.300669698231104</v>
      </c>
      <c r="N488" s="214">
        <f t="shared" si="92"/>
        <v>135.02966012422382</v>
      </c>
      <c r="O488" s="225" t="str">
        <f t="shared" si="93"/>
        <v>7-8 years</v>
      </c>
      <c r="P488" s="226">
        <f t="shared" si="94"/>
        <v>0.60273972602739723</v>
      </c>
      <c r="Q488" s="227">
        <f>$D488*P488*_xlfn.XLOOKUP($O488,'Sample Size cal and results'!$B$26:$B$27,'Sample Size cal and results'!$I$26:$I$27)</f>
        <v>64.229465148481225</v>
      </c>
      <c r="R488" s="330"/>
    </row>
    <row r="489" spans="1:18" ht="12.75">
      <c r="A489" s="99" t="s">
        <v>49</v>
      </c>
      <c r="B489" s="100">
        <v>41919</v>
      </c>
      <c r="C489" s="100">
        <f t="shared" si="84"/>
        <v>44475</v>
      </c>
      <c r="D489" s="209">
        <v>89</v>
      </c>
      <c r="E489" s="217">
        <f t="shared" si="85"/>
        <v>5.39</v>
      </c>
      <c r="F489" s="218">
        <f t="shared" si="86"/>
        <v>6.39</v>
      </c>
      <c r="G489" s="219">
        <f t="shared" si="87"/>
        <v>6.39</v>
      </c>
      <c r="H489" s="220">
        <f t="shared" si="88"/>
        <v>7.39</v>
      </c>
      <c r="I489" s="257" t="str">
        <f t="shared" si="89"/>
        <v>6-7 years</v>
      </c>
      <c r="J489" s="211">
        <f t="shared" si="90"/>
        <v>0.83835616438356164</v>
      </c>
      <c r="K489" s="258">
        <f>$D489*J489*_xlfn.XLOOKUP($I489,'Sample Size cal and results'!$B$24:$B$25,'Sample Size cal and results'!$H$24:$H$25)</f>
        <v>61.17609846288628</v>
      </c>
      <c r="L489" s="211">
        <f t="shared" si="91"/>
        <v>0.16164383561643836</v>
      </c>
      <c r="M489" s="211">
        <f>$D489*L489*_xlfn.XLOOKUP($I489,'Sample Size cal and results'!$B$24:$B$25,'Sample Size cal and results'!$I$24:$I$25)</f>
        <v>12.102192702088832</v>
      </c>
      <c r="N489" s="214">
        <f t="shared" si="92"/>
        <v>73.278291164975116</v>
      </c>
      <c r="O489" s="225" t="str">
        <f t="shared" si="93"/>
        <v>7-8 years</v>
      </c>
      <c r="P489" s="226">
        <f t="shared" si="94"/>
        <v>0.60273972602739723</v>
      </c>
      <c r="Q489" s="227">
        <f>$D489*P489*_xlfn.XLOOKUP($O489,'Sample Size cal and results'!$B$26:$B$27,'Sample Size cal and results'!$I$26:$I$27)</f>
        <v>34.856234135456276</v>
      </c>
      <c r="R489" s="330"/>
    </row>
    <row r="490" spans="1:18" ht="12.75">
      <c r="A490" s="99" t="s">
        <v>146</v>
      </c>
      <c r="B490" s="100">
        <v>41919</v>
      </c>
      <c r="C490" s="100">
        <f t="shared" si="84"/>
        <v>44475</v>
      </c>
      <c r="D490" s="209">
        <v>23</v>
      </c>
      <c r="E490" s="217">
        <f t="shared" si="85"/>
        <v>5.39</v>
      </c>
      <c r="F490" s="218">
        <f t="shared" si="86"/>
        <v>6.39</v>
      </c>
      <c r="G490" s="219">
        <f t="shared" si="87"/>
        <v>6.39</v>
      </c>
      <c r="H490" s="220">
        <f t="shared" si="88"/>
        <v>7.39</v>
      </c>
      <c r="I490" s="257" t="str">
        <f t="shared" si="89"/>
        <v>6-7 years</v>
      </c>
      <c r="J490" s="211">
        <f t="shared" si="90"/>
        <v>0.83835616438356164</v>
      </c>
      <c r="K490" s="258">
        <f>$D490*J490*_xlfn.XLOOKUP($I490,'Sample Size cal and results'!$B$24:$B$25,'Sample Size cal and results'!$H$24:$H$25)</f>
        <v>15.809553535352636</v>
      </c>
      <c r="L490" s="211">
        <f t="shared" si="91"/>
        <v>0.16164383561643836</v>
      </c>
      <c r="M490" s="211">
        <f>$D490*L490*_xlfn.XLOOKUP($I490,'Sample Size cal and results'!$B$24:$B$25,'Sample Size cal and results'!$I$24:$I$25)</f>
        <v>3.1275329454836305</v>
      </c>
      <c r="N490" s="214">
        <f t="shared" si="92"/>
        <v>18.937086480836268</v>
      </c>
      <c r="O490" s="225" t="str">
        <f t="shared" si="93"/>
        <v>7-8 years</v>
      </c>
      <c r="P490" s="226">
        <f t="shared" si="94"/>
        <v>0.60273972602739723</v>
      </c>
      <c r="Q490" s="227">
        <f>$D490*P490*_xlfn.XLOOKUP($O490,'Sample Size cal and results'!$B$26:$B$27,'Sample Size cal and results'!$I$26:$I$27)</f>
        <v>9.007790843994318</v>
      </c>
      <c r="R490" s="330"/>
    </row>
    <row r="491" spans="1:18" ht="12.75">
      <c r="A491" s="99" t="s">
        <v>147</v>
      </c>
      <c r="B491" s="100">
        <v>41918</v>
      </c>
      <c r="C491" s="100">
        <f t="shared" si="84"/>
        <v>44474</v>
      </c>
      <c r="D491" s="209">
        <v>156</v>
      </c>
      <c r="E491" s="217">
        <f t="shared" si="85"/>
        <v>5.4</v>
      </c>
      <c r="F491" s="218">
        <f t="shared" si="86"/>
        <v>6.39</v>
      </c>
      <c r="G491" s="219">
        <f t="shared" si="87"/>
        <v>6.4</v>
      </c>
      <c r="H491" s="220">
        <f t="shared" si="88"/>
        <v>7.39</v>
      </c>
      <c r="I491" s="257" t="str">
        <f t="shared" si="89"/>
        <v>6-7 years</v>
      </c>
      <c r="J491" s="211">
        <f t="shared" si="90"/>
        <v>0.83835616438356164</v>
      </c>
      <c r="K491" s="258">
        <f>$D491*J491*_xlfn.XLOOKUP($I491,'Sample Size cal and results'!$B$24:$B$25,'Sample Size cal and results'!$H$24:$H$25)</f>
        <v>107.23001528326135</v>
      </c>
      <c r="L491" s="211">
        <f t="shared" si="91"/>
        <v>0.16164383561643836</v>
      </c>
      <c r="M491" s="211">
        <f>$D491*L491*_xlfn.XLOOKUP($I491,'Sample Size cal and results'!$B$24:$B$25,'Sample Size cal and results'!$I$24:$I$25)</f>
        <v>21.212832151975931</v>
      </c>
      <c r="N491" s="214">
        <f t="shared" si="92"/>
        <v>128.4428474352373</v>
      </c>
      <c r="O491" s="225" t="str">
        <f t="shared" si="93"/>
        <v>7-8 years</v>
      </c>
      <c r="P491" s="226">
        <f t="shared" si="94"/>
        <v>0.6</v>
      </c>
      <c r="Q491" s="227">
        <f>$D491*P491*_xlfn.XLOOKUP($O491,'Sample Size cal and results'!$B$26:$B$27,'Sample Size cal and results'!$I$26:$I$27)</f>
        <v>60.818609959332392</v>
      </c>
      <c r="R491" s="330"/>
    </row>
    <row r="492" spans="1:18" ht="12.75">
      <c r="A492" s="99" t="s">
        <v>49</v>
      </c>
      <c r="B492" s="100">
        <v>41918</v>
      </c>
      <c r="C492" s="100">
        <f t="shared" si="84"/>
        <v>44474</v>
      </c>
      <c r="D492" s="209">
        <v>95</v>
      </c>
      <c r="E492" s="217">
        <f t="shared" si="85"/>
        <v>5.4</v>
      </c>
      <c r="F492" s="218">
        <f t="shared" si="86"/>
        <v>6.39</v>
      </c>
      <c r="G492" s="219">
        <f t="shared" si="87"/>
        <v>6.4</v>
      </c>
      <c r="H492" s="220">
        <f t="shared" si="88"/>
        <v>7.39</v>
      </c>
      <c r="I492" s="257" t="str">
        <f t="shared" si="89"/>
        <v>6-7 years</v>
      </c>
      <c r="J492" s="211">
        <f t="shared" si="90"/>
        <v>0.83835616438356164</v>
      </c>
      <c r="K492" s="258">
        <f>$D492*J492*_xlfn.XLOOKUP($I492,'Sample Size cal and results'!$B$24:$B$25,'Sample Size cal and results'!$H$24:$H$25)</f>
        <v>65.300329819934802</v>
      </c>
      <c r="L492" s="211">
        <f t="shared" si="91"/>
        <v>0.16164383561643836</v>
      </c>
      <c r="M492" s="211">
        <f>$D492*L492*_xlfn.XLOOKUP($I492,'Sample Size cal and results'!$B$24:$B$25,'Sample Size cal and results'!$I$24:$I$25)</f>
        <v>12.918070861780214</v>
      </c>
      <c r="N492" s="214">
        <f t="shared" si="92"/>
        <v>78.218400681715011</v>
      </c>
      <c r="O492" s="225" t="str">
        <f t="shared" si="93"/>
        <v>7-8 years</v>
      </c>
      <c r="P492" s="226">
        <f t="shared" si="94"/>
        <v>0.6</v>
      </c>
      <c r="Q492" s="227">
        <f>$D492*P492*_xlfn.XLOOKUP($O492,'Sample Size cal and results'!$B$26:$B$27,'Sample Size cal and results'!$I$26:$I$27)</f>
        <v>37.03697401369601</v>
      </c>
      <c r="R492" s="330"/>
    </row>
    <row r="493" spans="1:18" ht="12.75">
      <c r="A493" s="99" t="s">
        <v>146</v>
      </c>
      <c r="B493" s="100">
        <v>41918</v>
      </c>
      <c r="C493" s="100">
        <f t="shared" si="84"/>
        <v>44474</v>
      </c>
      <c r="D493" s="209">
        <v>30</v>
      </c>
      <c r="E493" s="217">
        <f t="shared" si="85"/>
        <v>5.4</v>
      </c>
      <c r="F493" s="218">
        <f t="shared" si="86"/>
        <v>6.39</v>
      </c>
      <c r="G493" s="219">
        <f t="shared" si="87"/>
        <v>6.4</v>
      </c>
      <c r="H493" s="220">
        <f t="shared" si="88"/>
        <v>7.39</v>
      </c>
      <c r="I493" s="257" t="str">
        <f t="shared" si="89"/>
        <v>6-7 years</v>
      </c>
      <c r="J493" s="211">
        <f t="shared" si="90"/>
        <v>0.83835616438356164</v>
      </c>
      <c r="K493" s="258">
        <f>$D493*J493*_xlfn.XLOOKUP($I493,'Sample Size cal and results'!$B$24:$B$25,'Sample Size cal and results'!$H$24:$H$25)</f>
        <v>20.621156785242569</v>
      </c>
      <c r="L493" s="211">
        <f t="shared" si="91"/>
        <v>0.16164383561643836</v>
      </c>
      <c r="M493" s="211">
        <f>$D493*L493*_xlfn.XLOOKUP($I493,'Sample Size cal and results'!$B$24:$B$25,'Sample Size cal and results'!$I$24:$I$25)</f>
        <v>4.0793907984569096</v>
      </c>
      <c r="N493" s="214">
        <f t="shared" si="92"/>
        <v>24.700547583699478</v>
      </c>
      <c r="O493" s="225" t="str">
        <f t="shared" si="93"/>
        <v>7-8 years</v>
      </c>
      <c r="P493" s="226">
        <f t="shared" si="94"/>
        <v>0.6</v>
      </c>
      <c r="Q493" s="227">
        <f>$D493*P493*_xlfn.XLOOKUP($O493,'Sample Size cal and results'!$B$26:$B$27,'Sample Size cal and results'!$I$26:$I$27)</f>
        <v>11.695886530640845</v>
      </c>
      <c r="R493" s="330"/>
    </row>
    <row r="494" spans="1:18" ht="12.75">
      <c r="A494" s="99" t="s">
        <v>147</v>
      </c>
      <c r="B494" s="100">
        <v>41917</v>
      </c>
      <c r="C494" s="100">
        <f t="shared" si="84"/>
        <v>44473</v>
      </c>
      <c r="D494" s="209">
        <v>145</v>
      </c>
      <c r="E494" s="217">
        <f t="shared" si="85"/>
        <v>5.4</v>
      </c>
      <c r="F494" s="218">
        <f t="shared" si="86"/>
        <v>6.4</v>
      </c>
      <c r="G494" s="219">
        <f t="shared" si="87"/>
        <v>6.4</v>
      </c>
      <c r="H494" s="220">
        <f t="shared" si="88"/>
        <v>7.4</v>
      </c>
      <c r="I494" s="257" t="str">
        <f t="shared" si="89"/>
        <v>6-7 years</v>
      </c>
      <c r="J494" s="211">
        <f t="shared" si="90"/>
        <v>0.83835616438356164</v>
      </c>
      <c r="K494" s="258">
        <f>$D494*J494*_xlfn.XLOOKUP($I494,'Sample Size cal and results'!$B$24:$B$25,'Sample Size cal and results'!$H$24:$H$25)</f>
        <v>99.668924462005748</v>
      </c>
      <c r="L494" s="211">
        <f t="shared" si="91"/>
        <v>0.16164383561643836</v>
      </c>
      <c r="M494" s="211">
        <f>$D494*L494*_xlfn.XLOOKUP($I494,'Sample Size cal and results'!$B$24:$B$25,'Sample Size cal and results'!$I$24:$I$25)</f>
        <v>19.717055525875065</v>
      </c>
      <c r="N494" s="214">
        <f t="shared" si="92"/>
        <v>119.38597998788082</v>
      </c>
      <c r="O494" s="225" t="str">
        <f t="shared" si="93"/>
        <v>7-8 years</v>
      </c>
      <c r="P494" s="226">
        <f t="shared" si="94"/>
        <v>0.59726027397260273</v>
      </c>
      <c r="Q494" s="227">
        <f>$D494*P494*_xlfn.XLOOKUP($O494,'Sample Size cal and results'!$B$26:$B$27,'Sample Size cal and results'!$I$26:$I$27)</f>
        <v>56.271989837679925</v>
      </c>
      <c r="R494" s="330"/>
    </row>
    <row r="495" spans="1:18" ht="12.75">
      <c r="A495" s="99" t="s">
        <v>49</v>
      </c>
      <c r="B495" s="100">
        <v>41917</v>
      </c>
      <c r="C495" s="100">
        <f t="shared" si="84"/>
        <v>44473</v>
      </c>
      <c r="D495" s="209">
        <v>96</v>
      </c>
      <c r="E495" s="217">
        <f t="shared" si="85"/>
        <v>5.4</v>
      </c>
      <c r="F495" s="218">
        <f t="shared" si="86"/>
        <v>6.4</v>
      </c>
      <c r="G495" s="219">
        <f t="shared" si="87"/>
        <v>6.4</v>
      </c>
      <c r="H495" s="220">
        <f t="shared" si="88"/>
        <v>7.4</v>
      </c>
      <c r="I495" s="257" t="str">
        <f t="shared" si="89"/>
        <v>6-7 years</v>
      </c>
      <c r="J495" s="211">
        <f t="shared" si="90"/>
        <v>0.83835616438356164</v>
      </c>
      <c r="K495" s="258">
        <f>$D495*J495*_xlfn.XLOOKUP($I495,'Sample Size cal and results'!$B$24:$B$25,'Sample Size cal and results'!$H$24:$H$25)</f>
        <v>65.987701712776214</v>
      </c>
      <c r="L495" s="211">
        <f t="shared" si="91"/>
        <v>0.16164383561643836</v>
      </c>
      <c r="M495" s="211">
        <f>$D495*L495*_xlfn.XLOOKUP($I495,'Sample Size cal and results'!$B$24:$B$25,'Sample Size cal and results'!$I$24:$I$25)</f>
        <v>13.05405055506211</v>
      </c>
      <c r="N495" s="214">
        <f t="shared" si="92"/>
        <v>79.041752267838319</v>
      </c>
      <c r="O495" s="225" t="str">
        <f t="shared" si="93"/>
        <v>7-8 years</v>
      </c>
      <c r="P495" s="226">
        <f t="shared" si="94"/>
        <v>0.59726027397260273</v>
      </c>
      <c r="Q495" s="227">
        <f>$D495*P495*_xlfn.XLOOKUP($O495,'Sample Size cal and results'!$B$26:$B$27,'Sample Size cal and results'!$I$26:$I$27)</f>
        <v>37.255938099429471</v>
      </c>
      <c r="R495" s="330"/>
    </row>
    <row r="496" spans="1:18" ht="12.75">
      <c r="A496" s="99" t="s">
        <v>146</v>
      </c>
      <c r="B496" s="100">
        <v>41917</v>
      </c>
      <c r="C496" s="100">
        <f t="shared" si="84"/>
        <v>44473</v>
      </c>
      <c r="D496" s="209">
        <v>47</v>
      </c>
      <c r="E496" s="217">
        <f t="shared" si="85"/>
        <v>5.4</v>
      </c>
      <c r="F496" s="218">
        <f t="shared" si="86"/>
        <v>6.4</v>
      </c>
      <c r="G496" s="219">
        <f t="shared" si="87"/>
        <v>6.4</v>
      </c>
      <c r="H496" s="220">
        <f t="shared" si="88"/>
        <v>7.4</v>
      </c>
      <c r="I496" s="257" t="str">
        <f t="shared" si="89"/>
        <v>6-7 years</v>
      </c>
      <c r="J496" s="211">
        <f t="shared" si="90"/>
        <v>0.83835616438356164</v>
      </c>
      <c r="K496" s="258">
        <f>$D496*J496*_xlfn.XLOOKUP($I496,'Sample Size cal and results'!$B$24:$B$25,'Sample Size cal and results'!$H$24:$H$25)</f>
        <v>32.306478963546688</v>
      </c>
      <c r="L496" s="211">
        <f t="shared" si="91"/>
        <v>0.16164383561643836</v>
      </c>
      <c r="M496" s="211">
        <f>$D496*L496*_xlfn.XLOOKUP($I496,'Sample Size cal and results'!$B$24:$B$25,'Sample Size cal and results'!$I$24:$I$25)</f>
        <v>6.3910455842491585</v>
      </c>
      <c r="N496" s="214">
        <f t="shared" si="92"/>
        <v>38.697524547795844</v>
      </c>
      <c r="O496" s="225" t="str">
        <f t="shared" si="93"/>
        <v>7-8 years</v>
      </c>
      <c r="P496" s="226">
        <f t="shared" si="94"/>
        <v>0.59726027397260273</v>
      </c>
      <c r="Q496" s="227">
        <f>$D496*P496*_xlfn.XLOOKUP($O496,'Sample Size cal and results'!$B$26:$B$27,'Sample Size cal and results'!$I$26:$I$27)</f>
        <v>18.239886361179011</v>
      </c>
      <c r="R496" s="330"/>
    </row>
    <row r="497" spans="1:18" ht="12.75">
      <c r="A497" s="99" t="s">
        <v>147</v>
      </c>
      <c r="B497" s="100">
        <v>41916</v>
      </c>
      <c r="C497" s="100">
        <f t="shared" si="84"/>
        <v>44472</v>
      </c>
      <c r="D497" s="209">
        <v>148</v>
      </c>
      <c r="E497" s="217">
        <f t="shared" si="85"/>
        <v>5.4</v>
      </c>
      <c r="F497" s="218">
        <f t="shared" si="86"/>
        <v>6.4</v>
      </c>
      <c r="G497" s="219">
        <f t="shared" si="87"/>
        <v>6.4</v>
      </c>
      <c r="H497" s="220">
        <f t="shared" si="88"/>
        <v>7.4</v>
      </c>
      <c r="I497" s="257" t="str">
        <f t="shared" si="89"/>
        <v>6-7 years</v>
      </c>
      <c r="J497" s="211">
        <f t="shared" si="90"/>
        <v>0.83835616438356164</v>
      </c>
      <c r="K497" s="258">
        <f>$D497*J497*_xlfn.XLOOKUP($I497,'Sample Size cal and results'!$B$24:$B$25,'Sample Size cal and results'!$H$24:$H$25)</f>
        <v>101.73104014053001</v>
      </c>
      <c r="L497" s="211">
        <f t="shared" si="91"/>
        <v>0.16164383561643836</v>
      </c>
      <c r="M497" s="211">
        <f>$D497*L497*_xlfn.XLOOKUP($I497,'Sample Size cal and results'!$B$24:$B$25,'Sample Size cal and results'!$I$24:$I$25)</f>
        <v>20.124994605720754</v>
      </c>
      <c r="N497" s="214">
        <f t="shared" si="92"/>
        <v>121.85603474625077</v>
      </c>
      <c r="O497" s="225" t="str">
        <f t="shared" si="93"/>
        <v>7-8 years</v>
      </c>
      <c r="P497" s="226">
        <f t="shared" si="94"/>
        <v>0.59452054794520548</v>
      </c>
      <c r="Q497" s="227">
        <f>$D497*P497*_xlfn.XLOOKUP($O497,'Sample Size cal and results'!$B$26:$B$27,'Sample Size cal and results'!$I$26:$I$27)</f>
        <v>57.172768922079364</v>
      </c>
      <c r="R497" s="330"/>
    </row>
    <row r="498" spans="1:18" ht="12.75">
      <c r="A498" s="99" t="s">
        <v>49</v>
      </c>
      <c r="B498" s="100">
        <v>41916</v>
      </c>
      <c r="C498" s="100">
        <f t="shared" si="84"/>
        <v>44472</v>
      </c>
      <c r="D498" s="209">
        <v>67</v>
      </c>
      <c r="E498" s="217">
        <f t="shared" si="85"/>
        <v>5.4</v>
      </c>
      <c r="F498" s="218">
        <f t="shared" si="86"/>
        <v>6.4</v>
      </c>
      <c r="G498" s="219">
        <f t="shared" si="87"/>
        <v>6.4</v>
      </c>
      <c r="H498" s="220">
        <f t="shared" si="88"/>
        <v>7.4</v>
      </c>
      <c r="I498" s="257" t="str">
        <f t="shared" si="89"/>
        <v>6-7 years</v>
      </c>
      <c r="J498" s="211">
        <f t="shared" si="90"/>
        <v>0.83835616438356164</v>
      </c>
      <c r="K498" s="258">
        <f>$D498*J498*_xlfn.XLOOKUP($I498,'Sample Size cal and results'!$B$24:$B$25,'Sample Size cal and results'!$H$24:$H$25)</f>
        <v>46.053916820375072</v>
      </c>
      <c r="L498" s="211">
        <f t="shared" si="91"/>
        <v>0.16164383561643836</v>
      </c>
      <c r="M498" s="211">
        <f>$D498*L498*_xlfn.XLOOKUP($I498,'Sample Size cal and results'!$B$24:$B$25,'Sample Size cal and results'!$I$24:$I$25)</f>
        <v>9.1106394498870973</v>
      </c>
      <c r="N498" s="214">
        <f t="shared" si="92"/>
        <v>55.164556270262167</v>
      </c>
      <c r="O498" s="225" t="str">
        <f t="shared" si="93"/>
        <v>7-8 years</v>
      </c>
      <c r="P498" s="226">
        <f t="shared" si="94"/>
        <v>0.59452054794520548</v>
      </c>
      <c r="Q498" s="227">
        <f>$D498*P498*_xlfn.XLOOKUP($O498,'Sample Size cal and results'!$B$26:$B$27,'Sample Size cal and results'!$I$26:$I$27)</f>
        <v>25.882267012022414</v>
      </c>
      <c r="R498" s="330"/>
    </row>
    <row r="499" spans="1:18" ht="12.75">
      <c r="A499" s="99" t="s">
        <v>146</v>
      </c>
      <c r="B499" s="100">
        <v>41916</v>
      </c>
      <c r="C499" s="100">
        <f t="shared" si="84"/>
        <v>44472</v>
      </c>
      <c r="D499" s="209">
        <v>28</v>
      </c>
      <c r="E499" s="217">
        <f t="shared" si="85"/>
        <v>5.4</v>
      </c>
      <c r="F499" s="218">
        <f t="shared" si="86"/>
        <v>6.4</v>
      </c>
      <c r="G499" s="219">
        <f t="shared" si="87"/>
        <v>6.4</v>
      </c>
      <c r="H499" s="220">
        <f t="shared" si="88"/>
        <v>7.4</v>
      </c>
      <c r="I499" s="257" t="str">
        <f t="shared" si="89"/>
        <v>6-7 years</v>
      </c>
      <c r="J499" s="211">
        <f t="shared" si="90"/>
        <v>0.83835616438356164</v>
      </c>
      <c r="K499" s="258">
        <f>$D499*J499*_xlfn.XLOOKUP($I499,'Sample Size cal and results'!$B$24:$B$25,'Sample Size cal and results'!$H$24:$H$25)</f>
        <v>19.24641299955973</v>
      </c>
      <c r="L499" s="211">
        <f t="shared" si="91"/>
        <v>0.16164383561643836</v>
      </c>
      <c r="M499" s="211">
        <f>$D499*L499*_xlfn.XLOOKUP($I499,'Sample Size cal and results'!$B$24:$B$25,'Sample Size cal and results'!$I$24:$I$25)</f>
        <v>3.807431411893115</v>
      </c>
      <c r="N499" s="214">
        <f t="shared" si="92"/>
        <v>23.053844411452847</v>
      </c>
      <c r="O499" s="225" t="str">
        <f t="shared" si="93"/>
        <v>7-8 years</v>
      </c>
      <c r="P499" s="226">
        <f t="shared" si="94"/>
        <v>0.59452054794520548</v>
      </c>
      <c r="Q499" s="227">
        <f>$D499*P499*_xlfn.XLOOKUP($O499,'Sample Size cal and results'!$B$26:$B$27,'Sample Size cal and results'!$I$26:$I$27)</f>
        <v>10.816469796069066</v>
      </c>
      <c r="R499" s="330"/>
    </row>
    <row r="500" spans="1:18" ht="12.75">
      <c r="A500" s="99" t="s">
        <v>147</v>
      </c>
      <c r="B500" s="100">
        <v>41915</v>
      </c>
      <c r="C500" s="100">
        <f t="shared" si="84"/>
        <v>44471</v>
      </c>
      <c r="D500" s="209">
        <v>165</v>
      </c>
      <c r="E500" s="217">
        <f t="shared" si="85"/>
        <v>5.4</v>
      </c>
      <c r="F500" s="218">
        <f t="shared" si="86"/>
        <v>6.4</v>
      </c>
      <c r="G500" s="219">
        <f t="shared" si="87"/>
        <v>6.4</v>
      </c>
      <c r="H500" s="220">
        <f t="shared" si="88"/>
        <v>7.4</v>
      </c>
      <c r="I500" s="257" t="str">
        <f t="shared" si="89"/>
        <v>6-7 years</v>
      </c>
      <c r="J500" s="211">
        <f t="shared" si="90"/>
        <v>0.83835616438356164</v>
      </c>
      <c r="K500" s="258">
        <f>$D500*J500*_xlfn.XLOOKUP($I500,'Sample Size cal and results'!$B$24:$B$25,'Sample Size cal and results'!$H$24:$H$25)</f>
        <v>113.41636231883412</v>
      </c>
      <c r="L500" s="211">
        <f t="shared" si="91"/>
        <v>0.16164383561643836</v>
      </c>
      <c r="M500" s="211">
        <f>$D500*L500*_xlfn.XLOOKUP($I500,'Sample Size cal and results'!$B$24:$B$25,'Sample Size cal and results'!$I$24:$I$25)</f>
        <v>22.436649391513001</v>
      </c>
      <c r="N500" s="214">
        <f t="shared" si="92"/>
        <v>135.85301171034712</v>
      </c>
      <c r="O500" s="225" t="str">
        <f t="shared" si="93"/>
        <v>7-8 years</v>
      </c>
      <c r="P500" s="226">
        <f t="shared" si="94"/>
        <v>0.59178082191780823</v>
      </c>
      <c r="Q500" s="227">
        <f>$D500*P500*_xlfn.XLOOKUP($O500,'Sample Size cal and results'!$B$26:$B$27,'Sample Size cal and results'!$I$26:$I$27)</f>
        <v>63.446178988133902</v>
      </c>
      <c r="R500" s="330"/>
    </row>
    <row r="501" spans="1:18" ht="12.75">
      <c r="A501" s="99" t="s">
        <v>49</v>
      </c>
      <c r="B501" s="100">
        <v>41915</v>
      </c>
      <c r="C501" s="100">
        <f t="shared" si="84"/>
        <v>44471</v>
      </c>
      <c r="D501" s="209">
        <v>83</v>
      </c>
      <c r="E501" s="217">
        <f t="shared" si="85"/>
        <v>5.4</v>
      </c>
      <c r="F501" s="218">
        <f t="shared" si="86"/>
        <v>6.4</v>
      </c>
      <c r="G501" s="219">
        <f t="shared" si="87"/>
        <v>6.4</v>
      </c>
      <c r="H501" s="220">
        <f t="shared" si="88"/>
        <v>7.4</v>
      </c>
      <c r="I501" s="257" t="str">
        <f t="shared" si="89"/>
        <v>6-7 years</v>
      </c>
      <c r="J501" s="211">
        <f t="shared" si="90"/>
        <v>0.83835616438356164</v>
      </c>
      <c r="K501" s="258">
        <f>$D501*J501*_xlfn.XLOOKUP($I501,'Sample Size cal and results'!$B$24:$B$25,'Sample Size cal and results'!$H$24:$H$25)</f>
        <v>57.051867105837779</v>
      </c>
      <c r="L501" s="211">
        <f t="shared" si="91"/>
        <v>0.16164383561643836</v>
      </c>
      <c r="M501" s="211">
        <f>$D501*L501*_xlfn.XLOOKUP($I501,'Sample Size cal and results'!$B$24:$B$25,'Sample Size cal and results'!$I$24:$I$25)</f>
        <v>11.28631454239745</v>
      </c>
      <c r="N501" s="214">
        <f t="shared" si="92"/>
        <v>68.338181648235235</v>
      </c>
      <c r="O501" s="225" t="str">
        <f t="shared" si="93"/>
        <v>7-8 years</v>
      </c>
      <c r="P501" s="226">
        <f t="shared" si="94"/>
        <v>0.59178082191780823</v>
      </c>
      <c r="Q501" s="227">
        <f>$D501*P501*_xlfn.XLOOKUP($O501,'Sample Size cal and results'!$B$26:$B$27,'Sample Size cal and results'!$I$26:$I$27)</f>
        <v>31.91535064251584</v>
      </c>
      <c r="R501" s="330"/>
    </row>
    <row r="502" spans="1:18" ht="12.75">
      <c r="A502" s="99" t="s">
        <v>146</v>
      </c>
      <c r="B502" s="100">
        <v>41915</v>
      </c>
      <c r="C502" s="100">
        <f t="shared" si="84"/>
        <v>44471</v>
      </c>
      <c r="D502" s="209">
        <v>13</v>
      </c>
      <c r="E502" s="217">
        <f t="shared" si="85"/>
        <v>5.4</v>
      </c>
      <c r="F502" s="218">
        <f t="shared" si="86"/>
        <v>6.4</v>
      </c>
      <c r="G502" s="219">
        <f t="shared" si="87"/>
        <v>6.4</v>
      </c>
      <c r="H502" s="220">
        <f t="shared" si="88"/>
        <v>7.4</v>
      </c>
      <c r="I502" s="257" t="str">
        <f t="shared" si="89"/>
        <v>6-7 years</v>
      </c>
      <c r="J502" s="211">
        <f t="shared" si="90"/>
        <v>0.83835616438356164</v>
      </c>
      <c r="K502" s="258">
        <f>$D502*J502*_xlfn.XLOOKUP($I502,'Sample Size cal and results'!$B$24:$B$25,'Sample Size cal and results'!$H$24:$H$25)</f>
        <v>8.935834606938446</v>
      </c>
      <c r="L502" s="211">
        <f t="shared" si="91"/>
        <v>0.16164383561643836</v>
      </c>
      <c r="M502" s="211">
        <f>$D502*L502*_xlfn.XLOOKUP($I502,'Sample Size cal and results'!$B$24:$B$25,'Sample Size cal and results'!$I$24:$I$25)</f>
        <v>1.7677360126646608</v>
      </c>
      <c r="N502" s="214">
        <f t="shared" si="92"/>
        <v>10.703570619603108</v>
      </c>
      <c r="O502" s="225" t="str">
        <f t="shared" si="93"/>
        <v>7-8 years</v>
      </c>
      <c r="P502" s="226">
        <f t="shared" si="94"/>
        <v>0.59178082191780823</v>
      </c>
      <c r="Q502" s="227">
        <f>$D502*P502*_xlfn.XLOOKUP($O502,'Sample Size cal and results'!$B$26:$B$27,'Sample Size cal and results'!$I$26:$I$27)</f>
        <v>4.998789859671156</v>
      </c>
      <c r="R502" s="330"/>
    </row>
    <row r="503" spans="1:18" ht="12.75">
      <c r="A503" s="99" t="s">
        <v>147</v>
      </c>
      <c r="B503" s="100">
        <v>41914</v>
      </c>
      <c r="C503" s="100">
        <f t="shared" si="84"/>
        <v>44470</v>
      </c>
      <c r="D503" s="209">
        <v>178</v>
      </c>
      <c r="E503" s="217">
        <f t="shared" si="85"/>
        <v>5.41</v>
      </c>
      <c r="F503" s="218">
        <f t="shared" si="86"/>
        <v>6.4</v>
      </c>
      <c r="G503" s="219">
        <f t="shared" si="87"/>
        <v>6.41</v>
      </c>
      <c r="H503" s="220">
        <f t="shared" si="88"/>
        <v>7.4</v>
      </c>
      <c r="I503" s="257" t="str">
        <f t="shared" si="89"/>
        <v>6-7 years</v>
      </c>
      <c r="J503" s="211">
        <f t="shared" si="90"/>
        <v>0.83835616438356164</v>
      </c>
      <c r="K503" s="258">
        <f>$D503*J503*_xlfn.XLOOKUP($I503,'Sample Size cal and results'!$B$24:$B$25,'Sample Size cal and results'!$H$24:$H$25)</f>
        <v>122.35219692577256</v>
      </c>
      <c r="L503" s="211">
        <f t="shared" si="91"/>
        <v>0.16164383561643836</v>
      </c>
      <c r="M503" s="211">
        <f>$D503*L503*_xlfn.XLOOKUP($I503,'Sample Size cal and results'!$B$24:$B$25,'Sample Size cal and results'!$I$24:$I$25)</f>
        <v>24.204385404177664</v>
      </c>
      <c r="N503" s="214">
        <f t="shared" si="92"/>
        <v>146.55658232995023</v>
      </c>
      <c r="O503" s="225" t="str">
        <f t="shared" si="93"/>
        <v>7-8 years</v>
      </c>
      <c r="P503" s="226">
        <f t="shared" si="94"/>
        <v>0.58904109589041098</v>
      </c>
      <c r="Q503" s="227">
        <f>$D503*P503*_xlfn.XLOOKUP($O503,'Sample Size cal and results'!$B$26:$B$27,'Sample Size cal and results'!$I$26:$I$27)</f>
        <v>68.128093992028184</v>
      </c>
      <c r="R503" s="330"/>
    </row>
    <row r="504" spans="1:18" ht="12.75">
      <c r="A504" s="99" t="s">
        <v>49</v>
      </c>
      <c r="B504" s="100">
        <v>41914</v>
      </c>
      <c r="C504" s="100">
        <f t="shared" si="84"/>
        <v>44470</v>
      </c>
      <c r="D504" s="209">
        <v>85</v>
      </c>
      <c r="E504" s="217">
        <f t="shared" si="85"/>
        <v>5.41</v>
      </c>
      <c r="F504" s="218">
        <f t="shared" si="86"/>
        <v>6.4</v>
      </c>
      <c r="G504" s="219">
        <f t="shared" si="87"/>
        <v>6.41</v>
      </c>
      <c r="H504" s="220">
        <f t="shared" si="88"/>
        <v>7.4</v>
      </c>
      <c r="I504" s="257" t="str">
        <f t="shared" si="89"/>
        <v>6-7 years</v>
      </c>
      <c r="J504" s="211">
        <f t="shared" si="90"/>
        <v>0.83835616438356164</v>
      </c>
      <c r="K504" s="258">
        <f>$D504*J504*_xlfn.XLOOKUP($I504,'Sample Size cal and results'!$B$24:$B$25,'Sample Size cal and results'!$H$24:$H$25)</f>
        <v>58.426610891520617</v>
      </c>
      <c r="L504" s="211">
        <f t="shared" si="91"/>
        <v>0.16164383561643836</v>
      </c>
      <c r="M504" s="211">
        <f>$D504*L504*_xlfn.XLOOKUP($I504,'Sample Size cal and results'!$B$24:$B$25,'Sample Size cal and results'!$I$24:$I$25)</f>
        <v>11.558273928961244</v>
      </c>
      <c r="N504" s="214">
        <f t="shared" si="92"/>
        <v>69.984884820481867</v>
      </c>
      <c r="O504" s="225" t="str">
        <f t="shared" si="93"/>
        <v>7-8 years</v>
      </c>
      <c r="P504" s="226">
        <f t="shared" si="94"/>
        <v>0.58904109589041098</v>
      </c>
      <c r="Q504" s="227">
        <f>$D504*P504*_xlfn.XLOOKUP($O504,'Sample Size cal and results'!$B$26:$B$27,'Sample Size cal and results'!$I$26:$I$27)</f>
        <v>32.533078591698853</v>
      </c>
      <c r="R504" s="330"/>
    </row>
    <row r="505" spans="1:18" ht="12.75">
      <c r="A505" s="99" t="s">
        <v>146</v>
      </c>
      <c r="B505" s="100">
        <v>41914</v>
      </c>
      <c r="C505" s="100">
        <f t="shared" si="84"/>
        <v>44470</v>
      </c>
      <c r="D505" s="209">
        <v>29</v>
      </c>
      <c r="E505" s="217">
        <f t="shared" si="85"/>
        <v>5.41</v>
      </c>
      <c r="F505" s="218">
        <f t="shared" si="86"/>
        <v>6.4</v>
      </c>
      <c r="G505" s="219">
        <f t="shared" si="87"/>
        <v>6.41</v>
      </c>
      <c r="H505" s="220">
        <f t="shared" si="88"/>
        <v>7.4</v>
      </c>
      <c r="I505" s="257" t="str">
        <f t="shared" si="89"/>
        <v>6-7 years</v>
      </c>
      <c r="J505" s="211">
        <f t="shared" si="90"/>
        <v>0.83835616438356164</v>
      </c>
      <c r="K505" s="258">
        <f>$D505*J505*_xlfn.XLOOKUP($I505,'Sample Size cal and results'!$B$24:$B$25,'Sample Size cal and results'!$H$24:$H$25)</f>
        <v>19.93378489240115</v>
      </c>
      <c r="L505" s="211">
        <f t="shared" si="91"/>
        <v>0.16164383561643836</v>
      </c>
      <c r="M505" s="211">
        <f>$D505*L505*_xlfn.XLOOKUP($I505,'Sample Size cal and results'!$B$24:$B$25,'Sample Size cal and results'!$I$24:$I$25)</f>
        <v>3.9434111051750125</v>
      </c>
      <c r="N505" s="214">
        <f t="shared" si="92"/>
        <v>23.877195997576163</v>
      </c>
      <c r="O505" s="225" t="str">
        <f t="shared" si="93"/>
        <v>7-8 years</v>
      </c>
      <c r="P505" s="226">
        <f t="shared" si="94"/>
        <v>0.58904109589041098</v>
      </c>
      <c r="Q505" s="227">
        <f>$D505*P505*_xlfn.XLOOKUP($O505,'Sample Size cal and results'!$B$26:$B$27,'Sample Size cal and results'!$I$26:$I$27)</f>
        <v>11.099520931285491</v>
      </c>
      <c r="R505" s="330"/>
    </row>
    <row r="506" spans="1:18" ht="12.75">
      <c r="A506" s="99" t="s">
        <v>147</v>
      </c>
      <c r="B506" s="100">
        <v>41913</v>
      </c>
      <c r="C506" s="100">
        <f t="shared" si="84"/>
        <v>44469</v>
      </c>
      <c r="D506" s="209">
        <v>175</v>
      </c>
      <c r="E506" s="217">
        <f t="shared" si="85"/>
        <v>5.41</v>
      </c>
      <c r="F506" s="218">
        <f t="shared" si="86"/>
        <v>6.41</v>
      </c>
      <c r="G506" s="219">
        <f t="shared" si="87"/>
        <v>6.41</v>
      </c>
      <c r="H506" s="220">
        <f t="shared" si="88"/>
        <v>7.41</v>
      </c>
      <c r="I506" s="257" t="str">
        <f t="shared" si="89"/>
        <v>6-7 years</v>
      </c>
      <c r="J506" s="211">
        <f t="shared" si="90"/>
        <v>0.83835616438356164</v>
      </c>
      <c r="K506" s="258">
        <f>$D506*J506*_xlfn.XLOOKUP($I506,'Sample Size cal and results'!$B$24:$B$25,'Sample Size cal and results'!$H$24:$H$25)</f>
        <v>120.29008124724832</v>
      </c>
      <c r="L506" s="211">
        <f t="shared" si="91"/>
        <v>0.16164383561643836</v>
      </c>
      <c r="M506" s="211">
        <f>$D506*L506*_xlfn.XLOOKUP($I506,'Sample Size cal and results'!$B$24:$B$25,'Sample Size cal and results'!$I$24:$I$25)</f>
        <v>23.796446324331971</v>
      </c>
      <c r="N506" s="214">
        <f t="shared" si="92"/>
        <v>144.08652757158029</v>
      </c>
      <c r="O506" s="225" t="str">
        <f t="shared" si="93"/>
        <v>7-8 years</v>
      </c>
      <c r="P506" s="226">
        <f t="shared" si="94"/>
        <v>0.58630136986301373</v>
      </c>
      <c r="Q506" s="227">
        <f>$D506*P506*_xlfn.XLOOKUP($O506,'Sample Size cal and results'!$B$26:$B$27,'Sample Size cal and results'!$I$26:$I$27)</f>
        <v>66.668333420471797</v>
      </c>
      <c r="R506" s="330"/>
    </row>
    <row r="507" spans="1:18" ht="12.75">
      <c r="A507" s="99" t="s">
        <v>49</v>
      </c>
      <c r="B507" s="100">
        <v>41913</v>
      </c>
      <c r="C507" s="100">
        <f t="shared" si="84"/>
        <v>44469</v>
      </c>
      <c r="D507" s="209">
        <v>67</v>
      </c>
      <c r="E507" s="217">
        <f t="shared" si="85"/>
        <v>5.41</v>
      </c>
      <c r="F507" s="218">
        <f t="shared" si="86"/>
        <v>6.41</v>
      </c>
      <c r="G507" s="219">
        <f t="shared" si="87"/>
        <v>6.41</v>
      </c>
      <c r="H507" s="220">
        <f t="shared" si="88"/>
        <v>7.41</v>
      </c>
      <c r="I507" s="257" t="str">
        <f t="shared" si="89"/>
        <v>6-7 years</v>
      </c>
      <c r="J507" s="211">
        <f t="shared" si="90"/>
        <v>0.83835616438356164</v>
      </c>
      <c r="K507" s="258">
        <f>$D507*J507*_xlfn.XLOOKUP($I507,'Sample Size cal and results'!$B$24:$B$25,'Sample Size cal and results'!$H$24:$H$25)</f>
        <v>46.053916820375072</v>
      </c>
      <c r="L507" s="211">
        <f t="shared" si="91"/>
        <v>0.16164383561643836</v>
      </c>
      <c r="M507" s="211">
        <f>$D507*L507*_xlfn.XLOOKUP($I507,'Sample Size cal and results'!$B$24:$B$25,'Sample Size cal and results'!$I$24:$I$25)</f>
        <v>9.1106394498870973</v>
      </c>
      <c r="N507" s="214">
        <f t="shared" si="92"/>
        <v>55.164556270262167</v>
      </c>
      <c r="O507" s="225" t="str">
        <f t="shared" si="93"/>
        <v>7-8 years</v>
      </c>
      <c r="P507" s="226">
        <f t="shared" si="94"/>
        <v>0.58630136986301373</v>
      </c>
      <c r="Q507" s="227">
        <f>$D507*P507*_xlfn.XLOOKUP($O507,'Sample Size cal and results'!$B$26:$B$27,'Sample Size cal and results'!$I$26:$I$27)</f>
        <v>25.524447652409201</v>
      </c>
      <c r="R507" s="330"/>
    </row>
    <row r="508" spans="1:18" ht="12.75">
      <c r="A508" s="99" t="s">
        <v>146</v>
      </c>
      <c r="B508" s="100">
        <v>41913</v>
      </c>
      <c r="C508" s="100">
        <f t="shared" si="84"/>
        <v>44469</v>
      </c>
      <c r="D508" s="209">
        <v>13</v>
      </c>
      <c r="E508" s="217">
        <f t="shared" si="85"/>
        <v>5.41</v>
      </c>
      <c r="F508" s="218">
        <f t="shared" si="86"/>
        <v>6.41</v>
      </c>
      <c r="G508" s="219">
        <f t="shared" si="87"/>
        <v>6.41</v>
      </c>
      <c r="H508" s="220">
        <f t="shared" si="88"/>
        <v>7.41</v>
      </c>
      <c r="I508" s="257" t="str">
        <f t="shared" si="89"/>
        <v>6-7 years</v>
      </c>
      <c r="J508" s="211">
        <f t="shared" si="90"/>
        <v>0.83835616438356164</v>
      </c>
      <c r="K508" s="258">
        <f>$D508*J508*_xlfn.XLOOKUP($I508,'Sample Size cal and results'!$B$24:$B$25,'Sample Size cal and results'!$H$24:$H$25)</f>
        <v>8.935834606938446</v>
      </c>
      <c r="L508" s="211">
        <f t="shared" si="91"/>
        <v>0.16164383561643836</v>
      </c>
      <c r="M508" s="211">
        <f>$D508*L508*_xlfn.XLOOKUP($I508,'Sample Size cal and results'!$B$24:$B$25,'Sample Size cal and results'!$I$24:$I$25)</f>
        <v>1.7677360126646608</v>
      </c>
      <c r="N508" s="214">
        <f t="shared" si="92"/>
        <v>10.703570619603108</v>
      </c>
      <c r="O508" s="225" t="str">
        <f t="shared" si="93"/>
        <v>7-8 years</v>
      </c>
      <c r="P508" s="226">
        <f t="shared" si="94"/>
        <v>0.58630136986301373</v>
      </c>
      <c r="Q508" s="227">
        <f>$D508*P508*_xlfn.XLOOKUP($O508,'Sample Size cal and results'!$B$26:$B$27,'Sample Size cal and results'!$I$26:$I$27)</f>
        <v>4.9525047683779047</v>
      </c>
      <c r="R508" s="330"/>
    </row>
    <row r="509" spans="1:18" ht="12.75">
      <c r="A509" s="99" t="s">
        <v>146</v>
      </c>
      <c r="B509" s="100">
        <v>41912</v>
      </c>
      <c r="C509" s="100">
        <f t="shared" si="84"/>
        <v>44468</v>
      </c>
      <c r="D509" s="209">
        <v>315</v>
      </c>
      <c r="E509" s="217">
        <f t="shared" si="85"/>
        <v>5.41</v>
      </c>
      <c r="F509" s="218">
        <f t="shared" si="86"/>
        <v>6.41</v>
      </c>
      <c r="G509" s="219">
        <f t="shared" si="87"/>
        <v>6.41</v>
      </c>
      <c r="H509" s="220">
        <f t="shared" si="88"/>
        <v>7.41</v>
      </c>
      <c r="I509" s="257" t="str">
        <f t="shared" si="89"/>
        <v>6-7 years</v>
      </c>
      <c r="J509" s="211">
        <f t="shared" si="90"/>
        <v>0.83835616438356164</v>
      </c>
      <c r="K509" s="258">
        <f>$D509*J509*_xlfn.XLOOKUP($I509,'Sample Size cal and results'!$B$24:$B$25,'Sample Size cal and results'!$H$24:$H$25)</f>
        <v>216.52214624504697</v>
      </c>
      <c r="L509" s="211">
        <f t="shared" si="91"/>
        <v>0.16164383561643836</v>
      </c>
      <c r="M509" s="211">
        <f>$D509*L509*_xlfn.XLOOKUP($I509,'Sample Size cal and results'!$B$24:$B$25,'Sample Size cal and results'!$I$24:$I$25)</f>
        <v>42.833603383797552</v>
      </c>
      <c r="N509" s="214">
        <f t="shared" si="92"/>
        <v>259.35574962884453</v>
      </c>
      <c r="O509" s="225" t="str">
        <f t="shared" si="93"/>
        <v>7-8 years</v>
      </c>
      <c r="P509" s="226">
        <f t="shared" si="94"/>
        <v>0.58356164383561648</v>
      </c>
      <c r="Q509" s="227">
        <f>$D509*P509*_xlfn.XLOOKUP($O509,'Sample Size cal and results'!$B$26:$B$27,'Sample Size cal and results'!$I$26:$I$27)</f>
        <v>119.44223847387329</v>
      </c>
      <c r="R509" s="330"/>
    </row>
    <row r="510" spans="1:18" ht="12.75">
      <c r="A510" s="99" t="s">
        <v>147</v>
      </c>
      <c r="B510" s="100">
        <v>41912</v>
      </c>
      <c r="C510" s="100">
        <f t="shared" si="84"/>
        <v>44468</v>
      </c>
      <c r="D510" s="209">
        <v>76</v>
      </c>
      <c r="E510" s="217">
        <f t="shared" si="85"/>
        <v>5.41</v>
      </c>
      <c r="F510" s="218">
        <f t="shared" si="86"/>
        <v>6.41</v>
      </c>
      <c r="G510" s="219">
        <f t="shared" si="87"/>
        <v>6.41</v>
      </c>
      <c r="H510" s="220">
        <f t="shared" si="88"/>
        <v>7.41</v>
      </c>
      <c r="I510" s="257" t="str">
        <f t="shared" si="89"/>
        <v>6-7 years</v>
      </c>
      <c r="J510" s="211">
        <f t="shared" si="90"/>
        <v>0.83835616438356164</v>
      </c>
      <c r="K510" s="258">
        <f>$D510*J510*_xlfn.XLOOKUP($I510,'Sample Size cal and results'!$B$24:$B$25,'Sample Size cal and results'!$H$24:$H$25)</f>
        <v>52.240263855947838</v>
      </c>
      <c r="L510" s="211">
        <f t="shared" si="91"/>
        <v>0.16164383561643836</v>
      </c>
      <c r="M510" s="211">
        <f>$D510*L510*_xlfn.XLOOKUP($I510,'Sample Size cal and results'!$B$24:$B$25,'Sample Size cal and results'!$I$24:$I$25)</f>
        <v>10.334456689424171</v>
      </c>
      <c r="N510" s="214">
        <f t="shared" si="92"/>
        <v>62.57472054537201</v>
      </c>
      <c r="O510" s="225" t="str">
        <f t="shared" si="93"/>
        <v>7-8 years</v>
      </c>
      <c r="P510" s="226">
        <f t="shared" si="94"/>
        <v>0.58356164383561648</v>
      </c>
      <c r="Q510" s="227">
        <f>$D510*P510*_xlfn.XLOOKUP($O510,'Sample Size cal and results'!$B$26:$B$27,'Sample Size cal and results'!$I$26:$I$27)</f>
        <v>28.81780991750594</v>
      </c>
      <c r="R510" s="330"/>
    </row>
    <row r="511" spans="1:18" ht="12.75">
      <c r="A511" s="99" t="s">
        <v>49</v>
      </c>
      <c r="B511" s="100">
        <v>41912</v>
      </c>
      <c r="C511" s="100">
        <f t="shared" si="84"/>
        <v>44468</v>
      </c>
      <c r="D511" s="209">
        <v>41</v>
      </c>
      <c r="E511" s="217">
        <f t="shared" si="85"/>
        <v>5.41</v>
      </c>
      <c r="F511" s="218">
        <f t="shared" si="86"/>
        <v>6.41</v>
      </c>
      <c r="G511" s="219">
        <f t="shared" si="87"/>
        <v>6.41</v>
      </c>
      <c r="H511" s="220">
        <f t="shared" si="88"/>
        <v>7.41</v>
      </c>
      <c r="I511" s="257" t="str">
        <f t="shared" si="89"/>
        <v>6-7 years</v>
      </c>
      <c r="J511" s="211">
        <f t="shared" si="90"/>
        <v>0.83835616438356164</v>
      </c>
      <c r="K511" s="258">
        <f>$D511*J511*_xlfn.XLOOKUP($I511,'Sample Size cal and results'!$B$24:$B$25,'Sample Size cal and results'!$H$24:$H$25)</f>
        <v>28.182247606498176</v>
      </c>
      <c r="L511" s="211">
        <f t="shared" si="91"/>
        <v>0.16164383561643836</v>
      </c>
      <c r="M511" s="211">
        <f>$D511*L511*_xlfn.XLOOKUP($I511,'Sample Size cal and results'!$B$24:$B$25,'Sample Size cal and results'!$I$24:$I$25)</f>
        <v>5.575167424557776</v>
      </c>
      <c r="N511" s="214">
        <f t="shared" si="92"/>
        <v>33.757415031055956</v>
      </c>
      <c r="O511" s="225" t="str">
        <f t="shared" si="93"/>
        <v>7-8 years</v>
      </c>
      <c r="P511" s="226">
        <f t="shared" si="94"/>
        <v>0.58356164383561648</v>
      </c>
      <c r="Q511" s="227">
        <f>$D511*P511*_xlfn.XLOOKUP($O511,'Sample Size cal and results'!$B$26:$B$27,'Sample Size cal and results'!$I$26:$I$27)</f>
        <v>15.546450087075574</v>
      </c>
      <c r="R511" s="330"/>
    </row>
    <row r="512" spans="1:18" ht="12.75">
      <c r="A512" s="99" t="s">
        <v>49</v>
      </c>
      <c r="B512" s="100">
        <v>41911</v>
      </c>
      <c r="C512" s="100">
        <f t="shared" si="84"/>
        <v>44467</v>
      </c>
      <c r="D512" s="209">
        <v>496</v>
      </c>
      <c r="E512" s="217">
        <f t="shared" si="85"/>
        <v>5.42</v>
      </c>
      <c r="F512" s="218">
        <f t="shared" si="86"/>
        <v>6.41</v>
      </c>
      <c r="G512" s="219">
        <f t="shared" si="87"/>
        <v>6.42</v>
      </c>
      <c r="H512" s="220">
        <f t="shared" si="88"/>
        <v>7.41</v>
      </c>
      <c r="I512" s="257" t="str">
        <f t="shared" si="89"/>
        <v>6-7 years</v>
      </c>
      <c r="J512" s="211">
        <f t="shared" si="90"/>
        <v>0.83835616438356164</v>
      </c>
      <c r="K512" s="258">
        <f>$D512*J512*_xlfn.XLOOKUP($I512,'Sample Size cal and results'!$B$24:$B$25,'Sample Size cal and results'!$H$24:$H$25)</f>
        <v>340.93645884934381</v>
      </c>
      <c r="L512" s="211">
        <f t="shared" si="91"/>
        <v>0.16164383561643836</v>
      </c>
      <c r="M512" s="211">
        <f>$D512*L512*_xlfn.XLOOKUP($I512,'Sample Size cal and results'!$B$24:$B$25,'Sample Size cal and results'!$I$24:$I$25)</f>
        <v>67.445927867820899</v>
      </c>
      <c r="N512" s="214">
        <f t="shared" si="92"/>
        <v>408.38238671716471</v>
      </c>
      <c r="O512" s="225" t="str">
        <f t="shared" si="93"/>
        <v>7-8 years</v>
      </c>
      <c r="P512" s="226">
        <f t="shared" si="94"/>
        <v>0.58082191780821912</v>
      </c>
      <c r="Q512" s="227">
        <f>$D512*P512*_xlfn.XLOOKUP($O512,'Sample Size cal and results'!$B$26:$B$27,'Sample Size cal and results'!$I$26:$I$27)</f>
        <v>187.19115075646059</v>
      </c>
      <c r="R512" s="330"/>
    </row>
    <row r="513" spans="1:18" ht="12.75">
      <c r="A513" s="99" t="s">
        <v>147</v>
      </c>
      <c r="B513" s="100">
        <v>41911</v>
      </c>
      <c r="C513" s="100">
        <f t="shared" si="84"/>
        <v>44467</v>
      </c>
      <c r="D513" s="209">
        <v>67</v>
      </c>
      <c r="E513" s="217">
        <f t="shared" si="85"/>
        <v>5.42</v>
      </c>
      <c r="F513" s="218">
        <f t="shared" si="86"/>
        <v>6.41</v>
      </c>
      <c r="G513" s="219">
        <f t="shared" si="87"/>
        <v>6.42</v>
      </c>
      <c r="H513" s="220">
        <f t="shared" si="88"/>
        <v>7.41</v>
      </c>
      <c r="I513" s="257" t="str">
        <f t="shared" si="89"/>
        <v>6-7 years</v>
      </c>
      <c r="J513" s="211">
        <f t="shared" si="90"/>
        <v>0.83835616438356164</v>
      </c>
      <c r="K513" s="258">
        <f>$D513*J513*_xlfn.XLOOKUP($I513,'Sample Size cal and results'!$B$24:$B$25,'Sample Size cal and results'!$H$24:$H$25)</f>
        <v>46.053916820375072</v>
      </c>
      <c r="L513" s="211">
        <f t="shared" si="91"/>
        <v>0.16164383561643836</v>
      </c>
      <c r="M513" s="211">
        <f>$D513*L513*_xlfn.XLOOKUP($I513,'Sample Size cal and results'!$B$24:$B$25,'Sample Size cal and results'!$I$24:$I$25)</f>
        <v>9.1106394498870973</v>
      </c>
      <c r="N513" s="214">
        <f t="shared" si="92"/>
        <v>55.164556270262167</v>
      </c>
      <c r="O513" s="225" t="str">
        <f t="shared" si="93"/>
        <v>7-8 years</v>
      </c>
      <c r="P513" s="226">
        <f t="shared" si="94"/>
        <v>0.58082191780821912</v>
      </c>
      <c r="Q513" s="227">
        <f>$D513*P513*_xlfn.XLOOKUP($O513,'Sample Size cal and results'!$B$26:$B$27,'Sample Size cal and results'!$I$26:$I$27)</f>
        <v>25.285901412667059</v>
      </c>
      <c r="R513" s="330"/>
    </row>
    <row r="514" spans="1:18" ht="12.75">
      <c r="A514" s="99" t="s">
        <v>146</v>
      </c>
      <c r="B514" s="100">
        <v>41911</v>
      </c>
      <c r="C514" s="100">
        <f t="shared" si="84"/>
        <v>44467</v>
      </c>
      <c r="D514" s="209">
        <v>39</v>
      </c>
      <c r="E514" s="217">
        <f t="shared" si="85"/>
        <v>5.42</v>
      </c>
      <c r="F514" s="218">
        <f t="shared" si="86"/>
        <v>6.41</v>
      </c>
      <c r="G514" s="219">
        <f t="shared" si="87"/>
        <v>6.42</v>
      </c>
      <c r="H514" s="220">
        <f t="shared" si="88"/>
        <v>7.41</v>
      </c>
      <c r="I514" s="257" t="str">
        <f t="shared" si="89"/>
        <v>6-7 years</v>
      </c>
      <c r="J514" s="211">
        <f t="shared" si="90"/>
        <v>0.83835616438356164</v>
      </c>
      <c r="K514" s="258">
        <f>$D514*J514*_xlfn.XLOOKUP($I514,'Sample Size cal and results'!$B$24:$B$25,'Sample Size cal and results'!$H$24:$H$25)</f>
        <v>26.807503820815338</v>
      </c>
      <c r="L514" s="211">
        <f t="shared" si="91"/>
        <v>0.16164383561643836</v>
      </c>
      <c r="M514" s="211">
        <f>$D514*L514*_xlfn.XLOOKUP($I514,'Sample Size cal and results'!$B$24:$B$25,'Sample Size cal and results'!$I$24:$I$25)</f>
        <v>5.3032080379939828</v>
      </c>
      <c r="N514" s="214">
        <f t="shared" si="92"/>
        <v>32.110711858809324</v>
      </c>
      <c r="O514" s="225" t="str">
        <f t="shared" si="93"/>
        <v>7-8 years</v>
      </c>
      <c r="P514" s="226">
        <f t="shared" si="94"/>
        <v>0.58082191780821912</v>
      </c>
      <c r="Q514" s="227">
        <f>$D514*P514*_xlfn.XLOOKUP($O514,'Sample Size cal and results'!$B$26:$B$27,'Sample Size cal and results'!$I$26:$I$27)</f>
        <v>14.718659031253956</v>
      </c>
      <c r="R514" s="330"/>
    </row>
    <row r="515" spans="1:18" ht="12.75">
      <c r="A515" s="99" t="s">
        <v>49</v>
      </c>
      <c r="B515" s="100">
        <v>41910</v>
      </c>
      <c r="C515" s="100">
        <f t="shared" ref="C515:C578" si="95">EDATE(B515,84)-1</f>
        <v>44466</v>
      </c>
      <c r="D515" s="209">
        <v>349</v>
      </c>
      <c r="E515" s="217">
        <f t="shared" ref="E515:E578" si="96">ROUNDDOWN(YEARFRAC($B515,$AB$4,1),2)</f>
        <v>5.42</v>
      </c>
      <c r="F515" s="218">
        <f t="shared" ref="F515:F578" si="97">ROUNDDOWN(YEARFRAC($B515,$AB$5,1),2)</f>
        <v>6.42</v>
      </c>
      <c r="G515" s="219">
        <f t="shared" ref="G515:G578" si="98">ROUNDDOWN(YEARFRAC($B515,$AC$4,1),2)</f>
        <v>6.42</v>
      </c>
      <c r="H515" s="220">
        <f t="shared" ref="H515:H578" si="99">ROUNDDOWN(YEARFRAC($B515,$AC$5,1),2)</f>
        <v>7.42</v>
      </c>
      <c r="I515" s="257" t="str">
        <f t="shared" ref="I515:I578" si="100">IF(DATEDIF($B515,$AB$5,"y")=5,"5-6 years","6-7 years")</f>
        <v>6-7 years</v>
      </c>
      <c r="J515" s="211">
        <f t="shared" ref="J515:J578" si="101">MAX(MIN($AC$7,C515)-MAX($AB$4,$B515,_xlfn.XLOOKUP($A515,$AE$3:$AE$37,$AF$3:$AF$37))+1,0)/365</f>
        <v>0.83835616438356164</v>
      </c>
      <c r="K515" s="258">
        <f>$D515*J515*_xlfn.XLOOKUP($I515,'Sample Size cal and results'!$B$24:$B$25,'Sample Size cal and results'!$H$24:$H$25)</f>
        <v>239.89279060165521</v>
      </c>
      <c r="L515" s="211">
        <f t="shared" ref="L515:L578" si="102">MAX(MIN($AB$5,C515)-MAX($AC$8,$B515,_xlfn.XLOOKUP($A515,$AE$3:$AE$37,$AF$3:$AF$37))+1,0)/365</f>
        <v>0.16164383561643836</v>
      </c>
      <c r="M515" s="211">
        <f>$D515*L515*_xlfn.XLOOKUP($I515,'Sample Size cal and results'!$B$24:$B$25,'Sample Size cal and results'!$I$24:$I$25)</f>
        <v>47.456912955382045</v>
      </c>
      <c r="N515" s="214">
        <f t="shared" ref="N515:N578" si="103">M515+K515</f>
        <v>287.34970355703723</v>
      </c>
      <c r="O515" s="225" t="str">
        <f t="shared" ref="O515:O578" si="104">IF(DATEDIF($B515,$AC$5,"y")=6,"6-7 years","7-8 years")</f>
        <v>7-8 years</v>
      </c>
      <c r="P515" s="226">
        <f t="shared" ref="P515:P578" si="105">MAX(MIN($AC$5,C515)-MAX($AC$4,$B515,_xlfn.XLOOKUP($A515,$AE$3:$AE$37,$AF$3:$AF$37))+1,0)/365</f>
        <v>0.57808219178082187</v>
      </c>
      <c r="Q515" s="227">
        <f>$D515*P515*_xlfn.XLOOKUP($O515,'Sample Size cal and results'!$B$26:$B$27,'Sample Size cal and results'!$I$26:$I$27)</f>
        <v>131.09183991322087</v>
      </c>
      <c r="R515" s="330"/>
    </row>
    <row r="516" spans="1:18" ht="12.75">
      <c r="A516" s="99" t="s">
        <v>147</v>
      </c>
      <c r="B516" s="100">
        <v>41910</v>
      </c>
      <c r="C516" s="100">
        <f t="shared" si="95"/>
        <v>44466</v>
      </c>
      <c r="D516" s="209">
        <v>84</v>
      </c>
      <c r="E516" s="217">
        <f t="shared" si="96"/>
        <v>5.42</v>
      </c>
      <c r="F516" s="218">
        <f t="shared" si="97"/>
        <v>6.42</v>
      </c>
      <c r="G516" s="219">
        <f t="shared" si="98"/>
        <v>6.42</v>
      </c>
      <c r="H516" s="220">
        <f t="shared" si="99"/>
        <v>7.42</v>
      </c>
      <c r="I516" s="257" t="str">
        <f t="shared" si="100"/>
        <v>6-7 years</v>
      </c>
      <c r="J516" s="211">
        <f t="shared" si="101"/>
        <v>0.83835616438356164</v>
      </c>
      <c r="K516" s="258">
        <f>$D516*J516*_xlfn.XLOOKUP($I516,'Sample Size cal and results'!$B$24:$B$25,'Sample Size cal and results'!$H$24:$H$25)</f>
        <v>57.739238998679191</v>
      </c>
      <c r="L516" s="211">
        <f t="shared" si="102"/>
        <v>0.16164383561643836</v>
      </c>
      <c r="M516" s="211">
        <f>$D516*L516*_xlfn.XLOOKUP($I516,'Sample Size cal and results'!$B$24:$B$25,'Sample Size cal and results'!$I$24:$I$25)</f>
        <v>11.422294235679347</v>
      </c>
      <c r="N516" s="214">
        <f t="shared" si="103"/>
        <v>69.161533234358544</v>
      </c>
      <c r="O516" s="225" t="str">
        <f t="shared" si="104"/>
        <v>7-8 years</v>
      </c>
      <c r="P516" s="226">
        <f t="shared" si="105"/>
        <v>0.57808219178082187</v>
      </c>
      <c r="Q516" s="227">
        <f>$D516*P516*_xlfn.XLOOKUP($O516,'Sample Size cal and results'!$B$26:$B$27,'Sample Size cal and results'!$I$26:$I$27)</f>
        <v>31.552190695445713</v>
      </c>
      <c r="R516" s="330"/>
    </row>
    <row r="517" spans="1:18" ht="12.75">
      <c r="A517" s="99" t="s">
        <v>146</v>
      </c>
      <c r="B517" s="100">
        <v>41910</v>
      </c>
      <c r="C517" s="100">
        <f t="shared" si="95"/>
        <v>44466</v>
      </c>
      <c r="D517" s="209">
        <v>51</v>
      </c>
      <c r="E517" s="217">
        <f t="shared" si="96"/>
        <v>5.42</v>
      </c>
      <c r="F517" s="218">
        <f t="shared" si="97"/>
        <v>6.42</v>
      </c>
      <c r="G517" s="219">
        <f t="shared" si="98"/>
        <v>6.42</v>
      </c>
      <c r="H517" s="220">
        <f t="shared" si="99"/>
        <v>7.42</v>
      </c>
      <c r="I517" s="257" t="str">
        <f t="shared" si="100"/>
        <v>6-7 years</v>
      </c>
      <c r="J517" s="211">
        <f t="shared" si="101"/>
        <v>0.83835616438356164</v>
      </c>
      <c r="K517" s="258">
        <f>$D517*J517*_xlfn.XLOOKUP($I517,'Sample Size cal and results'!$B$24:$B$25,'Sample Size cal and results'!$H$24:$H$25)</f>
        <v>35.055966534912365</v>
      </c>
      <c r="L517" s="211">
        <f t="shared" si="102"/>
        <v>0.16164383561643836</v>
      </c>
      <c r="M517" s="211">
        <f>$D517*L517*_xlfn.XLOOKUP($I517,'Sample Size cal and results'!$B$24:$B$25,'Sample Size cal and results'!$I$24:$I$25)</f>
        <v>6.9349643573767468</v>
      </c>
      <c r="N517" s="214">
        <f t="shared" si="103"/>
        <v>41.990930892289114</v>
      </c>
      <c r="O517" s="225" t="str">
        <f t="shared" si="104"/>
        <v>7-8 years</v>
      </c>
      <c r="P517" s="226">
        <f t="shared" si="105"/>
        <v>0.57808219178082187</v>
      </c>
      <c r="Q517" s="227">
        <f>$D517*P517*_xlfn.XLOOKUP($O517,'Sample Size cal and results'!$B$26:$B$27,'Sample Size cal and results'!$I$26:$I$27)</f>
        <v>19.156687207949183</v>
      </c>
      <c r="R517" s="330"/>
    </row>
    <row r="518" spans="1:18" ht="12.75">
      <c r="A518" s="99" t="s">
        <v>48</v>
      </c>
      <c r="B518" s="100">
        <v>41909</v>
      </c>
      <c r="C518" s="100">
        <f t="shared" si="95"/>
        <v>44465</v>
      </c>
      <c r="D518" s="209">
        <v>406</v>
      </c>
      <c r="E518" s="217">
        <f t="shared" si="96"/>
        <v>5.42</v>
      </c>
      <c r="F518" s="218">
        <f t="shared" si="97"/>
        <v>6.42</v>
      </c>
      <c r="G518" s="219">
        <f t="shared" si="98"/>
        <v>6.42</v>
      </c>
      <c r="H518" s="220">
        <f t="shared" si="99"/>
        <v>7.42</v>
      </c>
      <c r="I518" s="257" t="str">
        <f t="shared" si="100"/>
        <v>6-7 years</v>
      </c>
      <c r="J518" s="211">
        <f t="shared" si="101"/>
        <v>0.83835616438356164</v>
      </c>
      <c r="K518" s="258">
        <f>$D518*J518*_xlfn.XLOOKUP($I518,'Sample Size cal and results'!$B$24:$B$25,'Sample Size cal and results'!$H$24:$H$25)</f>
        <v>279.07298849361609</v>
      </c>
      <c r="L518" s="211">
        <f t="shared" si="102"/>
        <v>0.16164383561643836</v>
      </c>
      <c r="M518" s="211">
        <f>$D518*L518*_xlfn.XLOOKUP($I518,'Sample Size cal and results'!$B$24:$B$25,'Sample Size cal and results'!$I$24:$I$25)</f>
        <v>55.207755472450181</v>
      </c>
      <c r="N518" s="214">
        <f t="shared" si="103"/>
        <v>334.28074396606627</v>
      </c>
      <c r="O518" s="225" t="str">
        <f t="shared" si="104"/>
        <v>7-8 years</v>
      </c>
      <c r="P518" s="226">
        <f t="shared" si="105"/>
        <v>0.57534246575342463</v>
      </c>
      <c r="Q518" s="227">
        <f>$D518*P518*_xlfn.XLOOKUP($O518,'Sample Size cal and results'!$B$26:$B$27,'Sample Size cal and results'!$I$26:$I$27)</f>
        <v>151.77949552548529</v>
      </c>
      <c r="R518" s="330"/>
    </row>
    <row r="519" spans="1:18" ht="12.75">
      <c r="A519" s="99" t="s">
        <v>49</v>
      </c>
      <c r="B519" s="100">
        <v>41909</v>
      </c>
      <c r="C519" s="100">
        <f t="shared" si="95"/>
        <v>44465</v>
      </c>
      <c r="D519" s="209">
        <v>350</v>
      </c>
      <c r="E519" s="217">
        <f t="shared" si="96"/>
        <v>5.42</v>
      </c>
      <c r="F519" s="218">
        <f t="shared" si="97"/>
        <v>6.42</v>
      </c>
      <c r="G519" s="219">
        <f t="shared" si="98"/>
        <v>6.42</v>
      </c>
      <c r="H519" s="220">
        <f t="shared" si="99"/>
        <v>7.42</v>
      </c>
      <c r="I519" s="257" t="str">
        <f t="shared" si="100"/>
        <v>6-7 years</v>
      </c>
      <c r="J519" s="211">
        <f t="shared" si="101"/>
        <v>0.83835616438356164</v>
      </c>
      <c r="K519" s="258">
        <f>$D519*J519*_xlfn.XLOOKUP($I519,'Sample Size cal and results'!$B$24:$B$25,'Sample Size cal and results'!$H$24:$H$25)</f>
        <v>240.58016249449665</v>
      </c>
      <c r="L519" s="211">
        <f t="shared" si="102"/>
        <v>0.16164383561643836</v>
      </c>
      <c r="M519" s="211">
        <f>$D519*L519*_xlfn.XLOOKUP($I519,'Sample Size cal and results'!$B$24:$B$25,'Sample Size cal and results'!$I$24:$I$25)</f>
        <v>47.592892648663941</v>
      </c>
      <c r="N519" s="214">
        <f t="shared" si="103"/>
        <v>288.17305514316058</v>
      </c>
      <c r="O519" s="225" t="str">
        <f t="shared" si="104"/>
        <v>7-8 years</v>
      </c>
      <c r="P519" s="226">
        <f t="shared" si="105"/>
        <v>0.57534246575342463</v>
      </c>
      <c r="Q519" s="227">
        <f>$D519*P519*_xlfn.XLOOKUP($O519,'Sample Size cal and results'!$B$26:$B$27,'Sample Size cal and results'!$I$26:$I$27)</f>
        <v>130.84439269438388</v>
      </c>
      <c r="R519" s="330"/>
    </row>
    <row r="520" spans="1:18" ht="12.75">
      <c r="A520" s="99" t="s">
        <v>147</v>
      </c>
      <c r="B520" s="100">
        <v>41909</v>
      </c>
      <c r="C520" s="100">
        <f t="shared" si="95"/>
        <v>44465</v>
      </c>
      <c r="D520" s="209">
        <v>91</v>
      </c>
      <c r="E520" s="217">
        <f t="shared" si="96"/>
        <v>5.42</v>
      </c>
      <c r="F520" s="218">
        <f t="shared" si="97"/>
        <v>6.42</v>
      </c>
      <c r="G520" s="219">
        <f t="shared" si="98"/>
        <v>6.42</v>
      </c>
      <c r="H520" s="220">
        <f t="shared" si="99"/>
        <v>7.42</v>
      </c>
      <c r="I520" s="257" t="str">
        <f t="shared" si="100"/>
        <v>6-7 years</v>
      </c>
      <c r="J520" s="211">
        <f t="shared" si="101"/>
        <v>0.83835616438356164</v>
      </c>
      <c r="K520" s="258">
        <f>$D520*J520*_xlfn.XLOOKUP($I520,'Sample Size cal and results'!$B$24:$B$25,'Sample Size cal and results'!$H$24:$H$25)</f>
        <v>62.550842248569118</v>
      </c>
      <c r="L520" s="211">
        <f t="shared" si="102"/>
        <v>0.16164383561643836</v>
      </c>
      <c r="M520" s="211">
        <f>$D520*L520*_xlfn.XLOOKUP($I520,'Sample Size cal and results'!$B$24:$B$25,'Sample Size cal and results'!$I$24:$I$25)</f>
        <v>12.374152088652625</v>
      </c>
      <c r="N520" s="214">
        <f t="shared" si="103"/>
        <v>74.924994337221747</v>
      </c>
      <c r="O520" s="225" t="str">
        <f t="shared" si="104"/>
        <v>7-8 years</v>
      </c>
      <c r="P520" s="226">
        <f t="shared" si="105"/>
        <v>0.57534246575342463</v>
      </c>
      <c r="Q520" s="227">
        <f>$D520*P520*_xlfn.XLOOKUP($O520,'Sample Size cal and results'!$B$26:$B$27,'Sample Size cal and results'!$I$26:$I$27)</f>
        <v>34.019542100539809</v>
      </c>
      <c r="R520" s="330"/>
    </row>
    <row r="521" spans="1:18" ht="12.75">
      <c r="A521" s="99" t="s">
        <v>146</v>
      </c>
      <c r="B521" s="100">
        <v>41909</v>
      </c>
      <c r="C521" s="100">
        <f t="shared" si="95"/>
        <v>44465</v>
      </c>
      <c r="D521" s="209">
        <v>39</v>
      </c>
      <c r="E521" s="217">
        <f t="shared" si="96"/>
        <v>5.42</v>
      </c>
      <c r="F521" s="218">
        <f t="shared" si="97"/>
        <v>6.42</v>
      </c>
      <c r="G521" s="219">
        <f t="shared" si="98"/>
        <v>6.42</v>
      </c>
      <c r="H521" s="220">
        <f t="shared" si="99"/>
        <v>7.42</v>
      </c>
      <c r="I521" s="257" t="str">
        <f t="shared" si="100"/>
        <v>6-7 years</v>
      </c>
      <c r="J521" s="211">
        <f t="shared" si="101"/>
        <v>0.83835616438356164</v>
      </c>
      <c r="K521" s="258">
        <f>$D521*J521*_xlfn.XLOOKUP($I521,'Sample Size cal and results'!$B$24:$B$25,'Sample Size cal and results'!$H$24:$H$25)</f>
        <v>26.807503820815338</v>
      </c>
      <c r="L521" s="211">
        <f t="shared" si="102"/>
        <v>0.16164383561643836</v>
      </c>
      <c r="M521" s="211">
        <f>$D521*L521*_xlfn.XLOOKUP($I521,'Sample Size cal and results'!$B$24:$B$25,'Sample Size cal and results'!$I$24:$I$25)</f>
        <v>5.3032080379939828</v>
      </c>
      <c r="N521" s="214">
        <f t="shared" si="103"/>
        <v>32.110711858809324</v>
      </c>
      <c r="O521" s="225" t="str">
        <f t="shared" si="104"/>
        <v>7-8 years</v>
      </c>
      <c r="P521" s="226">
        <f t="shared" si="105"/>
        <v>0.57534246575342463</v>
      </c>
      <c r="Q521" s="227">
        <f>$D521*P521*_xlfn.XLOOKUP($O521,'Sample Size cal and results'!$B$26:$B$27,'Sample Size cal and results'!$I$26:$I$27)</f>
        <v>14.579803757374204</v>
      </c>
      <c r="R521" s="330"/>
    </row>
    <row r="522" spans="1:18" ht="12.75">
      <c r="A522" s="99" t="s">
        <v>48</v>
      </c>
      <c r="B522" s="100">
        <v>41908</v>
      </c>
      <c r="C522" s="100">
        <f t="shared" si="95"/>
        <v>44464</v>
      </c>
      <c r="D522" s="209">
        <v>388</v>
      </c>
      <c r="E522" s="217">
        <f t="shared" si="96"/>
        <v>5.42</v>
      </c>
      <c r="F522" s="218">
        <f t="shared" si="97"/>
        <v>6.42</v>
      </c>
      <c r="G522" s="219">
        <f t="shared" si="98"/>
        <v>6.42</v>
      </c>
      <c r="H522" s="220">
        <f t="shared" si="99"/>
        <v>7.42</v>
      </c>
      <c r="I522" s="257" t="str">
        <f t="shared" si="100"/>
        <v>6-7 years</v>
      </c>
      <c r="J522" s="211">
        <f t="shared" si="101"/>
        <v>0.83835616438356164</v>
      </c>
      <c r="K522" s="258">
        <f>$D522*J522*_xlfn.XLOOKUP($I522,'Sample Size cal and results'!$B$24:$B$25,'Sample Size cal and results'!$H$24:$H$25)</f>
        <v>266.70029442247056</v>
      </c>
      <c r="L522" s="211">
        <f t="shared" si="102"/>
        <v>0.16164383561643836</v>
      </c>
      <c r="M522" s="211">
        <f>$D522*L522*_xlfn.XLOOKUP($I522,'Sample Size cal and results'!$B$24:$B$25,'Sample Size cal and results'!$I$24:$I$25)</f>
        <v>52.760120993376027</v>
      </c>
      <c r="N522" s="214">
        <f t="shared" si="103"/>
        <v>319.46041541584657</v>
      </c>
      <c r="O522" s="225" t="str">
        <f t="shared" si="104"/>
        <v>7-8 years</v>
      </c>
      <c r="P522" s="226">
        <f t="shared" si="105"/>
        <v>0.57260273972602738</v>
      </c>
      <c r="Q522" s="227">
        <f>$D522*P522*_xlfn.XLOOKUP($O522,'Sample Size cal and results'!$B$26:$B$27,'Sample Size cal and results'!$I$26:$I$27)</f>
        <v>144.35963935201332</v>
      </c>
      <c r="R522" s="330"/>
    </row>
    <row r="523" spans="1:18" ht="12.75">
      <c r="A523" s="99" t="s">
        <v>147</v>
      </c>
      <c r="B523" s="100">
        <v>41908</v>
      </c>
      <c r="C523" s="100">
        <f t="shared" si="95"/>
        <v>44464</v>
      </c>
      <c r="D523" s="209">
        <v>89</v>
      </c>
      <c r="E523" s="217">
        <f t="shared" si="96"/>
        <v>5.42</v>
      </c>
      <c r="F523" s="218">
        <f t="shared" si="97"/>
        <v>6.42</v>
      </c>
      <c r="G523" s="219">
        <f t="shared" si="98"/>
        <v>6.42</v>
      </c>
      <c r="H523" s="220">
        <f t="shared" si="99"/>
        <v>7.42</v>
      </c>
      <c r="I523" s="257" t="str">
        <f t="shared" si="100"/>
        <v>6-7 years</v>
      </c>
      <c r="J523" s="211">
        <f t="shared" si="101"/>
        <v>0.83835616438356164</v>
      </c>
      <c r="K523" s="258">
        <f>$D523*J523*_xlfn.XLOOKUP($I523,'Sample Size cal and results'!$B$24:$B$25,'Sample Size cal and results'!$H$24:$H$25)</f>
        <v>61.17609846288628</v>
      </c>
      <c r="L523" s="211">
        <f t="shared" si="102"/>
        <v>0.16164383561643836</v>
      </c>
      <c r="M523" s="211">
        <f>$D523*L523*_xlfn.XLOOKUP($I523,'Sample Size cal and results'!$B$24:$B$25,'Sample Size cal and results'!$I$24:$I$25)</f>
        <v>12.102192702088832</v>
      </c>
      <c r="N523" s="214">
        <f t="shared" si="103"/>
        <v>73.278291164975116</v>
      </c>
      <c r="O523" s="225" t="str">
        <f t="shared" si="104"/>
        <v>7-8 years</v>
      </c>
      <c r="P523" s="226">
        <f t="shared" si="105"/>
        <v>0.57260273972602738</v>
      </c>
      <c r="Q523" s="227">
        <f>$D523*P523*_xlfn.XLOOKUP($O523,'Sample Size cal and results'!$B$26:$B$27,'Sample Size cal and results'!$I$26:$I$27)</f>
        <v>33.113422428683464</v>
      </c>
      <c r="R523" s="330"/>
    </row>
    <row r="524" spans="1:18" ht="12.75">
      <c r="A524" s="99" t="s">
        <v>146</v>
      </c>
      <c r="B524" s="100">
        <v>41908</v>
      </c>
      <c r="C524" s="100">
        <f t="shared" si="95"/>
        <v>44464</v>
      </c>
      <c r="D524" s="209">
        <v>35</v>
      </c>
      <c r="E524" s="217">
        <f t="shared" si="96"/>
        <v>5.42</v>
      </c>
      <c r="F524" s="218">
        <f t="shared" si="97"/>
        <v>6.42</v>
      </c>
      <c r="G524" s="219">
        <f t="shared" si="98"/>
        <v>6.42</v>
      </c>
      <c r="H524" s="220">
        <f t="shared" si="99"/>
        <v>7.42</v>
      </c>
      <c r="I524" s="257" t="str">
        <f t="shared" si="100"/>
        <v>6-7 years</v>
      </c>
      <c r="J524" s="211">
        <f t="shared" si="101"/>
        <v>0.83835616438356164</v>
      </c>
      <c r="K524" s="258">
        <f>$D524*J524*_xlfn.XLOOKUP($I524,'Sample Size cal and results'!$B$24:$B$25,'Sample Size cal and results'!$H$24:$H$25)</f>
        <v>24.058016249449665</v>
      </c>
      <c r="L524" s="211">
        <f t="shared" si="102"/>
        <v>0.16164383561643836</v>
      </c>
      <c r="M524" s="211">
        <f>$D524*L524*_xlfn.XLOOKUP($I524,'Sample Size cal and results'!$B$24:$B$25,'Sample Size cal and results'!$I$24:$I$25)</f>
        <v>4.7592892648663945</v>
      </c>
      <c r="N524" s="214">
        <f t="shared" si="103"/>
        <v>28.817305514316061</v>
      </c>
      <c r="O524" s="225" t="str">
        <f t="shared" si="104"/>
        <v>7-8 years</v>
      </c>
      <c r="P524" s="226">
        <f t="shared" si="105"/>
        <v>0.57260273972602738</v>
      </c>
      <c r="Q524" s="227">
        <f>$D524*P524*_xlfn.XLOOKUP($O524,'Sample Size cal and results'!$B$26:$B$27,'Sample Size cal and results'!$I$26:$I$27)</f>
        <v>13.022132415774395</v>
      </c>
      <c r="R524" s="330"/>
    </row>
    <row r="525" spans="1:18" ht="12.75">
      <c r="A525" s="99" t="s">
        <v>147</v>
      </c>
      <c r="B525" s="100">
        <v>41907</v>
      </c>
      <c r="C525" s="100">
        <f t="shared" si="95"/>
        <v>44463</v>
      </c>
      <c r="D525" s="209">
        <v>92</v>
      </c>
      <c r="E525" s="217">
        <f t="shared" si="96"/>
        <v>5.43</v>
      </c>
      <c r="F525" s="218">
        <f t="shared" si="97"/>
        <v>6.42</v>
      </c>
      <c r="G525" s="219">
        <f t="shared" si="98"/>
        <v>6.43</v>
      </c>
      <c r="H525" s="220">
        <f t="shared" si="99"/>
        <v>7.42</v>
      </c>
      <c r="I525" s="257" t="str">
        <f t="shared" si="100"/>
        <v>6-7 years</v>
      </c>
      <c r="J525" s="211">
        <f t="shared" si="101"/>
        <v>0.83835616438356164</v>
      </c>
      <c r="K525" s="258">
        <f>$D525*J525*_xlfn.XLOOKUP($I525,'Sample Size cal and results'!$B$24:$B$25,'Sample Size cal and results'!$H$24:$H$25)</f>
        <v>63.238214141410545</v>
      </c>
      <c r="L525" s="211">
        <f t="shared" si="102"/>
        <v>0.16164383561643836</v>
      </c>
      <c r="M525" s="211">
        <f>$D525*L525*_xlfn.XLOOKUP($I525,'Sample Size cal and results'!$B$24:$B$25,'Sample Size cal and results'!$I$24:$I$25)</f>
        <v>12.510131781934522</v>
      </c>
      <c r="N525" s="214">
        <f t="shared" si="103"/>
        <v>75.74834592334507</v>
      </c>
      <c r="O525" s="225" t="str">
        <f t="shared" si="104"/>
        <v>7-8 years</v>
      </c>
      <c r="P525" s="226">
        <f t="shared" si="105"/>
        <v>0.56986301369863013</v>
      </c>
      <c r="Q525" s="227">
        <f>$D525*P525*_xlfn.XLOOKUP($O525,'Sample Size cal and results'!$B$26:$B$27,'Sample Size cal and results'!$I$26:$I$27)</f>
        <v>34.065827191833058</v>
      </c>
      <c r="R525" s="330"/>
    </row>
    <row r="526" spans="1:18" ht="12.75">
      <c r="A526" s="99" t="s">
        <v>146</v>
      </c>
      <c r="B526" s="100">
        <v>41907</v>
      </c>
      <c r="C526" s="100">
        <f t="shared" si="95"/>
        <v>44463</v>
      </c>
      <c r="D526" s="209">
        <v>55</v>
      </c>
      <c r="E526" s="217">
        <f t="shared" si="96"/>
        <v>5.43</v>
      </c>
      <c r="F526" s="218">
        <f t="shared" si="97"/>
        <v>6.42</v>
      </c>
      <c r="G526" s="219">
        <f t="shared" si="98"/>
        <v>6.43</v>
      </c>
      <c r="H526" s="220">
        <f t="shared" si="99"/>
        <v>7.42</v>
      </c>
      <c r="I526" s="257" t="str">
        <f t="shared" si="100"/>
        <v>6-7 years</v>
      </c>
      <c r="J526" s="211">
        <f t="shared" si="101"/>
        <v>0.83835616438356164</v>
      </c>
      <c r="K526" s="258">
        <f>$D526*J526*_xlfn.XLOOKUP($I526,'Sample Size cal and results'!$B$24:$B$25,'Sample Size cal and results'!$H$24:$H$25)</f>
        <v>37.805454106278042</v>
      </c>
      <c r="L526" s="211">
        <f t="shared" si="102"/>
        <v>0.16164383561643836</v>
      </c>
      <c r="M526" s="211">
        <f>$D526*L526*_xlfn.XLOOKUP($I526,'Sample Size cal and results'!$B$24:$B$25,'Sample Size cal and results'!$I$24:$I$25)</f>
        <v>7.4788831305043333</v>
      </c>
      <c r="N526" s="214">
        <f t="shared" si="103"/>
        <v>45.284337236782378</v>
      </c>
      <c r="O526" s="225" t="str">
        <f t="shared" si="104"/>
        <v>7-8 years</v>
      </c>
      <c r="P526" s="226">
        <f t="shared" si="105"/>
        <v>0.56986301369863013</v>
      </c>
      <c r="Q526" s="227">
        <f>$D526*P526*_xlfn.XLOOKUP($O526,'Sample Size cal and results'!$B$26:$B$27,'Sample Size cal and results'!$I$26:$I$27)</f>
        <v>20.365440169030634</v>
      </c>
      <c r="R526" s="330"/>
    </row>
    <row r="527" spans="1:18" ht="12.75">
      <c r="A527" s="99" t="s">
        <v>48</v>
      </c>
      <c r="B527" s="100">
        <v>41907</v>
      </c>
      <c r="C527" s="100">
        <f t="shared" si="95"/>
        <v>44463</v>
      </c>
      <c r="D527" s="209">
        <v>19</v>
      </c>
      <c r="E527" s="217">
        <f t="shared" si="96"/>
        <v>5.43</v>
      </c>
      <c r="F527" s="218">
        <f t="shared" si="97"/>
        <v>6.42</v>
      </c>
      <c r="G527" s="219">
        <f t="shared" si="98"/>
        <v>6.43</v>
      </c>
      <c r="H527" s="220">
        <f t="shared" si="99"/>
        <v>7.42</v>
      </c>
      <c r="I527" s="257" t="str">
        <f t="shared" si="100"/>
        <v>6-7 years</v>
      </c>
      <c r="J527" s="211">
        <f t="shared" si="101"/>
        <v>0.83835616438356164</v>
      </c>
      <c r="K527" s="258">
        <f>$D527*J527*_xlfn.XLOOKUP($I527,'Sample Size cal and results'!$B$24:$B$25,'Sample Size cal and results'!$H$24:$H$25)</f>
        <v>13.060065963986959</v>
      </c>
      <c r="L527" s="211">
        <f t="shared" si="102"/>
        <v>0.16164383561643836</v>
      </c>
      <c r="M527" s="211">
        <f>$D527*L527*_xlfn.XLOOKUP($I527,'Sample Size cal and results'!$B$24:$B$25,'Sample Size cal and results'!$I$24:$I$25)</f>
        <v>2.5836141723560426</v>
      </c>
      <c r="N527" s="214">
        <f t="shared" si="103"/>
        <v>15.643680136343002</v>
      </c>
      <c r="O527" s="225" t="str">
        <f t="shared" si="104"/>
        <v>7-8 years</v>
      </c>
      <c r="P527" s="226">
        <f t="shared" si="105"/>
        <v>0.56986301369863013</v>
      </c>
      <c r="Q527" s="227">
        <f>$D527*P527*_xlfn.XLOOKUP($O527,'Sample Size cal and results'!$B$26:$B$27,'Sample Size cal and results'!$I$26:$I$27)</f>
        <v>7.035333876574219</v>
      </c>
      <c r="R527" s="330"/>
    </row>
    <row r="528" spans="1:18" ht="12.75">
      <c r="A528" s="99" t="s">
        <v>147</v>
      </c>
      <c r="B528" s="100">
        <v>41906</v>
      </c>
      <c r="C528" s="100">
        <f t="shared" si="95"/>
        <v>44462</v>
      </c>
      <c r="D528" s="209">
        <v>96</v>
      </c>
      <c r="E528" s="217">
        <f t="shared" si="96"/>
        <v>5.43</v>
      </c>
      <c r="F528" s="218">
        <f t="shared" si="97"/>
        <v>6.43</v>
      </c>
      <c r="G528" s="219">
        <f t="shared" si="98"/>
        <v>6.43</v>
      </c>
      <c r="H528" s="220">
        <f t="shared" si="99"/>
        <v>7.43</v>
      </c>
      <c r="I528" s="257" t="str">
        <f t="shared" si="100"/>
        <v>6-7 years</v>
      </c>
      <c r="J528" s="211">
        <f t="shared" si="101"/>
        <v>0.83835616438356164</v>
      </c>
      <c r="K528" s="258">
        <f>$D528*J528*_xlfn.XLOOKUP($I528,'Sample Size cal and results'!$B$24:$B$25,'Sample Size cal and results'!$H$24:$H$25)</f>
        <v>65.987701712776214</v>
      </c>
      <c r="L528" s="211">
        <f t="shared" si="102"/>
        <v>0.16164383561643836</v>
      </c>
      <c r="M528" s="211">
        <f>$D528*L528*_xlfn.XLOOKUP($I528,'Sample Size cal and results'!$B$24:$B$25,'Sample Size cal and results'!$I$24:$I$25)</f>
        <v>13.05405055506211</v>
      </c>
      <c r="N528" s="214">
        <f t="shared" si="103"/>
        <v>79.041752267838319</v>
      </c>
      <c r="O528" s="225" t="str">
        <f t="shared" si="104"/>
        <v>7-8 years</v>
      </c>
      <c r="P528" s="226">
        <f t="shared" si="105"/>
        <v>0.56712328767123288</v>
      </c>
      <c r="Q528" s="227">
        <f>$D528*P528*_xlfn.XLOOKUP($O528,'Sample Size cal and results'!$B$26:$B$27,'Sample Size cal and results'!$I$26:$I$27)</f>
        <v>35.37605131459587</v>
      </c>
      <c r="R528" s="330"/>
    </row>
    <row r="529" spans="1:18" ht="12.75">
      <c r="A529" s="99" t="s">
        <v>146</v>
      </c>
      <c r="B529" s="100">
        <v>41906</v>
      </c>
      <c r="C529" s="100">
        <f t="shared" si="95"/>
        <v>44462</v>
      </c>
      <c r="D529" s="209">
        <v>41</v>
      </c>
      <c r="E529" s="217">
        <f t="shared" si="96"/>
        <v>5.43</v>
      </c>
      <c r="F529" s="218">
        <f t="shared" si="97"/>
        <v>6.43</v>
      </c>
      <c r="G529" s="219">
        <f t="shared" si="98"/>
        <v>6.43</v>
      </c>
      <c r="H529" s="220">
        <f t="shared" si="99"/>
        <v>7.43</v>
      </c>
      <c r="I529" s="257" t="str">
        <f t="shared" si="100"/>
        <v>6-7 years</v>
      </c>
      <c r="J529" s="211">
        <f t="shared" si="101"/>
        <v>0.83835616438356164</v>
      </c>
      <c r="K529" s="258">
        <f>$D529*J529*_xlfn.XLOOKUP($I529,'Sample Size cal and results'!$B$24:$B$25,'Sample Size cal and results'!$H$24:$H$25)</f>
        <v>28.182247606498176</v>
      </c>
      <c r="L529" s="211">
        <f t="shared" si="102"/>
        <v>0.16164383561643836</v>
      </c>
      <c r="M529" s="211">
        <f>$D529*L529*_xlfn.XLOOKUP($I529,'Sample Size cal and results'!$B$24:$B$25,'Sample Size cal and results'!$I$24:$I$25)</f>
        <v>5.575167424557776</v>
      </c>
      <c r="N529" s="214">
        <f t="shared" si="103"/>
        <v>33.757415031055956</v>
      </c>
      <c r="O529" s="225" t="str">
        <f t="shared" si="104"/>
        <v>7-8 years</v>
      </c>
      <c r="P529" s="226">
        <f t="shared" si="105"/>
        <v>0.56712328767123288</v>
      </c>
      <c r="Q529" s="227">
        <f>$D529*P529*_xlfn.XLOOKUP($O529,'Sample Size cal and results'!$B$26:$B$27,'Sample Size cal and results'!$I$26:$I$27)</f>
        <v>15.108521915608653</v>
      </c>
      <c r="R529" s="330"/>
    </row>
    <row r="530" spans="1:18" ht="12.75">
      <c r="A530" s="99" t="s">
        <v>48</v>
      </c>
      <c r="B530" s="100">
        <v>41906</v>
      </c>
      <c r="C530" s="100">
        <f t="shared" si="95"/>
        <v>44462</v>
      </c>
      <c r="D530" s="209">
        <v>19</v>
      </c>
      <c r="E530" s="217">
        <f t="shared" si="96"/>
        <v>5.43</v>
      </c>
      <c r="F530" s="218">
        <f t="shared" si="97"/>
        <v>6.43</v>
      </c>
      <c r="G530" s="219">
        <f t="shared" si="98"/>
        <v>6.43</v>
      </c>
      <c r="H530" s="220">
        <f t="shared" si="99"/>
        <v>7.43</v>
      </c>
      <c r="I530" s="257" t="str">
        <f t="shared" si="100"/>
        <v>6-7 years</v>
      </c>
      <c r="J530" s="211">
        <f t="shared" si="101"/>
        <v>0.83835616438356164</v>
      </c>
      <c r="K530" s="258">
        <f>$D530*J530*_xlfn.XLOOKUP($I530,'Sample Size cal and results'!$B$24:$B$25,'Sample Size cal and results'!$H$24:$H$25)</f>
        <v>13.060065963986959</v>
      </c>
      <c r="L530" s="211">
        <f t="shared" si="102"/>
        <v>0.16164383561643836</v>
      </c>
      <c r="M530" s="211">
        <f>$D530*L530*_xlfn.XLOOKUP($I530,'Sample Size cal and results'!$B$24:$B$25,'Sample Size cal and results'!$I$24:$I$25)</f>
        <v>2.5836141723560426</v>
      </c>
      <c r="N530" s="214">
        <f t="shared" si="103"/>
        <v>15.643680136343002</v>
      </c>
      <c r="O530" s="225" t="str">
        <f t="shared" si="104"/>
        <v>7-8 years</v>
      </c>
      <c r="P530" s="226">
        <f t="shared" si="105"/>
        <v>0.56712328767123288</v>
      </c>
      <c r="Q530" s="227">
        <f>$D530*P530*_xlfn.XLOOKUP($O530,'Sample Size cal and results'!$B$26:$B$27,'Sample Size cal and results'!$I$26:$I$27)</f>
        <v>7.0015101560137669</v>
      </c>
      <c r="R530" s="330"/>
    </row>
    <row r="531" spans="1:18" ht="12.75">
      <c r="A531" s="99" t="s">
        <v>147</v>
      </c>
      <c r="B531" s="100">
        <v>41905</v>
      </c>
      <c r="C531" s="100">
        <f t="shared" si="95"/>
        <v>44461</v>
      </c>
      <c r="D531" s="209">
        <v>102</v>
      </c>
      <c r="E531" s="217">
        <f t="shared" si="96"/>
        <v>5.43</v>
      </c>
      <c r="F531" s="218">
        <f t="shared" si="97"/>
        <v>6.43</v>
      </c>
      <c r="G531" s="219">
        <f t="shared" si="98"/>
        <v>6.43</v>
      </c>
      <c r="H531" s="220">
        <f t="shared" si="99"/>
        <v>7.43</v>
      </c>
      <c r="I531" s="257" t="str">
        <f t="shared" si="100"/>
        <v>6-7 years</v>
      </c>
      <c r="J531" s="211">
        <f t="shared" si="101"/>
        <v>0.83835616438356164</v>
      </c>
      <c r="K531" s="258">
        <f>$D531*J531*_xlfn.XLOOKUP($I531,'Sample Size cal and results'!$B$24:$B$25,'Sample Size cal and results'!$H$24:$H$25)</f>
        <v>70.11193306982473</v>
      </c>
      <c r="L531" s="211">
        <f t="shared" si="102"/>
        <v>0.16164383561643836</v>
      </c>
      <c r="M531" s="211">
        <f>$D531*L531*_xlfn.XLOOKUP($I531,'Sample Size cal and results'!$B$24:$B$25,'Sample Size cal and results'!$I$24:$I$25)</f>
        <v>13.869928714753494</v>
      </c>
      <c r="N531" s="214">
        <f t="shared" si="103"/>
        <v>83.981861784578228</v>
      </c>
      <c r="O531" s="225" t="str">
        <f t="shared" si="104"/>
        <v>7-8 years</v>
      </c>
      <c r="P531" s="226">
        <f t="shared" si="105"/>
        <v>0.56438356164383563</v>
      </c>
      <c r="Q531" s="227">
        <f>$D531*P531*_xlfn.XLOOKUP($O531,'Sample Size cal and results'!$B$26:$B$27,'Sample Size cal and results'!$I$26:$I$27)</f>
        <v>37.405474548223054</v>
      </c>
      <c r="R531" s="330"/>
    </row>
    <row r="532" spans="1:18" ht="12.75">
      <c r="A532" s="99" t="s">
        <v>146</v>
      </c>
      <c r="B532" s="100">
        <v>41905</v>
      </c>
      <c r="C532" s="100">
        <f t="shared" si="95"/>
        <v>44461</v>
      </c>
      <c r="D532" s="209">
        <v>25</v>
      </c>
      <c r="E532" s="217">
        <f t="shared" si="96"/>
        <v>5.43</v>
      </c>
      <c r="F532" s="218">
        <f t="shared" si="97"/>
        <v>6.43</v>
      </c>
      <c r="G532" s="219">
        <f t="shared" si="98"/>
        <v>6.43</v>
      </c>
      <c r="H532" s="220">
        <f t="shared" si="99"/>
        <v>7.43</v>
      </c>
      <c r="I532" s="257" t="str">
        <f t="shared" si="100"/>
        <v>6-7 years</v>
      </c>
      <c r="J532" s="211">
        <f t="shared" si="101"/>
        <v>0.83835616438356164</v>
      </c>
      <c r="K532" s="258">
        <f>$D532*J532*_xlfn.XLOOKUP($I532,'Sample Size cal and results'!$B$24:$B$25,'Sample Size cal and results'!$H$24:$H$25)</f>
        <v>17.184297321035473</v>
      </c>
      <c r="L532" s="211">
        <f t="shared" si="102"/>
        <v>0.16164383561643836</v>
      </c>
      <c r="M532" s="211">
        <f>$D532*L532*_xlfn.XLOOKUP($I532,'Sample Size cal and results'!$B$24:$B$25,'Sample Size cal and results'!$I$24:$I$25)</f>
        <v>3.3994923320474242</v>
      </c>
      <c r="N532" s="214">
        <f t="shared" si="103"/>
        <v>20.583789653082896</v>
      </c>
      <c r="O532" s="225" t="str">
        <f t="shared" si="104"/>
        <v>7-8 years</v>
      </c>
      <c r="P532" s="226">
        <f t="shared" si="105"/>
        <v>0.56438356164383563</v>
      </c>
      <c r="Q532" s="227">
        <f>$D532*P532*_xlfn.XLOOKUP($O532,'Sample Size cal and results'!$B$26:$B$27,'Sample Size cal and results'!$I$26:$I$27)</f>
        <v>9.1680084677017284</v>
      </c>
      <c r="R532" s="330"/>
    </row>
    <row r="533" spans="1:18" ht="12.75">
      <c r="A533" s="99" t="s">
        <v>48</v>
      </c>
      <c r="B533" s="100">
        <v>41905</v>
      </c>
      <c r="C533" s="100">
        <f t="shared" si="95"/>
        <v>44461</v>
      </c>
      <c r="D533" s="209">
        <v>17</v>
      </c>
      <c r="E533" s="217">
        <f t="shared" si="96"/>
        <v>5.43</v>
      </c>
      <c r="F533" s="218">
        <f t="shared" si="97"/>
        <v>6.43</v>
      </c>
      <c r="G533" s="219">
        <f t="shared" si="98"/>
        <v>6.43</v>
      </c>
      <c r="H533" s="220">
        <f t="shared" si="99"/>
        <v>7.43</v>
      </c>
      <c r="I533" s="257" t="str">
        <f t="shared" si="100"/>
        <v>6-7 years</v>
      </c>
      <c r="J533" s="211">
        <f t="shared" si="101"/>
        <v>0.83835616438356164</v>
      </c>
      <c r="K533" s="258">
        <f>$D533*J533*_xlfn.XLOOKUP($I533,'Sample Size cal and results'!$B$24:$B$25,'Sample Size cal and results'!$H$24:$H$25)</f>
        <v>11.685322178304123</v>
      </c>
      <c r="L533" s="211">
        <f t="shared" si="102"/>
        <v>0.16164383561643836</v>
      </c>
      <c r="M533" s="211">
        <f>$D533*L533*_xlfn.XLOOKUP($I533,'Sample Size cal and results'!$B$24:$B$25,'Sample Size cal and results'!$I$24:$I$25)</f>
        <v>2.3116547857922489</v>
      </c>
      <c r="N533" s="214">
        <f t="shared" si="103"/>
        <v>13.996976964096373</v>
      </c>
      <c r="O533" s="225" t="str">
        <f t="shared" si="104"/>
        <v>7-8 years</v>
      </c>
      <c r="P533" s="226">
        <f t="shared" si="105"/>
        <v>0.56438356164383563</v>
      </c>
      <c r="Q533" s="227">
        <f>$D533*P533*_xlfn.XLOOKUP($O533,'Sample Size cal and results'!$B$26:$B$27,'Sample Size cal and results'!$I$26:$I$27)</f>
        <v>6.2342457580371748</v>
      </c>
      <c r="R533" s="330"/>
    </row>
    <row r="534" spans="1:18" ht="12.75">
      <c r="A534" s="99" t="s">
        <v>48</v>
      </c>
      <c r="B534" s="100">
        <v>41904</v>
      </c>
      <c r="C534" s="100">
        <f t="shared" si="95"/>
        <v>44460</v>
      </c>
      <c r="D534" s="209">
        <v>361</v>
      </c>
      <c r="E534" s="217">
        <f t="shared" si="96"/>
        <v>5.43</v>
      </c>
      <c r="F534" s="218">
        <f t="shared" si="97"/>
        <v>6.43</v>
      </c>
      <c r="G534" s="219">
        <f t="shared" si="98"/>
        <v>6.43</v>
      </c>
      <c r="H534" s="220">
        <f t="shared" si="99"/>
        <v>7.43</v>
      </c>
      <c r="I534" s="257" t="str">
        <f t="shared" si="100"/>
        <v>6-7 years</v>
      </c>
      <c r="J534" s="211">
        <f t="shared" si="101"/>
        <v>0.83835616438356164</v>
      </c>
      <c r="K534" s="258">
        <f>$D534*J534*_xlfn.XLOOKUP($I534,'Sample Size cal and results'!$B$24:$B$25,'Sample Size cal and results'!$H$24:$H$25)</f>
        <v>248.14125331575227</v>
      </c>
      <c r="L534" s="211">
        <f t="shared" si="102"/>
        <v>0.16164383561643836</v>
      </c>
      <c r="M534" s="211">
        <f>$D534*L534*_xlfn.XLOOKUP($I534,'Sample Size cal and results'!$B$24:$B$25,'Sample Size cal and results'!$I$24:$I$25)</f>
        <v>49.088669274764811</v>
      </c>
      <c r="N534" s="214">
        <f t="shared" si="103"/>
        <v>297.22992259051705</v>
      </c>
      <c r="O534" s="225" t="str">
        <f t="shared" si="104"/>
        <v>7-8 years</v>
      </c>
      <c r="P534" s="226">
        <f t="shared" si="105"/>
        <v>0.56164383561643838</v>
      </c>
      <c r="Q534" s="227">
        <f>$D534*P534*_xlfn.XLOOKUP($O534,'Sample Size cal and results'!$B$26:$B$27,'Sample Size cal and results'!$I$26:$I$27)</f>
        <v>131.74339158296436</v>
      </c>
      <c r="R534" s="330"/>
    </row>
    <row r="535" spans="1:18" ht="12.75">
      <c r="A535" s="99" t="s">
        <v>147</v>
      </c>
      <c r="B535" s="100">
        <v>41904</v>
      </c>
      <c r="C535" s="100">
        <f t="shared" si="95"/>
        <v>44460</v>
      </c>
      <c r="D535" s="209">
        <v>91</v>
      </c>
      <c r="E535" s="217">
        <f t="shared" si="96"/>
        <v>5.43</v>
      </c>
      <c r="F535" s="218">
        <f t="shared" si="97"/>
        <v>6.43</v>
      </c>
      <c r="G535" s="219">
        <f t="shared" si="98"/>
        <v>6.43</v>
      </c>
      <c r="H535" s="220">
        <f t="shared" si="99"/>
        <v>7.43</v>
      </c>
      <c r="I535" s="257" t="str">
        <f t="shared" si="100"/>
        <v>6-7 years</v>
      </c>
      <c r="J535" s="211">
        <f t="shared" si="101"/>
        <v>0.83835616438356164</v>
      </c>
      <c r="K535" s="258">
        <f>$D535*J535*_xlfn.XLOOKUP($I535,'Sample Size cal and results'!$B$24:$B$25,'Sample Size cal and results'!$H$24:$H$25)</f>
        <v>62.550842248569118</v>
      </c>
      <c r="L535" s="211">
        <f t="shared" si="102"/>
        <v>0.16164383561643836</v>
      </c>
      <c r="M535" s="211">
        <f>$D535*L535*_xlfn.XLOOKUP($I535,'Sample Size cal and results'!$B$24:$B$25,'Sample Size cal and results'!$I$24:$I$25)</f>
        <v>12.374152088652625</v>
      </c>
      <c r="N535" s="214">
        <f t="shared" si="103"/>
        <v>74.924994337221747</v>
      </c>
      <c r="O535" s="225" t="str">
        <f t="shared" si="104"/>
        <v>7-8 years</v>
      </c>
      <c r="P535" s="226">
        <f t="shared" si="105"/>
        <v>0.56164383561643838</v>
      </c>
      <c r="Q535" s="227">
        <f>$D535*P535*_xlfn.XLOOKUP($O535,'Sample Size cal and results'!$B$26:$B$27,'Sample Size cal and results'!$I$26:$I$27)</f>
        <v>33.20955300290791</v>
      </c>
      <c r="R535" s="330"/>
    </row>
    <row r="536" spans="1:18" ht="12.75">
      <c r="A536" s="99" t="s">
        <v>146</v>
      </c>
      <c r="B536" s="100">
        <v>41904</v>
      </c>
      <c r="C536" s="100">
        <f t="shared" si="95"/>
        <v>44460</v>
      </c>
      <c r="D536" s="209">
        <v>40</v>
      </c>
      <c r="E536" s="217">
        <f t="shared" si="96"/>
        <v>5.43</v>
      </c>
      <c r="F536" s="218">
        <f t="shared" si="97"/>
        <v>6.43</v>
      </c>
      <c r="G536" s="219">
        <f t="shared" si="98"/>
        <v>6.43</v>
      </c>
      <c r="H536" s="220">
        <f t="shared" si="99"/>
        <v>7.43</v>
      </c>
      <c r="I536" s="257" t="str">
        <f t="shared" si="100"/>
        <v>6-7 years</v>
      </c>
      <c r="J536" s="211">
        <f t="shared" si="101"/>
        <v>0.83835616438356164</v>
      </c>
      <c r="K536" s="258">
        <f>$D536*J536*_xlfn.XLOOKUP($I536,'Sample Size cal and results'!$B$24:$B$25,'Sample Size cal and results'!$H$24:$H$25)</f>
        <v>27.494875713656757</v>
      </c>
      <c r="L536" s="211">
        <f t="shared" si="102"/>
        <v>0.16164383561643836</v>
      </c>
      <c r="M536" s="211">
        <f>$D536*L536*_xlfn.XLOOKUP($I536,'Sample Size cal and results'!$B$24:$B$25,'Sample Size cal and results'!$I$24:$I$25)</f>
        <v>5.4391877312758794</v>
      </c>
      <c r="N536" s="214">
        <f t="shared" si="103"/>
        <v>32.934063444932633</v>
      </c>
      <c r="O536" s="225" t="str">
        <f t="shared" si="104"/>
        <v>7-8 years</v>
      </c>
      <c r="P536" s="226">
        <f t="shared" si="105"/>
        <v>0.56164383561643838</v>
      </c>
      <c r="Q536" s="227">
        <f>$D536*P536*_xlfn.XLOOKUP($O536,'Sample Size cal and results'!$B$26:$B$27,'Sample Size cal and results'!$I$26:$I$27)</f>
        <v>14.597605715563917</v>
      </c>
      <c r="R536" s="330"/>
    </row>
    <row r="537" spans="1:18" ht="12.75">
      <c r="A537" s="99" t="s">
        <v>48</v>
      </c>
      <c r="B537" s="100">
        <v>41903</v>
      </c>
      <c r="C537" s="100">
        <f t="shared" si="95"/>
        <v>44459</v>
      </c>
      <c r="D537" s="209">
        <v>298</v>
      </c>
      <c r="E537" s="217">
        <f t="shared" si="96"/>
        <v>5.44</v>
      </c>
      <c r="F537" s="218">
        <f t="shared" si="97"/>
        <v>6.43</v>
      </c>
      <c r="G537" s="219">
        <f t="shared" si="98"/>
        <v>6.44</v>
      </c>
      <c r="H537" s="220">
        <f t="shared" si="99"/>
        <v>7.43</v>
      </c>
      <c r="I537" s="257" t="str">
        <f t="shared" si="100"/>
        <v>6-7 years</v>
      </c>
      <c r="J537" s="211">
        <f t="shared" si="101"/>
        <v>0.83835616438356164</v>
      </c>
      <c r="K537" s="258">
        <f>$D537*J537*_xlfn.XLOOKUP($I537,'Sample Size cal and results'!$B$24:$B$25,'Sample Size cal and results'!$H$24:$H$25)</f>
        <v>204.83682406674285</v>
      </c>
      <c r="L537" s="211">
        <f t="shared" si="102"/>
        <v>0.16164383561643836</v>
      </c>
      <c r="M537" s="211">
        <f>$D537*L537*_xlfn.XLOOKUP($I537,'Sample Size cal and results'!$B$24:$B$25,'Sample Size cal and results'!$I$24:$I$25)</f>
        <v>40.521948598005302</v>
      </c>
      <c r="N537" s="214">
        <f t="shared" si="103"/>
        <v>245.35877266474816</v>
      </c>
      <c r="O537" s="225" t="str">
        <f t="shared" si="104"/>
        <v>7-8 years</v>
      </c>
      <c r="P537" s="226">
        <f t="shared" si="105"/>
        <v>0.55890410958904113</v>
      </c>
      <c r="Q537" s="227">
        <f>$D537*P537*_xlfn.XLOOKUP($O537,'Sample Size cal and results'!$B$26:$B$27,'Sample Size cal and results'!$I$26:$I$27)</f>
        <v>108.22166422689777</v>
      </c>
      <c r="R537" s="330"/>
    </row>
    <row r="538" spans="1:18" ht="12.75">
      <c r="A538" s="99" t="s">
        <v>147</v>
      </c>
      <c r="B538" s="100">
        <v>41903</v>
      </c>
      <c r="C538" s="100">
        <f t="shared" si="95"/>
        <v>44459</v>
      </c>
      <c r="D538" s="209">
        <v>91</v>
      </c>
      <c r="E538" s="217">
        <f t="shared" si="96"/>
        <v>5.44</v>
      </c>
      <c r="F538" s="218">
        <f t="shared" si="97"/>
        <v>6.43</v>
      </c>
      <c r="G538" s="219">
        <f t="shared" si="98"/>
        <v>6.44</v>
      </c>
      <c r="H538" s="220">
        <f t="shared" si="99"/>
        <v>7.43</v>
      </c>
      <c r="I538" s="257" t="str">
        <f t="shared" si="100"/>
        <v>6-7 years</v>
      </c>
      <c r="J538" s="211">
        <f t="shared" si="101"/>
        <v>0.83835616438356164</v>
      </c>
      <c r="K538" s="258">
        <f>$D538*J538*_xlfn.XLOOKUP($I538,'Sample Size cal and results'!$B$24:$B$25,'Sample Size cal and results'!$H$24:$H$25)</f>
        <v>62.550842248569118</v>
      </c>
      <c r="L538" s="211">
        <f t="shared" si="102"/>
        <v>0.16164383561643836</v>
      </c>
      <c r="M538" s="211">
        <f>$D538*L538*_xlfn.XLOOKUP($I538,'Sample Size cal and results'!$B$24:$B$25,'Sample Size cal and results'!$I$24:$I$25)</f>
        <v>12.374152088652625</v>
      </c>
      <c r="N538" s="214">
        <f t="shared" si="103"/>
        <v>74.924994337221747</v>
      </c>
      <c r="O538" s="225" t="str">
        <f t="shared" si="104"/>
        <v>7-8 years</v>
      </c>
      <c r="P538" s="226">
        <f t="shared" si="105"/>
        <v>0.55890410958904113</v>
      </c>
      <c r="Q538" s="227">
        <f>$D538*P538*_xlfn.XLOOKUP($O538,'Sample Size cal and results'!$B$26:$B$27,'Sample Size cal and results'!$I$26:$I$27)</f>
        <v>33.047555183381533</v>
      </c>
      <c r="R538" s="330"/>
    </row>
    <row r="539" spans="1:18" ht="12.75">
      <c r="A539" s="99" t="s">
        <v>146</v>
      </c>
      <c r="B539" s="100">
        <v>41903</v>
      </c>
      <c r="C539" s="100">
        <f t="shared" si="95"/>
        <v>44459</v>
      </c>
      <c r="D539" s="209">
        <v>24</v>
      </c>
      <c r="E539" s="217">
        <f t="shared" si="96"/>
        <v>5.44</v>
      </c>
      <c r="F539" s="218">
        <f t="shared" si="97"/>
        <v>6.43</v>
      </c>
      <c r="G539" s="219">
        <f t="shared" si="98"/>
        <v>6.44</v>
      </c>
      <c r="H539" s="220">
        <f t="shared" si="99"/>
        <v>7.43</v>
      </c>
      <c r="I539" s="257" t="str">
        <f t="shared" si="100"/>
        <v>6-7 years</v>
      </c>
      <c r="J539" s="211">
        <f t="shared" si="101"/>
        <v>0.83835616438356164</v>
      </c>
      <c r="K539" s="258">
        <f>$D539*J539*_xlfn.XLOOKUP($I539,'Sample Size cal and results'!$B$24:$B$25,'Sample Size cal and results'!$H$24:$H$25)</f>
        <v>16.496925428194054</v>
      </c>
      <c r="L539" s="211">
        <f t="shared" si="102"/>
        <v>0.16164383561643836</v>
      </c>
      <c r="M539" s="211">
        <f>$D539*L539*_xlfn.XLOOKUP($I539,'Sample Size cal and results'!$B$24:$B$25,'Sample Size cal and results'!$I$24:$I$25)</f>
        <v>3.2635126387655276</v>
      </c>
      <c r="N539" s="214">
        <f t="shared" si="103"/>
        <v>19.76043806695958</v>
      </c>
      <c r="O539" s="225" t="str">
        <f t="shared" si="104"/>
        <v>7-8 years</v>
      </c>
      <c r="P539" s="226">
        <f t="shared" si="105"/>
        <v>0.55890410958904113</v>
      </c>
      <c r="Q539" s="227">
        <f>$D539*P539*_xlfn.XLOOKUP($O539,'Sample Size cal and results'!$B$26:$B$27,'Sample Size cal and results'!$I$26:$I$27)</f>
        <v>8.7158387296830426</v>
      </c>
      <c r="R539" s="330"/>
    </row>
    <row r="540" spans="1:18" ht="12.75">
      <c r="A540" s="99" t="s">
        <v>48</v>
      </c>
      <c r="B540" s="100">
        <v>41902</v>
      </c>
      <c r="C540" s="100">
        <f t="shared" si="95"/>
        <v>44458</v>
      </c>
      <c r="D540" s="209">
        <v>1196</v>
      </c>
      <c r="E540" s="217">
        <f t="shared" si="96"/>
        <v>5.44</v>
      </c>
      <c r="F540" s="218">
        <f t="shared" si="97"/>
        <v>6.44</v>
      </c>
      <c r="G540" s="219">
        <f t="shared" si="98"/>
        <v>6.44</v>
      </c>
      <c r="H540" s="220">
        <f t="shared" si="99"/>
        <v>7.44</v>
      </c>
      <c r="I540" s="257" t="str">
        <f t="shared" si="100"/>
        <v>6-7 years</v>
      </c>
      <c r="J540" s="211">
        <f t="shared" si="101"/>
        <v>0.83835616438356164</v>
      </c>
      <c r="K540" s="258">
        <f>$D540*J540*_xlfn.XLOOKUP($I540,'Sample Size cal and results'!$B$24:$B$25,'Sample Size cal and results'!$H$24:$H$25)</f>
        <v>822.09678383833705</v>
      </c>
      <c r="L540" s="211">
        <f t="shared" si="102"/>
        <v>0.16164383561643836</v>
      </c>
      <c r="M540" s="211">
        <f>$D540*L540*_xlfn.XLOOKUP($I540,'Sample Size cal and results'!$B$24:$B$25,'Sample Size cal and results'!$I$24:$I$25)</f>
        <v>162.6317131651488</v>
      </c>
      <c r="N540" s="214">
        <f t="shared" si="103"/>
        <v>984.72849700348581</v>
      </c>
      <c r="O540" s="225" t="str">
        <f t="shared" si="104"/>
        <v>7-8 years</v>
      </c>
      <c r="P540" s="226">
        <f t="shared" si="105"/>
        <v>0.55616438356164388</v>
      </c>
      <c r="Q540" s="227">
        <f>$D540*P540*_xlfn.XLOOKUP($O540,'Sample Size cal and results'!$B$26:$B$27,'Sample Size cal and results'!$I$26:$I$27)</f>
        <v>432.21018249638206</v>
      </c>
      <c r="R540" s="330"/>
    </row>
    <row r="541" spans="1:18" ht="12.75">
      <c r="A541" s="99" t="s">
        <v>147</v>
      </c>
      <c r="B541" s="100">
        <v>41902</v>
      </c>
      <c r="C541" s="100">
        <f t="shared" si="95"/>
        <v>44458</v>
      </c>
      <c r="D541" s="209">
        <v>86</v>
      </c>
      <c r="E541" s="217">
        <f t="shared" si="96"/>
        <v>5.44</v>
      </c>
      <c r="F541" s="218">
        <f t="shared" si="97"/>
        <v>6.44</v>
      </c>
      <c r="G541" s="219">
        <f t="shared" si="98"/>
        <v>6.44</v>
      </c>
      <c r="H541" s="220">
        <f t="shared" si="99"/>
        <v>7.44</v>
      </c>
      <c r="I541" s="257" t="str">
        <f t="shared" si="100"/>
        <v>6-7 years</v>
      </c>
      <c r="J541" s="211">
        <f t="shared" si="101"/>
        <v>0.83835616438356164</v>
      </c>
      <c r="K541" s="258">
        <f>$D541*J541*_xlfn.XLOOKUP($I541,'Sample Size cal and results'!$B$24:$B$25,'Sample Size cal and results'!$H$24:$H$25)</f>
        <v>59.11398278436203</v>
      </c>
      <c r="L541" s="211">
        <f t="shared" si="102"/>
        <v>0.16164383561643836</v>
      </c>
      <c r="M541" s="211">
        <f>$D541*L541*_xlfn.XLOOKUP($I541,'Sample Size cal and results'!$B$24:$B$25,'Sample Size cal and results'!$I$24:$I$25)</f>
        <v>11.69425362224314</v>
      </c>
      <c r="N541" s="214">
        <f t="shared" si="103"/>
        <v>70.808236406605175</v>
      </c>
      <c r="O541" s="225" t="str">
        <f t="shared" si="104"/>
        <v>7-8 years</v>
      </c>
      <c r="P541" s="226">
        <f t="shared" si="105"/>
        <v>0.55616438356164388</v>
      </c>
      <c r="Q541" s="227">
        <f>$D541*P541*_xlfn.XLOOKUP($O541,'Sample Size cal and results'!$B$26:$B$27,'Sample Size cal and results'!$I$26:$I$27)</f>
        <v>31.078658607599376</v>
      </c>
      <c r="R541" s="330"/>
    </row>
    <row r="542" spans="1:18" ht="12.75">
      <c r="A542" s="99" t="s">
        <v>146</v>
      </c>
      <c r="B542" s="100">
        <v>41902</v>
      </c>
      <c r="C542" s="100">
        <f t="shared" si="95"/>
        <v>44458</v>
      </c>
      <c r="D542" s="209">
        <v>36</v>
      </c>
      <c r="E542" s="217">
        <f t="shared" si="96"/>
        <v>5.44</v>
      </c>
      <c r="F542" s="218">
        <f t="shared" si="97"/>
        <v>6.44</v>
      </c>
      <c r="G542" s="219">
        <f t="shared" si="98"/>
        <v>6.44</v>
      </c>
      <c r="H542" s="220">
        <f t="shared" si="99"/>
        <v>7.44</v>
      </c>
      <c r="I542" s="257" t="str">
        <f t="shared" si="100"/>
        <v>6-7 years</v>
      </c>
      <c r="J542" s="211">
        <f t="shared" si="101"/>
        <v>0.83835616438356164</v>
      </c>
      <c r="K542" s="258">
        <f>$D542*J542*_xlfn.XLOOKUP($I542,'Sample Size cal and results'!$B$24:$B$25,'Sample Size cal and results'!$H$24:$H$25)</f>
        <v>24.745388142291084</v>
      </c>
      <c r="L542" s="211">
        <f t="shared" si="102"/>
        <v>0.16164383561643836</v>
      </c>
      <c r="M542" s="211">
        <f>$D542*L542*_xlfn.XLOOKUP($I542,'Sample Size cal and results'!$B$24:$B$25,'Sample Size cal and results'!$I$24:$I$25)</f>
        <v>4.895268958148292</v>
      </c>
      <c r="N542" s="214">
        <f t="shared" si="103"/>
        <v>29.640657100439377</v>
      </c>
      <c r="O542" s="225" t="str">
        <f t="shared" si="104"/>
        <v>7-8 years</v>
      </c>
      <c r="P542" s="226">
        <f t="shared" si="105"/>
        <v>0.55616438356164388</v>
      </c>
      <c r="Q542" s="227">
        <f>$D542*P542*_xlfn.XLOOKUP($O542,'Sample Size cal and results'!$B$26:$B$27,'Sample Size cal and results'!$I$26:$I$27)</f>
        <v>13.009671045041598</v>
      </c>
      <c r="R542" s="330"/>
    </row>
    <row r="543" spans="1:18" ht="12.75">
      <c r="A543" s="99" t="s">
        <v>48</v>
      </c>
      <c r="B543" s="100">
        <v>41901</v>
      </c>
      <c r="C543" s="100">
        <f t="shared" si="95"/>
        <v>44457</v>
      </c>
      <c r="D543" s="209">
        <v>598</v>
      </c>
      <c r="E543" s="217">
        <f t="shared" si="96"/>
        <v>5.44</v>
      </c>
      <c r="F543" s="218">
        <f t="shared" si="97"/>
        <v>6.44</v>
      </c>
      <c r="G543" s="219">
        <f t="shared" si="98"/>
        <v>6.44</v>
      </c>
      <c r="H543" s="220">
        <f t="shared" si="99"/>
        <v>7.44</v>
      </c>
      <c r="I543" s="257" t="str">
        <f t="shared" si="100"/>
        <v>6-7 years</v>
      </c>
      <c r="J543" s="211">
        <f t="shared" si="101"/>
        <v>0.83835616438356164</v>
      </c>
      <c r="K543" s="258">
        <f>$D543*J543*_xlfn.XLOOKUP($I543,'Sample Size cal and results'!$B$24:$B$25,'Sample Size cal and results'!$H$24:$H$25)</f>
        <v>411.04839191916852</v>
      </c>
      <c r="L543" s="211">
        <f t="shared" si="102"/>
        <v>0.16164383561643836</v>
      </c>
      <c r="M543" s="211">
        <f>$D543*L543*_xlfn.XLOOKUP($I543,'Sample Size cal and results'!$B$24:$B$25,'Sample Size cal and results'!$I$24:$I$25)</f>
        <v>81.315856582574398</v>
      </c>
      <c r="N543" s="214">
        <f t="shared" si="103"/>
        <v>492.36424850174291</v>
      </c>
      <c r="O543" s="225" t="str">
        <f t="shared" si="104"/>
        <v>7-8 years</v>
      </c>
      <c r="P543" s="226">
        <f t="shared" si="105"/>
        <v>0.55342465753424652</v>
      </c>
      <c r="Q543" s="227">
        <f>$D543*P543*_xlfn.XLOOKUP($O543,'Sample Size cal and results'!$B$26:$B$27,'Sample Size cal and results'!$I$26:$I$27)</f>
        <v>215.04053414844617</v>
      </c>
      <c r="R543" s="330"/>
    </row>
    <row r="544" spans="1:18" ht="12.75">
      <c r="A544" s="99" t="s">
        <v>147</v>
      </c>
      <c r="B544" s="100">
        <v>41901</v>
      </c>
      <c r="C544" s="100">
        <f t="shared" si="95"/>
        <v>44457</v>
      </c>
      <c r="D544" s="209">
        <v>87</v>
      </c>
      <c r="E544" s="217">
        <f t="shared" si="96"/>
        <v>5.44</v>
      </c>
      <c r="F544" s="218">
        <f t="shared" si="97"/>
        <v>6.44</v>
      </c>
      <c r="G544" s="219">
        <f t="shared" si="98"/>
        <v>6.44</v>
      </c>
      <c r="H544" s="220">
        <f t="shared" si="99"/>
        <v>7.44</v>
      </c>
      <c r="I544" s="257" t="str">
        <f t="shared" si="100"/>
        <v>6-7 years</v>
      </c>
      <c r="J544" s="211">
        <f t="shared" si="101"/>
        <v>0.83835616438356164</v>
      </c>
      <c r="K544" s="258">
        <f>$D544*J544*_xlfn.XLOOKUP($I544,'Sample Size cal and results'!$B$24:$B$25,'Sample Size cal and results'!$H$24:$H$25)</f>
        <v>59.801354677203442</v>
      </c>
      <c r="L544" s="211">
        <f t="shared" si="102"/>
        <v>0.16164383561643836</v>
      </c>
      <c r="M544" s="211">
        <f>$D544*L544*_xlfn.XLOOKUP($I544,'Sample Size cal and results'!$B$24:$B$25,'Sample Size cal and results'!$I$24:$I$25)</f>
        <v>11.830233315525037</v>
      </c>
      <c r="N544" s="214">
        <f t="shared" si="103"/>
        <v>71.631587992728484</v>
      </c>
      <c r="O544" s="225" t="str">
        <f t="shared" si="104"/>
        <v>7-8 years</v>
      </c>
      <c r="P544" s="226">
        <f t="shared" si="105"/>
        <v>0.55342465753424652</v>
      </c>
      <c r="Q544" s="227">
        <f>$D544*P544*_xlfn.XLOOKUP($O544,'Sample Size cal and results'!$B$26:$B$27,'Sample Size cal and results'!$I$26:$I$27)</f>
        <v>31.285161322600029</v>
      </c>
      <c r="R544" s="330"/>
    </row>
    <row r="545" spans="1:18" ht="12.75">
      <c r="A545" s="99" t="s">
        <v>146</v>
      </c>
      <c r="B545" s="100">
        <v>41901</v>
      </c>
      <c r="C545" s="100">
        <f t="shared" si="95"/>
        <v>44457</v>
      </c>
      <c r="D545" s="209">
        <v>34</v>
      </c>
      <c r="E545" s="217">
        <f t="shared" si="96"/>
        <v>5.44</v>
      </c>
      <c r="F545" s="218">
        <f t="shared" si="97"/>
        <v>6.44</v>
      </c>
      <c r="G545" s="219">
        <f t="shared" si="98"/>
        <v>6.44</v>
      </c>
      <c r="H545" s="220">
        <f t="shared" si="99"/>
        <v>7.44</v>
      </c>
      <c r="I545" s="257" t="str">
        <f t="shared" si="100"/>
        <v>6-7 years</v>
      </c>
      <c r="J545" s="211">
        <f t="shared" si="101"/>
        <v>0.83835616438356164</v>
      </c>
      <c r="K545" s="258">
        <f>$D545*J545*_xlfn.XLOOKUP($I545,'Sample Size cal and results'!$B$24:$B$25,'Sample Size cal and results'!$H$24:$H$25)</f>
        <v>23.370644356608246</v>
      </c>
      <c r="L545" s="211">
        <f t="shared" si="102"/>
        <v>0.16164383561643836</v>
      </c>
      <c r="M545" s="211">
        <f>$D545*L545*_xlfn.XLOOKUP($I545,'Sample Size cal and results'!$B$24:$B$25,'Sample Size cal and results'!$I$24:$I$25)</f>
        <v>4.6233095715844978</v>
      </c>
      <c r="N545" s="214">
        <f t="shared" si="103"/>
        <v>27.993953928192745</v>
      </c>
      <c r="O545" s="225" t="str">
        <f t="shared" si="104"/>
        <v>7-8 years</v>
      </c>
      <c r="P545" s="226">
        <f t="shared" si="105"/>
        <v>0.55342465753424652</v>
      </c>
      <c r="Q545" s="227">
        <f>$D545*P545*_xlfn.XLOOKUP($O545,'Sample Size cal and results'!$B$26:$B$27,'Sample Size cal and results'!$I$26:$I$27)</f>
        <v>12.226384884694266</v>
      </c>
      <c r="R545" s="330"/>
    </row>
    <row r="546" spans="1:18" ht="12.75">
      <c r="A546" s="99" t="s">
        <v>147</v>
      </c>
      <c r="B546" s="100">
        <v>41900</v>
      </c>
      <c r="C546" s="100">
        <f t="shared" si="95"/>
        <v>44456</v>
      </c>
      <c r="D546" s="209">
        <v>89</v>
      </c>
      <c r="E546" s="217">
        <f t="shared" si="96"/>
        <v>5.45</v>
      </c>
      <c r="F546" s="218">
        <f t="shared" si="97"/>
        <v>6.44</v>
      </c>
      <c r="G546" s="219">
        <f t="shared" si="98"/>
        <v>6.45</v>
      </c>
      <c r="H546" s="220">
        <f t="shared" si="99"/>
        <v>7.44</v>
      </c>
      <c r="I546" s="257" t="str">
        <f t="shared" si="100"/>
        <v>6-7 years</v>
      </c>
      <c r="J546" s="211">
        <f t="shared" si="101"/>
        <v>0.83835616438356164</v>
      </c>
      <c r="K546" s="258">
        <f>$D546*J546*_xlfn.XLOOKUP($I546,'Sample Size cal and results'!$B$24:$B$25,'Sample Size cal and results'!$H$24:$H$25)</f>
        <v>61.17609846288628</v>
      </c>
      <c r="L546" s="211">
        <f t="shared" si="102"/>
        <v>0.16164383561643836</v>
      </c>
      <c r="M546" s="211">
        <f>$D546*L546*_xlfn.XLOOKUP($I546,'Sample Size cal and results'!$B$24:$B$25,'Sample Size cal and results'!$I$24:$I$25)</f>
        <v>12.102192702088832</v>
      </c>
      <c r="N546" s="214">
        <f t="shared" si="103"/>
        <v>73.278291164975116</v>
      </c>
      <c r="O546" s="225" t="str">
        <f t="shared" si="104"/>
        <v>7-8 years</v>
      </c>
      <c r="P546" s="226">
        <f t="shared" si="105"/>
        <v>0.55068493150684927</v>
      </c>
      <c r="Q546" s="227">
        <f>$D546*P546*_xlfn.XLOOKUP($O546,'Sample Size cal and results'!$B$26:$B$27,'Sample Size cal and results'!$I$26:$I$27)</f>
        <v>31.845923005575962</v>
      </c>
      <c r="R546" s="330"/>
    </row>
    <row r="547" spans="1:18" ht="12.75">
      <c r="A547" s="99" t="s">
        <v>146</v>
      </c>
      <c r="B547" s="100">
        <v>41900</v>
      </c>
      <c r="C547" s="100">
        <f t="shared" si="95"/>
        <v>44456</v>
      </c>
      <c r="D547" s="209">
        <v>38</v>
      </c>
      <c r="E547" s="217">
        <f t="shared" si="96"/>
        <v>5.45</v>
      </c>
      <c r="F547" s="218">
        <f t="shared" si="97"/>
        <v>6.44</v>
      </c>
      <c r="G547" s="219">
        <f t="shared" si="98"/>
        <v>6.45</v>
      </c>
      <c r="H547" s="220">
        <f t="shared" si="99"/>
        <v>7.44</v>
      </c>
      <c r="I547" s="257" t="str">
        <f t="shared" si="100"/>
        <v>6-7 years</v>
      </c>
      <c r="J547" s="211">
        <f t="shared" si="101"/>
        <v>0.83835616438356164</v>
      </c>
      <c r="K547" s="258">
        <f>$D547*J547*_xlfn.XLOOKUP($I547,'Sample Size cal and results'!$B$24:$B$25,'Sample Size cal and results'!$H$24:$H$25)</f>
        <v>26.120131927973919</v>
      </c>
      <c r="L547" s="211">
        <f t="shared" si="102"/>
        <v>0.16164383561643836</v>
      </c>
      <c r="M547" s="211">
        <f>$D547*L547*_xlfn.XLOOKUP($I547,'Sample Size cal and results'!$B$24:$B$25,'Sample Size cal and results'!$I$24:$I$25)</f>
        <v>5.1672283447120853</v>
      </c>
      <c r="N547" s="214">
        <f t="shared" si="103"/>
        <v>31.287360272686005</v>
      </c>
      <c r="O547" s="225" t="str">
        <f t="shared" si="104"/>
        <v>7-8 years</v>
      </c>
      <c r="P547" s="226">
        <f t="shared" si="105"/>
        <v>0.55068493150684927</v>
      </c>
      <c r="Q547" s="227">
        <f>$D547*P547*_xlfn.XLOOKUP($O547,'Sample Size cal and results'!$B$26:$B$27,'Sample Size cal and results'!$I$26:$I$27)</f>
        <v>13.597135665302098</v>
      </c>
      <c r="R547" s="330"/>
    </row>
    <row r="548" spans="1:18" ht="12.75">
      <c r="A548" s="99" t="s">
        <v>48</v>
      </c>
      <c r="B548" s="100">
        <v>41900</v>
      </c>
      <c r="C548" s="100">
        <f t="shared" si="95"/>
        <v>44456</v>
      </c>
      <c r="D548" s="209">
        <v>31</v>
      </c>
      <c r="E548" s="217">
        <f t="shared" si="96"/>
        <v>5.45</v>
      </c>
      <c r="F548" s="218">
        <f t="shared" si="97"/>
        <v>6.44</v>
      </c>
      <c r="G548" s="219">
        <f t="shared" si="98"/>
        <v>6.45</v>
      </c>
      <c r="H548" s="220">
        <f t="shared" si="99"/>
        <v>7.44</v>
      </c>
      <c r="I548" s="257" t="str">
        <f t="shared" si="100"/>
        <v>6-7 years</v>
      </c>
      <c r="J548" s="211">
        <f t="shared" si="101"/>
        <v>0.83835616438356164</v>
      </c>
      <c r="K548" s="258">
        <f>$D548*J548*_xlfn.XLOOKUP($I548,'Sample Size cal and results'!$B$24:$B$25,'Sample Size cal and results'!$H$24:$H$25)</f>
        <v>21.308528678083988</v>
      </c>
      <c r="L548" s="211">
        <f t="shared" si="102"/>
        <v>0.16164383561643836</v>
      </c>
      <c r="M548" s="211">
        <f>$D548*L548*_xlfn.XLOOKUP($I548,'Sample Size cal and results'!$B$24:$B$25,'Sample Size cal and results'!$I$24:$I$25)</f>
        <v>4.2153704917388062</v>
      </c>
      <c r="N548" s="214">
        <f t="shared" si="103"/>
        <v>25.523899169822794</v>
      </c>
      <c r="O548" s="225" t="str">
        <f t="shared" si="104"/>
        <v>7-8 years</v>
      </c>
      <c r="P548" s="226">
        <f t="shared" si="105"/>
        <v>0.55068493150684927</v>
      </c>
      <c r="Q548" s="227">
        <f>$D548*P548*_xlfn.XLOOKUP($O548,'Sample Size cal and results'!$B$26:$B$27,'Sample Size cal and results'!$I$26:$I$27)</f>
        <v>11.092400148009604</v>
      </c>
      <c r="R548" s="330"/>
    </row>
    <row r="549" spans="1:18" ht="12.75">
      <c r="A549" s="99" t="s">
        <v>147</v>
      </c>
      <c r="B549" s="100">
        <v>41899</v>
      </c>
      <c r="C549" s="100">
        <f t="shared" si="95"/>
        <v>44455</v>
      </c>
      <c r="D549" s="209">
        <v>89</v>
      </c>
      <c r="E549" s="217">
        <f t="shared" si="96"/>
        <v>5.45</v>
      </c>
      <c r="F549" s="218">
        <f t="shared" si="97"/>
        <v>6.45</v>
      </c>
      <c r="G549" s="219">
        <f t="shared" si="98"/>
        <v>6.45</v>
      </c>
      <c r="H549" s="220">
        <f t="shared" si="99"/>
        <v>7.45</v>
      </c>
      <c r="I549" s="257" t="str">
        <f t="shared" si="100"/>
        <v>6-7 years</v>
      </c>
      <c r="J549" s="211">
        <f t="shared" si="101"/>
        <v>0.83835616438356164</v>
      </c>
      <c r="K549" s="258">
        <f>$D549*J549*_xlfn.XLOOKUP($I549,'Sample Size cal and results'!$B$24:$B$25,'Sample Size cal and results'!$H$24:$H$25)</f>
        <v>61.17609846288628</v>
      </c>
      <c r="L549" s="211">
        <f t="shared" si="102"/>
        <v>0.16164383561643836</v>
      </c>
      <c r="M549" s="211">
        <f>$D549*L549*_xlfn.XLOOKUP($I549,'Sample Size cal and results'!$B$24:$B$25,'Sample Size cal and results'!$I$24:$I$25)</f>
        <v>12.102192702088832</v>
      </c>
      <c r="N549" s="214">
        <f t="shared" si="103"/>
        <v>73.278291164975116</v>
      </c>
      <c r="O549" s="225" t="str">
        <f t="shared" si="104"/>
        <v>7-8 years</v>
      </c>
      <c r="P549" s="226">
        <f t="shared" si="105"/>
        <v>0.54794520547945202</v>
      </c>
      <c r="Q549" s="227">
        <f>$D549*P549*_xlfn.XLOOKUP($O549,'Sample Size cal and results'!$B$26:$B$27,'Sample Size cal and results'!$I$26:$I$27)</f>
        <v>31.687485577687525</v>
      </c>
      <c r="R549" s="330"/>
    </row>
    <row r="550" spans="1:18" ht="12.75">
      <c r="A550" s="99" t="s">
        <v>146</v>
      </c>
      <c r="B550" s="100">
        <v>41899</v>
      </c>
      <c r="C550" s="100">
        <f t="shared" si="95"/>
        <v>44455</v>
      </c>
      <c r="D550" s="209">
        <v>77</v>
      </c>
      <c r="E550" s="217">
        <f t="shared" si="96"/>
        <v>5.45</v>
      </c>
      <c r="F550" s="218">
        <f t="shared" si="97"/>
        <v>6.45</v>
      </c>
      <c r="G550" s="219">
        <f t="shared" si="98"/>
        <v>6.45</v>
      </c>
      <c r="H550" s="220">
        <f t="shared" si="99"/>
        <v>7.45</v>
      </c>
      <c r="I550" s="257" t="str">
        <f t="shared" si="100"/>
        <v>6-7 years</v>
      </c>
      <c r="J550" s="211">
        <f t="shared" si="101"/>
        <v>0.83835616438356164</v>
      </c>
      <c r="K550" s="258">
        <f>$D550*J550*_xlfn.XLOOKUP($I550,'Sample Size cal and results'!$B$24:$B$25,'Sample Size cal and results'!$H$24:$H$25)</f>
        <v>52.927635748789264</v>
      </c>
      <c r="L550" s="211">
        <f t="shared" si="102"/>
        <v>0.16164383561643836</v>
      </c>
      <c r="M550" s="211">
        <f>$D550*L550*_xlfn.XLOOKUP($I550,'Sample Size cal and results'!$B$24:$B$25,'Sample Size cal and results'!$I$24:$I$25)</f>
        <v>10.470436382706067</v>
      </c>
      <c r="N550" s="214">
        <f t="shared" si="103"/>
        <v>63.398072131495333</v>
      </c>
      <c r="O550" s="225" t="str">
        <f t="shared" si="104"/>
        <v>7-8 years</v>
      </c>
      <c r="P550" s="226">
        <f t="shared" si="105"/>
        <v>0.54794520547945202</v>
      </c>
      <c r="Q550" s="227">
        <f>$D550*P550*_xlfn.XLOOKUP($O550,'Sample Size cal and results'!$B$26:$B$27,'Sample Size cal and results'!$I$26:$I$27)</f>
        <v>27.415015612156619</v>
      </c>
      <c r="R550" s="330"/>
    </row>
    <row r="551" spans="1:18" ht="12.75">
      <c r="A551" s="99" t="s">
        <v>48</v>
      </c>
      <c r="B551" s="100">
        <v>41899</v>
      </c>
      <c r="C551" s="100">
        <f t="shared" si="95"/>
        <v>44455</v>
      </c>
      <c r="D551" s="209">
        <v>30</v>
      </c>
      <c r="E551" s="217">
        <f t="shared" si="96"/>
        <v>5.45</v>
      </c>
      <c r="F551" s="218">
        <f t="shared" si="97"/>
        <v>6.45</v>
      </c>
      <c r="G551" s="219">
        <f t="shared" si="98"/>
        <v>6.45</v>
      </c>
      <c r="H551" s="220">
        <f t="shared" si="99"/>
        <v>7.45</v>
      </c>
      <c r="I551" s="257" t="str">
        <f t="shared" si="100"/>
        <v>6-7 years</v>
      </c>
      <c r="J551" s="211">
        <f t="shared" si="101"/>
        <v>0.83835616438356164</v>
      </c>
      <c r="K551" s="258">
        <f>$D551*J551*_xlfn.XLOOKUP($I551,'Sample Size cal and results'!$B$24:$B$25,'Sample Size cal and results'!$H$24:$H$25)</f>
        <v>20.621156785242569</v>
      </c>
      <c r="L551" s="211">
        <f t="shared" si="102"/>
        <v>0.16164383561643836</v>
      </c>
      <c r="M551" s="211">
        <f>$D551*L551*_xlfn.XLOOKUP($I551,'Sample Size cal and results'!$B$24:$B$25,'Sample Size cal and results'!$I$24:$I$25)</f>
        <v>4.0793907984569096</v>
      </c>
      <c r="N551" s="214">
        <f t="shared" si="103"/>
        <v>24.700547583699478</v>
      </c>
      <c r="O551" s="225" t="str">
        <f t="shared" si="104"/>
        <v>7-8 years</v>
      </c>
      <c r="P551" s="226">
        <f t="shared" si="105"/>
        <v>0.54794520547945202</v>
      </c>
      <c r="Q551" s="227">
        <f>$D551*P551*_xlfn.XLOOKUP($O551,'Sample Size cal and results'!$B$26:$B$27,'Sample Size cal and results'!$I$26:$I$27)</f>
        <v>10.681174913827254</v>
      </c>
      <c r="R551" s="330"/>
    </row>
    <row r="552" spans="1:18" ht="12.75">
      <c r="A552" s="99" t="s">
        <v>147</v>
      </c>
      <c r="B552" s="100">
        <v>41898</v>
      </c>
      <c r="C552" s="100">
        <f t="shared" si="95"/>
        <v>44454</v>
      </c>
      <c r="D552" s="209">
        <v>84</v>
      </c>
      <c r="E552" s="217">
        <f t="shared" si="96"/>
        <v>5.45</v>
      </c>
      <c r="F552" s="218">
        <f t="shared" si="97"/>
        <v>6.45</v>
      </c>
      <c r="G552" s="219">
        <f t="shared" si="98"/>
        <v>6.45</v>
      </c>
      <c r="H552" s="220">
        <f t="shared" si="99"/>
        <v>7.45</v>
      </c>
      <c r="I552" s="257" t="str">
        <f t="shared" si="100"/>
        <v>6-7 years</v>
      </c>
      <c r="J552" s="211">
        <f t="shared" si="101"/>
        <v>0.83835616438356164</v>
      </c>
      <c r="K552" s="258">
        <f>$D552*J552*_xlfn.XLOOKUP($I552,'Sample Size cal and results'!$B$24:$B$25,'Sample Size cal and results'!$H$24:$H$25)</f>
        <v>57.739238998679191</v>
      </c>
      <c r="L552" s="211">
        <f t="shared" si="102"/>
        <v>0.16164383561643836</v>
      </c>
      <c r="M552" s="211">
        <f>$D552*L552*_xlfn.XLOOKUP($I552,'Sample Size cal and results'!$B$24:$B$25,'Sample Size cal and results'!$I$24:$I$25)</f>
        <v>11.422294235679347</v>
      </c>
      <c r="N552" s="214">
        <f t="shared" si="103"/>
        <v>69.161533234358544</v>
      </c>
      <c r="O552" s="225" t="str">
        <f t="shared" si="104"/>
        <v>7-8 years</v>
      </c>
      <c r="P552" s="226">
        <f t="shared" si="105"/>
        <v>0.54520547945205478</v>
      </c>
      <c r="Q552" s="227">
        <f>$D552*P552*_xlfn.XLOOKUP($O552,'Sample Size cal and results'!$B$26:$B$27,'Sample Size cal and results'!$I$26:$I$27)</f>
        <v>29.757753309922737</v>
      </c>
      <c r="R552" s="330"/>
    </row>
    <row r="553" spans="1:18" ht="12.75">
      <c r="A553" s="99" t="s">
        <v>146</v>
      </c>
      <c r="B553" s="100">
        <v>41898</v>
      </c>
      <c r="C553" s="100">
        <f t="shared" si="95"/>
        <v>44454</v>
      </c>
      <c r="D553" s="209">
        <v>57</v>
      </c>
      <c r="E553" s="217">
        <f t="shared" si="96"/>
        <v>5.45</v>
      </c>
      <c r="F553" s="218">
        <f t="shared" si="97"/>
        <v>6.45</v>
      </c>
      <c r="G553" s="219">
        <f t="shared" si="98"/>
        <v>6.45</v>
      </c>
      <c r="H553" s="220">
        <f t="shared" si="99"/>
        <v>7.45</v>
      </c>
      <c r="I553" s="257" t="str">
        <f t="shared" si="100"/>
        <v>6-7 years</v>
      </c>
      <c r="J553" s="211">
        <f t="shared" si="101"/>
        <v>0.83835616438356164</v>
      </c>
      <c r="K553" s="258">
        <f>$D553*J553*_xlfn.XLOOKUP($I553,'Sample Size cal and results'!$B$24:$B$25,'Sample Size cal and results'!$H$24:$H$25)</f>
        <v>39.18019789196088</v>
      </c>
      <c r="L553" s="211">
        <f t="shared" si="102"/>
        <v>0.16164383561643836</v>
      </c>
      <c r="M553" s="211">
        <f>$D553*L553*_xlfn.XLOOKUP($I553,'Sample Size cal and results'!$B$24:$B$25,'Sample Size cal and results'!$I$24:$I$25)</f>
        <v>7.7508425170681283</v>
      </c>
      <c r="N553" s="214">
        <f t="shared" si="103"/>
        <v>46.931040409029009</v>
      </c>
      <c r="O553" s="225" t="str">
        <f t="shared" si="104"/>
        <v>7-8 years</v>
      </c>
      <c r="P553" s="226">
        <f t="shared" si="105"/>
        <v>0.54520547945205478</v>
      </c>
      <c r="Q553" s="227">
        <f>$D553*P553*_xlfn.XLOOKUP($O553,'Sample Size cal and results'!$B$26:$B$27,'Sample Size cal and results'!$I$26:$I$27)</f>
        <v>20.192761174590427</v>
      </c>
      <c r="R553" s="330"/>
    </row>
    <row r="554" spans="1:18" ht="12.75">
      <c r="A554" s="99" t="s">
        <v>48</v>
      </c>
      <c r="B554" s="100">
        <v>41898</v>
      </c>
      <c r="C554" s="100">
        <f t="shared" si="95"/>
        <v>44454</v>
      </c>
      <c r="D554" s="209">
        <v>19</v>
      </c>
      <c r="E554" s="217">
        <f t="shared" si="96"/>
        <v>5.45</v>
      </c>
      <c r="F554" s="218">
        <f t="shared" si="97"/>
        <v>6.45</v>
      </c>
      <c r="G554" s="219">
        <f t="shared" si="98"/>
        <v>6.45</v>
      </c>
      <c r="H554" s="220">
        <f t="shared" si="99"/>
        <v>7.45</v>
      </c>
      <c r="I554" s="257" t="str">
        <f t="shared" si="100"/>
        <v>6-7 years</v>
      </c>
      <c r="J554" s="211">
        <f t="shared" si="101"/>
        <v>0.83835616438356164</v>
      </c>
      <c r="K554" s="258">
        <f>$D554*J554*_xlfn.XLOOKUP($I554,'Sample Size cal and results'!$B$24:$B$25,'Sample Size cal and results'!$H$24:$H$25)</f>
        <v>13.060065963986959</v>
      </c>
      <c r="L554" s="211">
        <f t="shared" si="102"/>
        <v>0.16164383561643836</v>
      </c>
      <c r="M554" s="211">
        <f>$D554*L554*_xlfn.XLOOKUP($I554,'Sample Size cal and results'!$B$24:$B$25,'Sample Size cal and results'!$I$24:$I$25)</f>
        <v>2.5836141723560426</v>
      </c>
      <c r="N554" s="214">
        <f t="shared" si="103"/>
        <v>15.643680136343002</v>
      </c>
      <c r="O554" s="225" t="str">
        <f t="shared" si="104"/>
        <v>7-8 years</v>
      </c>
      <c r="P554" s="226">
        <f t="shared" si="105"/>
        <v>0.54520547945205478</v>
      </c>
      <c r="Q554" s="227">
        <f>$D554*P554*_xlfn.XLOOKUP($O554,'Sample Size cal and results'!$B$26:$B$27,'Sample Size cal and results'!$I$26:$I$27)</f>
        <v>6.7309203915301428</v>
      </c>
      <c r="R554" s="330"/>
    </row>
    <row r="555" spans="1:18" ht="12.75">
      <c r="A555" s="99" t="s">
        <v>143</v>
      </c>
      <c r="B555" s="100">
        <v>41897</v>
      </c>
      <c r="C555" s="100">
        <f t="shared" si="95"/>
        <v>44453</v>
      </c>
      <c r="D555" s="209">
        <v>1296</v>
      </c>
      <c r="E555" s="217">
        <f t="shared" si="96"/>
        <v>5.45</v>
      </c>
      <c r="F555" s="218">
        <f t="shared" si="97"/>
        <v>6.45</v>
      </c>
      <c r="G555" s="219">
        <f t="shared" si="98"/>
        <v>6.45</v>
      </c>
      <c r="H555" s="220">
        <f t="shared" si="99"/>
        <v>7.45</v>
      </c>
      <c r="I555" s="257" t="str">
        <f t="shared" si="100"/>
        <v>6-7 years</v>
      </c>
      <c r="J555" s="211">
        <f t="shared" si="101"/>
        <v>0.83835616438356164</v>
      </c>
      <c r="K555" s="258">
        <f>$D555*J555*_xlfn.XLOOKUP($I555,'Sample Size cal and results'!$B$24:$B$25,'Sample Size cal and results'!$H$24:$H$25)</f>
        <v>890.83397312247905</v>
      </c>
      <c r="L555" s="211">
        <f t="shared" si="102"/>
        <v>0.16164383561643836</v>
      </c>
      <c r="M555" s="211">
        <f>$D555*L555*_xlfn.XLOOKUP($I555,'Sample Size cal and results'!$B$24:$B$25,'Sample Size cal and results'!$I$24:$I$25)</f>
        <v>176.22968249333849</v>
      </c>
      <c r="N555" s="214">
        <f t="shared" si="103"/>
        <v>1067.0636556158174</v>
      </c>
      <c r="O555" s="225" t="str">
        <f t="shared" si="104"/>
        <v>7-8 years</v>
      </c>
      <c r="P555" s="226">
        <f t="shared" si="105"/>
        <v>0.54246575342465753</v>
      </c>
      <c r="Q555" s="227">
        <f>$D555*P555*_xlfn.XLOOKUP($O555,'Sample Size cal and results'!$B$26:$B$27,'Sample Size cal and results'!$I$26:$I$27)</f>
        <v>456.81248871456404</v>
      </c>
      <c r="R555" s="330"/>
    </row>
    <row r="556" spans="1:18" ht="12.75">
      <c r="A556" s="99" t="s">
        <v>145</v>
      </c>
      <c r="B556" s="100">
        <v>41897</v>
      </c>
      <c r="C556" s="100">
        <f t="shared" si="95"/>
        <v>44453</v>
      </c>
      <c r="D556" s="209">
        <v>540</v>
      </c>
      <c r="E556" s="217">
        <f t="shared" si="96"/>
        <v>5.45</v>
      </c>
      <c r="F556" s="218">
        <f t="shared" si="97"/>
        <v>6.45</v>
      </c>
      <c r="G556" s="219">
        <f t="shared" si="98"/>
        <v>6.45</v>
      </c>
      <c r="H556" s="220">
        <f t="shared" si="99"/>
        <v>7.45</v>
      </c>
      <c r="I556" s="257" t="str">
        <f t="shared" si="100"/>
        <v>6-7 years</v>
      </c>
      <c r="J556" s="211">
        <f t="shared" si="101"/>
        <v>0.83835616438356164</v>
      </c>
      <c r="K556" s="258">
        <f>$D556*J556*_xlfn.XLOOKUP($I556,'Sample Size cal and results'!$B$24:$B$25,'Sample Size cal and results'!$H$24:$H$25)</f>
        <v>371.18082213436622</v>
      </c>
      <c r="L556" s="211">
        <f t="shared" si="102"/>
        <v>0.16164383561643836</v>
      </c>
      <c r="M556" s="211">
        <f>$D556*L556*_xlfn.XLOOKUP($I556,'Sample Size cal and results'!$B$24:$B$25,'Sample Size cal and results'!$I$24:$I$25)</f>
        <v>73.429034372224365</v>
      </c>
      <c r="N556" s="214">
        <f t="shared" si="103"/>
        <v>444.60985650659057</v>
      </c>
      <c r="O556" s="225" t="str">
        <f t="shared" si="104"/>
        <v>7-8 years</v>
      </c>
      <c r="P556" s="226">
        <f t="shared" si="105"/>
        <v>0.54246575342465753</v>
      </c>
      <c r="Q556" s="227">
        <f>$D556*P556*_xlfn.XLOOKUP($O556,'Sample Size cal and results'!$B$26:$B$27,'Sample Size cal and results'!$I$26:$I$27)</f>
        <v>190.3385369644017</v>
      </c>
      <c r="R556" s="330"/>
    </row>
    <row r="557" spans="1:18" ht="12.75">
      <c r="A557" s="99" t="s">
        <v>147</v>
      </c>
      <c r="B557" s="100">
        <v>41897</v>
      </c>
      <c r="C557" s="100">
        <f t="shared" si="95"/>
        <v>44453</v>
      </c>
      <c r="D557" s="209">
        <v>351</v>
      </c>
      <c r="E557" s="217">
        <f t="shared" si="96"/>
        <v>5.45</v>
      </c>
      <c r="F557" s="218">
        <f t="shared" si="97"/>
        <v>6.45</v>
      </c>
      <c r="G557" s="219">
        <f t="shared" si="98"/>
        <v>6.45</v>
      </c>
      <c r="H557" s="220">
        <f t="shared" si="99"/>
        <v>7.45</v>
      </c>
      <c r="I557" s="257" t="str">
        <f t="shared" si="100"/>
        <v>6-7 years</v>
      </c>
      <c r="J557" s="211">
        <f t="shared" si="101"/>
        <v>0.83835616438356164</v>
      </c>
      <c r="K557" s="258">
        <f>$D557*J557*_xlfn.XLOOKUP($I557,'Sample Size cal and results'!$B$24:$B$25,'Sample Size cal and results'!$H$24:$H$25)</f>
        <v>241.26753438733803</v>
      </c>
      <c r="L557" s="211">
        <f t="shared" si="102"/>
        <v>0.16164383561643836</v>
      </c>
      <c r="M557" s="211">
        <f>$D557*L557*_xlfn.XLOOKUP($I557,'Sample Size cal and results'!$B$24:$B$25,'Sample Size cal and results'!$I$24:$I$25)</f>
        <v>47.728872341945838</v>
      </c>
      <c r="N557" s="214">
        <f t="shared" si="103"/>
        <v>288.99640672928388</v>
      </c>
      <c r="O557" s="225" t="str">
        <f t="shared" si="104"/>
        <v>7-8 years</v>
      </c>
      <c r="P557" s="226">
        <f t="shared" si="105"/>
        <v>0.54246575342465753</v>
      </c>
      <c r="Q557" s="227">
        <f>$D557*P557*_xlfn.XLOOKUP($O557,'Sample Size cal and results'!$B$26:$B$27,'Sample Size cal and results'!$I$26:$I$27)</f>
        <v>123.72004902686112</v>
      </c>
      <c r="R557" s="330"/>
    </row>
    <row r="558" spans="1:18" ht="12.75">
      <c r="A558" s="99" t="s">
        <v>151</v>
      </c>
      <c r="B558" s="100">
        <v>41897</v>
      </c>
      <c r="C558" s="100">
        <f t="shared" si="95"/>
        <v>44453</v>
      </c>
      <c r="D558" s="209">
        <v>110</v>
      </c>
      <c r="E558" s="217">
        <f t="shared" si="96"/>
        <v>5.45</v>
      </c>
      <c r="F558" s="218">
        <f t="shared" si="97"/>
        <v>6.45</v>
      </c>
      <c r="G558" s="219">
        <f t="shared" si="98"/>
        <v>6.45</v>
      </c>
      <c r="H558" s="220">
        <f t="shared" si="99"/>
        <v>7.45</v>
      </c>
      <c r="I558" s="257" t="str">
        <f t="shared" si="100"/>
        <v>6-7 years</v>
      </c>
      <c r="J558" s="211">
        <f t="shared" si="101"/>
        <v>0.83835616438356164</v>
      </c>
      <c r="K558" s="258">
        <f>$D558*J558*_xlfn.XLOOKUP($I558,'Sample Size cal and results'!$B$24:$B$25,'Sample Size cal and results'!$H$24:$H$25)</f>
        <v>75.610908212556083</v>
      </c>
      <c r="L558" s="211">
        <f t="shared" si="102"/>
        <v>0.16164383561643836</v>
      </c>
      <c r="M558" s="211">
        <f>$D558*L558*_xlfn.XLOOKUP($I558,'Sample Size cal and results'!$B$24:$B$25,'Sample Size cal and results'!$I$24:$I$25)</f>
        <v>14.957766261008667</v>
      </c>
      <c r="N558" s="214">
        <f t="shared" si="103"/>
        <v>90.568674473564755</v>
      </c>
      <c r="O558" s="225" t="str">
        <f t="shared" si="104"/>
        <v>7-8 years</v>
      </c>
      <c r="P558" s="226">
        <f t="shared" si="105"/>
        <v>0.54246575342465753</v>
      </c>
      <c r="Q558" s="227">
        <f>$D558*P558*_xlfn.XLOOKUP($O558,'Sample Size cal and results'!$B$26:$B$27,'Sample Size cal and results'!$I$26:$I$27)</f>
        <v>38.772664937192943</v>
      </c>
      <c r="R558" s="330"/>
    </row>
    <row r="559" spans="1:18" ht="12.75">
      <c r="A559" s="99" t="s">
        <v>146</v>
      </c>
      <c r="B559" s="100">
        <v>41897</v>
      </c>
      <c r="C559" s="100">
        <f t="shared" si="95"/>
        <v>44453</v>
      </c>
      <c r="D559" s="209">
        <v>97</v>
      </c>
      <c r="E559" s="217">
        <f t="shared" si="96"/>
        <v>5.45</v>
      </c>
      <c r="F559" s="218">
        <f t="shared" si="97"/>
        <v>6.45</v>
      </c>
      <c r="G559" s="219">
        <f t="shared" si="98"/>
        <v>6.45</v>
      </c>
      <c r="H559" s="220">
        <f t="shared" si="99"/>
        <v>7.45</v>
      </c>
      <c r="I559" s="257" t="str">
        <f t="shared" si="100"/>
        <v>6-7 years</v>
      </c>
      <c r="J559" s="211">
        <f t="shared" si="101"/>
        <v>0.83835616438356164</v>
      </c>
      <c r="K559" s="258">
        <f>$D559*J559*_xlfn.XLOOKUP($I559,'Sample Size cal and results'!$B$24:$B$25,'Sample Size cal and results'!$H$24:$H$25)</f>
        <v>66.675073605617641</v>
      </c>
      <c r="L559" s="211">
        <f t="shared" si="102"/>
        <v>0.16164383561643836</v>
      </c>
      <c r="M559" s="211">
        <f>$D559*L559*_xlfn.XLOOKUP($I559,'Sample Size cal and results'!$B$24:$B$25,'Sample Size cal and results'!$I$24:$I$25)</f>
        <v>13.190030248344007</v>
      </c>
      <c r="N559" s="214">
        <f t="shared" si="103"/>
        <v>79.865103853961642</v>
      </c>
      <c r="O559" s="225" t="str">
        <f t="shared" si="104"/>
        <v>7-8 years</v>
      </c>
      <c r="P559" s="226">
        <f t="shared" si="105"/>
        <v>0.54246575342465753</v>
      </c>
      <c r="Q559" s="227">
        <f>$D559*P559*_xlfn.XLOOKUP($O559,'Sample Size cal and results'!$B$26:$B$27,'Sample Size cal and results'!$I$26:$I$27)</f>
        <v>34.190440899161047</v>
      </c>
      <c r="R559" s="330"/>
    </row>
    <row r="560" spans="1:18" ht="12.75">
      <c r="A560" s="99" t="s">
        <v>48</v>
      </c>
      <c r="B560" s="100">
        <v>41897</v>
      </c>
      <c r="C560" s="100">
        <f t="shared" si="95"/>
        <v>44453</v>
      </c>
      <c r="D560" s="209">
        <v>42</v>
      </c>
      <c r="E560" s="217">
        <f t="shared" si="96"/>
        <v>5.45</v>
      </c>
      <c r="F560" s="218">
        <f t="shared" si="97"/>
        <v>6.45</v>
      </c>
      <c r="G560" s="219">
        <f t="shared" si="98"/>
        <v>6.45</v>
      </c>
      <c r="H560" s="220">
        <f t="shared" si="99"/>
        <v>7.45</v>
      </c>
      <c r="I560" s="257" t="str">
        <f t="shared" si="100"/>
        <v>6-7 years</v>
      </c>
      <c r="J560" s="211">
        <f t="shared" si="101"/>
        <v>0.83835616438356164</v>
      </c>
      <c r="K560" s="258">
        <f>$D560*J560*_xlfn.XLOOKUP($I560,'Sample Size cal and results'!$B$24:$B$25,'Sample Size cal and results'!$H$24:$H$25)</f>
        <v>28.869619499339596</v>
      </c>
      <c r="L560" s="211">
        <f t="shared" si="102"/>
        <v>0.16164383561643836</v>
      </c>
      <c r="M560" s="211">
        <f>$D560*L560*_xlfn.XLOOKUP($I560,'Sample Size cal and results'!$B$24:$B$25,'Sample Size cal and results'!$I$24:$I$25)</f>
        <v>5.7111471178396735</v>
      </c>
      <c r="N560" s="214">
        <f t="shared" si="103"/>
        <v>34.580766617179272</v>
      </c>
      <c r="O560" s="225" t="str">
        <f t="shared" si="104"/>
        <v>7-8 years</v>
      </c>
      <c r="P560" s="226">
        <f t="shared" si="105"/>
        <v>0.54246575342465753</v>
      </c>
      <c r="Q560" s="227">
        <f>$D560*P560*_xlfn.XLOOKUP($O560,'Sample Size cal and results'!$B$26:$B$27,'Sample Size cal and results'!$I$26:$I$27)</f>
        <v>14.804108430564575</v>
      </c>
      <c r="R560" s="330"/>
    </row>
    <row r="561" spans="1:18" ht="12.75">
      <c r="A561" s="99" t="s">
        <v>145</v>
      </c>
      <c r="B561" s="100">
        <v>41896</v>
      </c>
      <c r="C561" s="100">
        <f t="shared" si="95"/>
        <v>44452</v>
      </c>
      <c r="D561" s="209">
        <v>110</v>
      </c>
      <c r="E561" s="217">
        <f t="shared" si="96"/>
        <v>5.46</v>
      </c>
      <c r="F561" s="218">
        <f t="shared" si="97"/>
        <v>6.45</v>
      </c>
      <c r="G561" s="219">
        <f t="shared" si="98"/>
        <v>6.46</v>
      </c>
      <c r="H561" s="220">
        <f t="shared" si="99"/>
        <v>7.45</v>
      </c>
      <c r="I561" s="257" t="str">
        <f t="shared" si="100"/>
        <v>6-7 years</v>
      </c>
      <c r="J561" s="211">
        <f t="shared" si="101"/>
        <v>0.83835616438356164</v>
      </c>
      <c r="K561" s="258">
        <f>$D561*J561*_xlfn.XLOOKUP($I561,'Sample Size cal and results'!$B$24:$B$25,'Sample Size cal and results'!$H$24:$H$25)</f>
        <v>75.610908212556083</v>
      </c>
      <c r="L561" s="211">
        <f t="shared" si="102"/>
        <v>0.16164383561643836</v>
      </c>
      <c r="M561" s="211">
        <f>$D561*L561*_xlfn.XLOOKUP($I561,'Sample Size cal and results'!$B$24:$B$25,'Sample Size cal and results'!$I$24:$I$25)</f>
        <v>14.957766261008667</v>
      </c>
      <c r="N561" s="214">
        <f t="shared" si="103"/>
        <v>90.568674473564755</v>
      </c>
      <c r="O561" s="225" t="str">
        <f t="shared" si="104"/>
        <v>7-8 years</v>
      </c>
      <c r="P561" s="226">
        <f t="shared" si="105"/>
        <v>0.53972602739726028</v>
      </c>
      <c r="Q561" s="227">
        <f>$D561*P561*_xlfn.XLOOKUP($O561,'Sample Size cal and results'!$B$26:$B$27,'Sample Size cal and results'!$I$26:$I$27)</f>
        <v>38.57684339710611</v>
      </c>
      <c r="R561" s="330"/>
    </row>
    <row r="562" spans="1:18" ht="12.75">
      <c r="A562" s="99" t="s">
        <v>143</v>
      </c>
      <c r="B562" s="100">
        <v>41896</v>
      </c>
      <c r="C562" s="100">
        <f t="shared" si="95"/>
        <v>44452</v>
      </c>
      <c r="D562" s="209">
        <v>24</v>
      </c>
      <c r="E562" s="217">
        <f t="shared" si="96"/>
        <v>5.46</v>
      </c>
      <c r="F562" s="218">
        <f t="shared" si="97"/>
        <v>6.45</v>
      </c>
      <c r="G562" s="219">
        <f t="shared" si="98"/>
        <v>6.46</v>
      </c>
      <c r="H562" s="220">
        <f t="shared" si="99"/>
        <v>7.45</v>
      </c>
      <c r="I562" s="257" t="str">
        <f t="shared" si="100"/>
        <v>6-7 years</v>
      </c>
      <c r="J562" s="211">
        <f t="shared" si="101"/>
        <v>0.83835616438356164</v>
      </c>
      <c r="K562" s="258">
        <f>$D562*J562*_xlfn.XLOOKUP($I562,'Sample Size cal and results'!$B$24:$B$25,'Sample Size cal and results'!$H$24:$H$25)</f>
        <v>16.496925428194054</v>
      </c>
      <c r="L562" s="211">
        <f t="shared" si="102"/>
        <v>0.16164383561643836</v>
      </c>
      <c r="M562" s="211">
        <f>$D562*L562*_xlfn.XLOOKUP($I562,'Sample Size cal and results'!$B$24:$B$25,'Sample Size cal and results'!$I$24:$I$25)</f>
        <v>3.2635126387655276</v>
      </c>
      <c r="N562" s="214">
        <f t="shared" si="103"/>
        <v>19.76043806695958</v>
      </c>
      <c r="O562" s="225" t="str">
        <f t="shared" si="104"/>
        <v>7-8 years</v>
      </c>
      <c r="P562" s="226">
        <f t="shared" si="105"/>
        <v>0.53972602739726028</v>
      </c>
      <c r="Q562" s="227">
        <f>$D562*P562*_xlfn.XLOOKUP($O562,'Sample Size cal and results'!$B$26:$B$27,'Sample Size cal and results'!$I$26:$I$27)</f>
        <v>8.4167658320958765</v>
      </c>
      <c r="R562" s="330"/>
    </row>
    <row r="563" spans="1:18" ht="12.75">
      <c r="A563" s="99" t="s">
        <v>151</v>
      </c>
      <c r="B563" s="100">
        <v>41896</v>
      </c>
      <c r="C563" s="100">
        <f t="shared" si="95"/>
        <v>44452</v>
      </c>
      <c r="D563" s="209">
        <v>17</v>
      </c>
      <c r="E563" s="217">
        <f t="shared" si="96"/>
        <v>5.46</v>
      </c>
      <c r="F563" s="218">
        <f t="shared" si="97"/>
        <v>6.45</v>
      </c>
      <c r="G563" s="219">
        <f t="shared" si="98"/>
        <v>6.46</v>
      </c>
      <c r="H563" s="220">
        <f t="shared" si="99"/>
        <v>7.45</v>
      </c>
      <c r="I563" s="257" t="str">
        <f t="shared" si="100"/>
        <v>6-7 years</v>
      </c>
      <c r="J563" s="211">
        <f t="shared" si="101"/>
        <v>0.83835616438356164</v>
      </c>
      <c r="K563" s="258">
        <f>$D563*J563*_xlfn.XLOOKUP($I563,'Sample Size cal and results'!$B$24:$B$25,'Sample Size cal and results'!$H$24:$H$25)</f>
        <v>11.685322178304123</v>
      </c>
      <c r="L563" s="211">
        <f t="shared" si="102"/>
        <v>0.16164383561643836</v>
      </c>
      <c r="M563" s="211">
        <f>$D563*L563*_xlfn.XLOOKUP($I563,'Sample Size cal and results'!$B$24:$B$25,'Sample Size cal and results'!$I$24:$I$25)</f>
        <v>2.3116547857922489</v>
      </c>
      <c r="N563" s="214">
        <f t="shared" si="103"/>
        <v>13.996976964096373</v>
      </c>
      <c r="O563" s="225" t="str">
        <f t="shared" si="104"/>
        <v>7-8 years</v>
      </c>
      <c r="P563" s="226">
        <f t="shared" si="105"/>
        <v>0.53972602739726028</v>
      </c>
      <c r="Q563" s="227">
        <f>$D563*P563*_xlfn.XLOOKUP($O563,'Sample Size cal and results'!$B$26:$B$27,'Sample Size cal and results'!$I$26:$I$27)</f>
        <v>5.9618757977345798</v>
      </c>
      <c r="R563" s="330"/>
    </row>
    <row r="564" spans="1:18" ht="12.75">
      <c r="A564" s="99" t="s">
        <v>145</v>
      </c>
      <c r="B564" s="100">
        <v>41895</v>
      </c>
      <c r="C564" s="100">
        <f t="shared" si="95"/>
        <v>44451</v>
      </c>
      <c r="D564" s="209">
        <v>170</v>
      </c>
      <c r="E564" s="217">
        <f t="shared" si="96"/>
        <v>5.46</v>
      </c>
      <c r="F564" s="218">
        <f t="shared" si="97"/>
        <v>6.46</v>
      </c>
      <c r="G564" s="219">
        <f t="shared" si="98"/>
        <v>6.46</v>
      </c>
      <c r="H564" s="220">
        <f t="shared" si="99"/>
        <v>7.46</v>
      </c>
      <c r="I564" s="257" t="str">
        <f t="shared" si="100"/>
        <v>6-7 years</v>
      </c>
      <c r="J564" s="211">
        <f t="shared" si="101"/>
        <v>0.83835616438356164</v>
      </c>
      <c r="K564" s="258">
        <f>$D564*J564*_xlfn.XLOOKUP($I564,'Sample Size cal and results'!$B$24:$B$25,'Sample Size cal and results'!$H$24:$H$25)</f>
        <v>116.85322178304123</v>
      </c>
      <c r="L564" s="211">
        <f t="shared" si="102"/>
        <v>0.16164383561643836</v>
      </c>
      <c r="M564" s="211">
        <f>$D564*L564*_xlfn.XLOOKUP($I564,'Sample Size cal and results'!$B$24:$B$25,'Sample Size cal and results'!$I$24:$I$25)</f>
        <v>23.116547857922487</v>
      </c>
      <c r="N564" s="214">
        <f t="shared" si="103"/>
        <v>139.96976964096373</v>
      </c>
      <c r="O564" s="225" t="str">
        <f t="shared" si="104"/>
        <v>7-8 years</v>
      </c>
      <c r="P564" s="226">
        <f t="shared" si="105"/>
        <v>0.53698630136986303</v>
      </c>
      <c r="Q564" s="227">
        <f>$D564*P564*_xlfn.XLOOKUP($O564,'Sample Size cal and results'!$B$26:$B$27,'Sample Size cal and results'!$I$26:$I$27)</f>
        <v>59.316124688120702</v>
      </c>
      <c r="R564" s="330"/>
    </row>
    <row r="565" spans="1:18" ht="12.75">
      <c r="A565" s="99" t="s">
        <v>143</v>
      </c>
      <c r="B565" s="100">
        <v>41895</v>
      </c>
      <c r="C565" s="100">
        <f t="shared" si="95"/>
        <v>44451</v>
      </c>
      <c r="D565" s="209">
        <v>53</v>
      </c>
      <c r="E565" s="217">
        <f t="shared" si="96"/>
        <v>5.46</v>
      </c>
      <c r="F565" s="218">
        <f t="shared" si="97"/>
        <v>6.46</v>
      </c>
      <c r="G565" s="219">
        <f t="shared" si="98"/>
        <v>6.46</v>
      </c>
      <c r="H565" s="220">
        <f t="shared" si="99"/>
        <v>7.46</v>
      </c>
      <c r="I565" s="257" t="str">
        <f t="shared" si="100"/>
        <v>6-7 years</v>
      </c>
      <c r="J565" s="211">
        <f t="shared" si="101"/>
        <v>0.83835616438356164</v>
      </c>
      <c r="K565" s="258">
        <f>$D565*J565*_xlfn.XLOOKUP($I565,'Sample Size cal and results'!$B$24:$B$25,'Sample Size cal and results'!$H$24:$H$25)</f>
        <v>36.430710320595203</v>
      </c>
      <c r="L565" s="211">
        <f t="shared" si="102"/>
        <v>0.16164383561643836</v>
      </c>
      <c r="M565" s="211">
        <f>$D565*L565*_xlfn.XLOOKUP($I565,'Sample Size cal and results'!$B$24:$B$25,'Sample Size cal and results'!$I$24:$I$25)</f>
        <v>7.20692374394054</v>
      </c>
      <c r="N565" s="214">
        <f t="shared" si="103"/>
        <v>43.637634064535746</v>
      </c>
      <c r="O565" s="225" t="str">
        <f t="shared" si="104"/>
        <v>7-8 years</v>
      </c>
      <c r="P565" s="226">
        <f t="shared" si="105"/>
        <v>0.53698630136986303</v>
      </c>
      <c r="Q565" s="227">
        <f>$D565*P565*_xlfn.XLOOKUP($O565,'Sample Size cal and results'!$B$26:$B$27,'Sample Size cal and results'!$I$26:$I$27)</f>
        <v>18.492674167472924</v>
      </c>
      <c r="R565" s="330"/>
    </row>
    <row r="566" spans="1:18" ht="12.75">
      <c r="A566" s="99" t="s">
        <v>151</v>
      </c>
      <c r="B566" s="100">
        <v>41895</v>
      </c>
      <c r="C566" s="100">
        <f t="shared" si="95"/>
        <v>44451</v>
      </c>
      <c r="D566" s="209">
        <v>19</v>
      </c>
      <c r="E566" s="217">
        <f t="shared" si="96"/>
        <v>5.46</v>
      </c>
      <c r="F566" s="218">
        <f t="shared" si="97"/>
        <v>6.46</v>
      </c>
      <c r="G566" s="219">
        <f t="shared" si="98"/>
        <v>6.46</v>
      </c>
      <c r="H566" s="220">
        <f t="shared" si="99"/>
        <v>7.46</v>
      </c>
      <c r="I566" s="257" t="str">
        <f t="shared" si="100"/>
        <v>6-7 years</v>
      </c>
      <c r="J566" s="211">
        <f t="shared" si="101"/>
        <v>0.83835616438356164</v>
      </c>
      <c r="K566" s="258">
        <f>$D566*J566*_xlfn.XLOOKUP($I566,'Sample Size cal and results'!$B$24:$B$25,'Sample Size cal and results'!$H$24:$H$25)</f>
        <v>13.060065963986959</v>
      </c>
      <c r="L566" s="211">
        <f t="shared" si="102"/>
        <v>0.16164383561643836</v>
      </c>
      <c r="M566" s="211">
        <f>$D566*L566*_xlfn.XLOOKUP($I566,'Sample Size cal and results'!$B$24:$B$25,'Sample Size cal and results'!$I$24:$I$25)</f>
        <v>2.5836141723560426</v>
      </c>
      <c r="N566" s="214">
        <f t="shared" si="103"/>
        <v>15.643680136343002</v>
      </c>
      <c r="O566" s="225" t="str">
        <f t="shared" si="104"/>
        <v>7-8 years</v>
      </c>
      <c r="P566" s="226">
        <f t="shared" si="105"/>
        <v>0.53698630136986303</v>
      </c>
      <c r="Q566" s="227">
        <f>$D566*P566*_xlfn.XLOOKUP($O566,'Sample Size cal and results'!$B$26:$B$27,'Sample Size cal and results'!$I$26:$I$27)</f>
        <v>6.6294492298487837</v>
      </c>
      <c r="R566" s="330"/>
    </row>
    <row r="567" spans="1:18" ht="12.75">
      <c r="A567" s="99" t="s">
        <v>145</v>
      </c>
      <c r="B567" s="100">
        <v>41894</v>
      </c>
      <c r="C567" s="100">
        <f t="shared" si="95"/>
        <v>44450</v>
      </c>
      <c r="D567" s="209">
        <v>120</v>
      </c>
      <c r="E567" s="217">
        <f t="shared" si="96"/>
        <v>5.46</v>
      </c>
      <c r="F567" s="218">
        <f t="shared" si="97"/>
        <v>6.46</v>
      </c>
      <c r="G567" s="219">
        <f t="shared" si="98"/>
        <v>6.46</v>
      </c>
      <c r="H567" s="220">
        <f t="shared" si="99"/>
        <v>7.46</v>
      </c>
      <c r="I567" s="257" t="str">
        <f t="shared" si="100"/>
        <v>6-7 years</v>
      </c>
      <c r="J567" s="211">
        <f t="shared" si="101"/>
        <v>0.83835616438356164</v>
      </c>
      <c r="K567" s="258">
        <f>$D567*J567*_xlfn.XLOOKUP($I567,'Sample Size cal and results'!$B$24:$B$25,'Sample Size cal and results'!$H$24:$H$25)</f>
        <v>82.484627140970275</v>
      </c>
      <c r="L567" s="211">
        <f t="shared" si="102"/>
        <v>0.16164383561643836</v>
      </c>
      <c r="M567" s="211">
        <f>$D567*L567*_xlfn.XLOOKUP($I567,'Sample Size cal and results'!$B$24:$B$25,'Sample Size cal and results'!$I$24:$I$25)</f>
        <v>16.317563193827638</v>
      </c>
      <c r="N567" s="214">
        <f t="shared" si="103"/>
        <v>98.802190334797913</v>
      </c>
      <c r="O567" s="225" t="str">
        <f t="shared" si="104"/>
        <v>7-8 years</v>
      </c>
      <c r="P567" s="226">
        <f t="shared" si="105"/>
        <v>0.53424657534246578</v>
      </c>
      <c r="Q567" s="227">
        <f>$D567*P567*_xlfn.XLOOKUP($O567,'Sample Size cal and results'!$B$26:$B$27,'Sample Size cal and results'!$I$26:$I$27)</f>
        <v>41.656582163926295</v>
      </c>
      <c r="R567" s="330"/>
    </row>
    <row r="568" spans="1:18" ht="12.75">
      <c r="A568" s="99" t="s">
        <v>143</v>
      </c>
      <c r="B568" s="100">
        <v>41894</v>
      </c>
      <c r="C568" s="100">
        <f t="shared" si="95"/>
        <v>44450</v>
      </c>
      <c r="D568" s="209">
        <v>59</v>
      </c>
      <c r="E568" s="217">
        <f t="shared" si="96"/>
        <v>5.46</v>
      </c>
      <c r="F568" s="218">
        <f t="shared" si="97"/>
        <v>6.46</v>
      </c>
      <c r="G568" s="219">
        <f t="shared" si="98"/>
        <v>6.46</v>
      </c>
      <c r="H568" s="220">
        <f t="shared" si="99"/>
        <v>7.46</v>
      </c>
      <c r="I568" s="257" t="str">
        <f t="shared" si="100"/>
        <v>6-7 years</v>
      </c>
      <c r="J568" s="211">
        <f t="shared" si="101"/>
        <v>0.83835616438356164</v>
      </c>
      <c r="K568" s="258">
        <f>$D568*J568*_xlfn.XLOOKUP($I568,'Sample Size cal and results'!$B$24:$B$25,'Sample Size cal and results'!$H$24:$H$25)</f>
        <v>40.554941677643718</v>
      </c>
      <c r="L568" s="211">
        <f t="shared" si="102"/>
        <v>0.16164383561643836</v>
      </c>
      <c r="M568" s="211">
        <f>$D568*L568*_xlfn.XLOOKUP($I568,'Sample Size cal and results'!$B$24:$B$25,'Sample Size cal and results'!$I$24:$I$25)</f>
        <v>8.0228019036319207</v>
      </c>
      <c r="N568" s="214">
        <f t="shared" si="103"/>
        <v>48.577743581275641</v>
      </c>
      <c r="O568" s="225" t="str">
        <f t="shared" si="104"/>
        <v>7-8 years</v>
      </c>
      <c r="P568" s="226">
        <f t="shared" si="105"/>
        <v>0.53424657534246578</v>
      </c>
      <c r="Q568" s="227">
        <f>$D568*P568*_xlfn.XLOOKUP($O568,'Sample Size cal and results'!$B$26:$B$27,'Sample Size cal and results'!$I$26:$I$27)</f>
        <v>20.481152897263765</v>
      </c>
      <c r="R568" s="330"/>
    </row>
    <row r="569" spans="1:18" ht="12.75">
      <c r="A569" s="99" t="s">
        <v>151</v>
      </c>
      <c r="B569" s="100">
        <v>41894</v>
      </c>
      <c r="C569" s="100">
        <f t="shared" si="95"/>
        <v>44450</v>
      </c>
      <c r="D569" s="209">
        <v>19</v>
      </c>
      <c r="E569" s="217">
        <f t="shared" si="96"/>
        <v>5.46</v>
      </c>
      <c r="F569" s="218">
        <f t="shared" si="97"/>
        <v>6.46</v>
      </c>
      <c r="G569" s="219">
        <f t="shared" si="98"/>
        <v>6.46</v>
      </c>
      <c r="H569" s="220">
        <f t="shared" si="99"/>
        <v>7.46</v>
      </c>
      <c r="I569" s="257" t="str">
        <f t="shared" si="100"/>
        <v>6-7 years</v>
      </c>
      <c r="J569" s="211">
        <f t="shared" si="101"/>
        <v>0.83835616438356164</v>
      </c>
      <c r="K569" s="258">
        <f>$D569*J569*_xlfn.XLOOKUP($I569,'Sample Size cal and results'!$B$24:$B$25,'Sample Size cal and results'!$H$24:$H$25)</f>
        <v>13.060065963986959</v>
      </c>
      <c r="L569" s="211">
        <f t="shared" si="102"/>
        <v>0.16164383561643836</v>
      </c>
      <c r="M569" s="211">
        <f>$D569*L569*_xlfn.XLOOKUP($I569,'Sample Size cal and results'!$B$24:$B$25,'Sample Size cal and results'!$I$24:$I$25)</f>
        <v>2.5836141723560426</v>
      </c>
      <c r="N569" s="214">
        <f t="shared" si="103"/>
        <v>15.643680136343002</v>
      </c>
      <c r="O569" s="225" t="str">
        <f t="shared" si="104"/>
        <v>7-8 years</v>
      </c>
      <c r="P569" s="226">
        <f t="shared" si="105"/>
        <v>0.53424657534246578</v>
      </c>
      <c r="Q569" s="227">
        <f>$D569*P569*_xlfn.XLOOKUP($O569,'Sample Size cal and results'!$B$26:$B$27,'Sample Size cal and results'!$I$26:$I$27)</f>
        <v>6.5956255092883316</v>
      </c>
      <c r="R569" s="330"/>
    </row>
    <row r="570" spans="1:18" ht="12.75">
      <c r="A570" s="99" t="s">
        <v>151</v>
      </c>
      <c r="B570" s="100">
        <v>41893</v>
      </c>
      <c r="C570" s="100">
        <f t="shared" si="95"/>
        <v>44449</v>
      </c>
      <c r="D570" s="209">
        <v>150</v>
      </c>
      <c r="E570" s="217">
        <f t="shared" si="96"/>
        <v>5.46</v>
      </c>
      <c r="F570" s="218">
        <f t="shared" si="97"/>
        <v>6.46</v>
      </c>
      <c r="G570" s="219">
        <f t="shared" si="98"/>
        <v>6.46</v>
      </c>
      <c r="H570" s="220">
        <f t="shared" si="99"/>
        <v>7.46</v>
      </c>
      <c r="I570" s="257" t="str">
        <f t="shared" si="100"/>
        <v>6-7 years</v>
      </c>
      <c r="J570" s="211">
        <f t="shared" si="101"/>
        <v>0.83835616438356164</v>
      </c>
      <c r="K570" s="258">
        <f>$D570*J570*_xlfn.XLOOKUP($I570,'Sample Size cal and results'!$B$24:$B$25,'Sample Size cal and results'!$H$24:$H$25)</f>
        <v>103.10578392621284</v>
      </c>
      <c r="L570" s="211">
        <f t="shared" si="102"/>
        <v>0.16164383561643836</v>
      </c>
      <c r="M570" s="211">
        <f>$D570*L570*_xlfn.XLOOKUP($I570,'Sample Size cal and results'!$B$24:$B$25,'Sample Size cal and results'!$I$24:$I$25)</f>
        <v>20.396953992284548</v>
      </c>
      <c r="N570" s="214">
        <f t="shared" si="103"/>
        <v>123.50273791849739</v>
      </c>
      <c r="O570" s="225" t="str">
        <f t="shared" si="104"/>
        <v>7-8 years</v>
      </c>
      <c r="P570" s="226">
        <f t="shared" si="105"/>
        <v>0.53150684931506853</v>
      </c>
      <c r="Q570" s="227">
        <f>$D570*P570*_xlfn.XLOOKUP($O570,'Sample Size cal and results'!$B$26:$B$27,'Sample Size cal and results'!$I$26:$I$27)</f>
        <v>51.803698332062197</v>
      </c>
      <c r="R570" s="330"/>
    </row>
    <row r="571" spans="1:18" ht="12.75">
      <c r="A571" s="99" t="s">
        <v>145</v>
      </c>
      <c r="B571" s="100">
        <v>41893</v>
      </c>
      <c r="C571" s="100">
        <f t="shared" si="95"/>
        <v>44449</v>
      </c>
      <c r="D571" s="209">
        <v>113</v>
      </c>
      <c r="E571" s="217">
        <f t="shared" si="96"/>
        <v>5.46</v>
      </c>
      <c r="F571" s="218">
        <f t="shared" si="97"/>
        <v>6.46</v>
      </c>
      <c r="G571" s="219">
        <f t="shared" si="98"/>
        <v>6.46</v>
      </c>
      <c r="H571" s="220">
        <f t="shared" si="99"/>
        <v>7.46</v>
      </c>
      <c r="I571" s="257" t="str">
        <f t="shared" si="100"/>
        <v>6-7 years</v>
      </c>
      <c r="J571" s="211">
        <f t="shared" si="101"/>
        <v>0.83835616438356164</v>
      </c>
      <c r="K571" s="258">
        <f>$D571*J571*_xlfn.XLOOKUP($I571,'Sample Size cal and results'!$B$24:$B$25,'Sample Size cal and results'!$H$24:$H$25)</f>
        <v>77.673023891080348</v>
      </c>
      <c r="L571" s="211">
        <f t="shared" si="102"/>
        <v>0.16164383561643836</v>
      </c>
      <c r="M571" s="211">
        <f>$D571*L571*_xlfn.XLOOKUP($I571,'Sample Size cal and results'!$B$24:$B$25,'Sample Size cal and results'!$I$24:$I$25)</f>
        <v>15.36570534085436</v>
      </c>
      <c r="N571" s="214">
        <f t="shared" si="103"/>
        <v>93.03872923193471</v>
      </c>
      <c r="O571" s="225" t="str">
        <f t="shared" si="104"/>
        <v>7-8 years</v>
      </c>
      <c r="P571" s="226">
        <f t="shared" si="105"/>
        <v>0.53150684931506853</v>
      </c>
      <c r="Q571" s="227">
        <f>$D571*P571*_xlfn.XLOOKUP($O571,'Sample Size cal and results'!$B$26:$B$27,'Sample Size cal and results'!$I$26:$I$27)</f>
        <v>39.025452743486852</v>
      </c>
      <c r="R571" s="330"/>
    </row>
    <row r="572" spans="1:18" ht="12.75">
      <c r="A572" s="99" t="s">
        <v>143</v>
      </c>
      <c r="B572" s="100">
        <v>41893</v>
      </c>
      <c r="C572" s="100">
        <f t="shared" si="95"/>
        <v>44449</v>
      </c>
      <c r="D572" s="209">
        <v>22</v>
      </c>
      <c r="E572" s="217">
        <f t="shared" si="96"/>
        <v>5.46</v>
      </c>
      <c r="F572" s="218">
        <f t="shared" si="97"/>
        <v>6.46</v>
      </c>
      <c r="G572" s="219">
        <f t="shared" si="98"/>
        <v>6.46</v>
      </c>
      <c r="H572" s="220">
        <f t="shared" si="99"/>
        <v>7.46</v>
      </c>
      <c r="I572" s="257" t="str">
        <f t="shared" si="100"/>
        <v>6-7 years</v>
      </c>
      <c r="J572" s="211">
        <f t="shared" si="101"/>
        <v>0.83835616438356164</v>
      </c>
      <c r="K572" s="258">
        <f>$D572*J572*_xlfn.XLOOKUP($I572,'Sample Size cal and results'!$B$24:$B$25,'Sample Size cal and results'!$H$24:$H$25)</f>
        <v>15.122181642511217</v>
      </c>
      <c r="L572" s="211">
        <f t="shared" si="102"/>
        <v>0.16164383561643836</v>
      </c>
      <c r="M572" s="211">
        <f>$D572*L572*_xlfn.XLOOKUP($I572,'Sample Size cal and results'!$B$24:$B$25,'Sample Size cal and results'!$I$24:$I$25)</f>
        <v>2.9915532522017334</v>
      </c>
      <c r="N572" s="214">
        <f t="shared" si="103"/>
        <v>18.113734894712952</v>
      </c>
      <c r="O572" s="225" t="str">
        <f t="shared" si="104"/>
        <v>7-8 years</v>
      </c>
      <c r="P572" s="226">
        <f t="shared" si="105"/>
        <v>0.53150684931506853</v>
      </c>
      <c r="Q572" s="227">
        <f>$D572*P572*_xlfn.XLOOKUP($O572,'Sample Size cal and results'!$B$26:$B$27,'Sample Size cal and results'!$I$26:$I$27)</f>
        <v>7.5978757553691221</v>
      </c>
      <c r="R572" s="330"/>
    </row>
    <row r="573" spans="1:18" ht="12.75">
      <c r="A573" s="99" t="s">
        <v>145</v>
      </c>
      <c r="B573" s="100">
        <v>41892</v>
      </c>
      <c r="C573" s="100">
        <f t="shared" si="95"/>
        <v>44448</v>
      </c>
      <c r="D573" s="209">
        <v>119</v>
      </c>
      <c r="E573" s="217">
        <f t="shared" si="96"/>
        <v>5.47</v>
      </c>
      <c r="F573" s="218">
        <f t="shared" si="97"/>
        <v>6.46</v>
      </c>
      <c r="G573" s="219">
        <f t="shared" si="98"/>
        <v>6.47</v>
      </c>
      <c r="H573" s="220">
        <f t="shared" si="99"/>
        <v>7.46</v>
      </c>
      <c r="I573" s="257" t="str">
        <f t="shared" si="100"/>
        <v>6-7 years</v>
      </c>
      <c r="J573" s="211">
        <f t="shared" si="101"/>
        <v>0.83835616438356164</v>
      </c>
      <c r="K573" s="258">
        <f>$D573*J573*_xlfn.XLOOKUP($I573,'Sample Size cal and results'!$B$24:$B$25,'Sample Size cal and results'!$H$24:$H$25)</f>
        <v>81.797255248128863</v>
      </c>
      <c r="L573" s="211">
        <f t="shared" si="102"/>
        <v>0.16164383561643836</v>
      </c>
      <c r="M573" s="211">
        <f>$D573*L573*_xlfn.XLOOKUP($I573,'Sample Size cal and results'!$B$24:$B$25,'Sample Size cal and results'!$I$24:$I$25)</f>
        <v>16.181583500545742</v>
      </c>
      <c r="N573" s="214">
        <f t="shared" si="103"/>
        <v>97.978838748674605</v>
      </c>
      <c r="O573" s="225" t="str">
        <f t="shared" si="104"/>
        <v>7-8 years</v>
      </c>
      <c r="P573" s="226">
        <f t="shared" si="105"/>
        <v>0.52876712328767128</v>
      </c>
      <c r="Q573" s="227">
        <f>$D573*P573*_xlfn.XLOOKUP($O573,'Sample Size cal and results'!$B$26:$B$27,'Sample Size cal and results'!$I$26:$I$27)</f>
        <v>40.885757374311773</v>
      </c>
      <c r="R573" s="330"/>
    </row>
    <row r="574" spans="1:18" ht="12.75">
      <c r="A574" s="99" t="s">
        <v>143</v>
      </c>
      <c r="B574" s="100">
        <v>41892</v>
      </c>
      <c r="C574" s="100">
        <f t="shared" si="95"/>
        <v>44448</v>
      </c>
      <c r="D574" s="209">
        <v>34</v>
      </c>
      <c r="E574" s="217">
        <f t="shared" si="96"/>
        <v>5.47</v>
      </c>
      <c r="F574" s="218">
        <f t="shared" si="97"/>
        <v>6.46</v>
      </c>
      <c r="G574" s="219">
        <f t="shared" si="98"/>
        <v>6.47</v>
      </c>
      <c r="H574" s="220">
        <f t="shared" si="99"/>
        <v>7.46</v>
      </c>
      <c r="I574" s="257" t="str">
        <f t="shared" si="100"/>
        <v>6-7 years</v>
      </c>
      <c r="J574" s="211">
        <f t="shared" si="101"/>
        <v>0.83835616438356164</v>
      </c>
      <c r="K574" s="258">
        <f>$D574*J574*_xlfn.XLOOKUP($I574,'Sample Size cal and results'!$B$24:$B$25,'Sample Size cal and results'!$H$24:$H$25)</f>
        <v>23.370644356608246</v>
      </c>
      <c r="L574" s="211">
        <f t="shared" si="102"/>
        <v>0.16164383561643836</v>
      </c>
      <c r="M574" s="211">
        <f>$D574*L574*_xlfn.XLOOKUP($I574,'Sample Size cal and results'!$B$24:$B$25,'Sample Size cal and results'!$I$24:$I$25)</f>
        <v>4.6233095715844978</v>
      </c>
      <c r="N574" s="214">
        <f t="shared" si="103"/>
        <v>27.993953928192745</v>
      </c>
      <c r="O574" s="225" t="str">
        <f t="shared" si="104"/>
        <v>7-8 years</v>
      </c>
      <c r="P574" s="226">
        <f t="shared" si="105"/>
        <v>0.52876712328767128</v>
      </c>
      <c r="Q574" s="227">
        <f>$D574*P574*_xlfn.XLOOKUP($O574,'Sample Size cal and results'!$B$26:$B$27,'Sample Size cal and results'!$I$26:$I$27)</f>
        <v>11.681644964089077</v>
      </c>
      <c r="R574" s="330"/>
    </row>
    <row r="575" spans="1:18" ht="12.75">
      <c r="A575" s="99" t="s">
        <v>151</v>
      </c>
      <c r="B575" s="100">
        <v>41892</v>
      </c>
      <c r="C575" s="100">
        <f t="shared" si="95"/>
        <v>44448</v>
      </c>
      <c r="D575" s="209">
        <v>30</v>
      </c>
      <c r="E575" s="217">
        <f t="shared" si="96"/>
        <v>5.47</v>
      </c>
      <c r="F575" s="218">
        <f t="shared" si="97"/>
        <v>6.46</v>
      </c>
      <c r="G575" s="219">
        <f t="shared" si="98"/>
        <v>6.47</v>
      </c>
      <c r="H575" s="220">
        <f t="shared" si="99"/>
        <v>7.46</v>
      </c>
      <c r="I575" s="257" t="str">
        <f t="shared" si="100"/>
        <v>6-7 years</v>
      </c>
      <c r="J575" s="211">
        <f t="shared" si="101"/>
        <v>0.83835616438356164</v>
      </c>
      <c r="K575" s="258">
        <f>$D575*J575*_xlfn.XLOOKUP($I575,'Sample Size cal and results'!$B$24:$B$25,'Sample Size cal and results'!$H$24:$H$25)</f>
        <v>20.621156785242569</v>
      </c>
      <c r="L575" s="211">
        <f t="shared" si="102"/>
        <v>0.16164383561643836</v>
      </c>
      <c r="M575" s="211">
        <f>$D575*L575*_xlfn.XLOOKUP($I575,'Sample Size cal and results'!$B$24:$B$25,'Sample Size cal and results'!$I$24:$I$25)</f>
        <v>4.0793907984569096</v>
      </c>
      <c r="N575" s="214">
        <f t="shared" si="103"/>
        <v>24.700547583699478</v>
      </c>
      <c r="O575" s="225" t="str">
        <f t="shared" si="104"/>
        <v>7-8 years</v>
      </c>
      <c r="P575" s="226">
        <f t="shared" si="105"/>
        <v>0.52876712328767128</v>
      </c>
      <c r="Q575" s="227">
        <f>$D575*P575*_xlfn.XLOOKUP($O575,'Sample Size cal and results'!$B$26:$B$27,'Sample Size cal and results'!$I$26:$I$27)</f>
        <v>10.307333791843304</v>
      </c>
      <c r="R575" s="330"/>
    </row>
    <row r="576" spans="1:18" ht="12.75">
      <c r="A576" s="99" t="s">
        <v>145</v>
      </c>
      <c r="B576" s="100">
        <v>41891</v>
      </c>
      <c r="C576" s="100">
        <f t="shared" si="95"/>
        <v>44447</v>
      </c>
      <c r="D576" s="209">
        <v>98</v>
      </c>
      <c r="E576" s="217">
        <f t="shared" si="96"/>
        <v>5.47</v>
      </c>
      <c r="F576" s="218">
        <f t="shared" si="97"/>
        <v>6.47</v>
      </c>
      <c r="G576" s="219">
        <f t="shared" si="98"/>
        <v>6.47</v>
      </c>
      <c r="H576" s="220">
        <f t="shared" si="99"/>
        <v>7.47</v>
      </c>
      <c r="I576" s="257" t="str">
        <f t="shared" si="100"/>
        <v>6-7 years</v>
      </c>
      <c r="J576" s="211">
        <f t="shared" si="101"/>
        <v>0.83835616438356164</v>
      </c>
      <c r="K576" s="258">
        <f>$D576*J576*_xlfn.XLOOKUP($I576,'Sample Size cal and results'!$B$24:$B$25,'Sample Size cal and results'!$H$24:$H$25)</f>
        <v>67.362445498459053</v>
      </c>
      <c r="L576" s="211">
        <f t="shared" si="102"/>
        <v>0.16164383561643836</v>
      </c>
      <c r="M576" s="211">
        <f>$D576*L576*_xlfn.XLOOKUP($I576,'Sample Size cal and results'!$B$24:$B$25,'Sample Size cal and results'!$I$24:$I$25)</f>
        <v>13.326009941625903</v>
      </c>
      <c r="N576" s="214">
        <f t="shared" si="103"/>
        <v>80.688455440084951</v>
      </c>
      <c r="O576" s="225" t="str">
        <f t="shared" si="104"/>
        <v>7-8 years</v>
      </c>
      <c r="P576" s="226">
        <f t="shared" si="105"/>
        <v>0.52602739726027392</v>
      </c>
      <c r="Q576" s="227">
        <f>$D576*P576*_xlfn.XLOOKUP($O576,'Sample Size cal and results'!$B$26:$B$27,'Sample Size cal and results'!$I$26:$I$27)</f>
        <v>33.496164529762268</v>
      </c>
      <c r="R576" s="330"/>
    </row>
    <row r="577" spans="1:18" ht="12.75">
      <c r="A577" s="99" t="s">
        <v>151</v>
      </c>
      <c r="B577" s="100">
        <v>41891</v>
      </c>
      <c r="C577" s="100">
        <f t="shared" si="95"/>
        <v>44447</v>
      </c>
      <c r="D577" s="209">
        <v>44</v>
      </c>
      <c r="E577" s="217">
        <f t="shared" si="96"/>
        <v>5.47</v>
      </c>
      <c r="F577" s="218">
        <f t="shared" si="97"/>
        <v>6.47</v>
      </c>
      <c r="G577" s="219">
        <f t="shared" si="98"/>
        <v>6.47</v>
      </c>
      <c r="H577" s="220">
        <f t="shared" si="99"/>
        <v>7.47</v>
      </c>
      <c r="I577" s="257" t="str">
        <f t="shared" si="100"/>
        <v>6-7 years</v>
      </c>
      <c r="J577" s="211">
        <f t="shared" si="101"/>
        <v>0.83835616438356164</v>
      </c>
      <c r="K577" s="258">
        <f>$D577*J577*_xlfn.XLOOKUP($I577,'Sample Size cal and results'!$B$24:$B$25,'Sample Size cal and results'!$H$24:$H$25)</f>
        <v>30.244363285022434</v>
      </c>
      <c r="L577" s="211">
        <f t="shared" si="102"/>
        <v>0.16164383561643836</v>
      </c>
      <c r="M577" s="211">
        <f>$D577*L577*_xlfn.XLOOKUP($I577,'Sample Size cal and results'!$B$24:$B$25,'Sample Size cal and results'!$I$24:$I$25)</f>
        <v>5.9831065044034668</v>
      </c>
      <c r="N577" s="214">
        <f t="shared" si="103"/>
        <v>36.227469789425903</v>
      </c>
      <c r="O577" s="225" t="str">
        <f t="shared" si="104"/>
        <v>7-8 years</v>
      </c>
      <c r="P577" s="226">
        <f t="shared" si="105"/>
        <v>0.52602739726027392</v>
      </c>
      <c r="Q577" s="227">
        <f>$D577*P577*_xlfn.XLOOKUP($O577,'Sample Size cal and results'!$B$26:$B$27,'Sample Size cal and results'!$I$26:$I$27)</f>
        <v>15.039094278668776</v>
      </c>
      <c r="R577" s="330"/>
    </row>
    <row r="578" spans="1:18" ht="12.75">
      <c r="A578" s="99" t="s">
        <v>143</v>
      </c>
      <c r="B578" s="100">
        <v>41891</v>
      </c>
      <c r="C578" s="100">
        <f t="shared" si="95"/>
        <v>44447</v>
      </c>
      <c r="D578" s="209">
        <v>22</v>
      </c>
      <c r="E578" s="217">
        <f t="shared" si="96"/>
        <v>5.47</v>
      </c>
      <c r="F578" s="218">
        <f t="shared" si="97"/>
        <v>6.47</v>
      </c>
      <c r="G578" s="219">
        <f t="shared" si="98"/>
        <v>6.47</v>
      </c>
      <c r="H578" s="220">
        <f t="shared" si="99"/>
        <v>7.47</v>
      </c>
      <c r="I578" s="257" t="str">
        <f t="shared" si="100"/>
        <v>6-7 years</v>
      </c>
      <c r="J578" s="211">
        <f t="shared" si="101"/>
        <v>0.83835616438356164</v>
      </c>
      <c r="K578" s="258">
        <f>$D578*J578*_xlfn.XLOOKUP($I578,'Sample Size cal and results'!$B$24:$B$25,'Sample Size cal and results'!$H$24:$H$25)</f>
        <v>15.122181642511217</v>
      </c>
      <c r="L578" s="211">
        <f t="shared" si="102"/>
        <v>0.16164383561643836</v>
      </c>
      <c r="M578" s="211">
        <f>$D578*L578*_xlfn.XLOOKUP($I578,'Sample Size cal and results'!$B$24:$B$25,'Sample Size cal and results'!$I$24:$I$25)</f>
        <v>2.9915532522017334</v>
      </c>
      <c r="N578" s="214">
        <f t="shared" si="103"/>
        <v>18.113734894712952</v>
      </c>
      <c r="O578" s="225" t="str">
        <f t="shared" si="104"/>
        <v>7-8 years</v>
      </c>
      <c r="P578" s="226">
        <f t="shared" si="105"/>
        <v>0.52602739726027392</v>
      </c>
      <c r="Q578" s="227">
        <f>$D578*P578*_xlfn.XLOOKUP($O578,'Sample Size cal and results'!$B$26:$B$27,'Sample Size cal and results'!$I$26:$I$27)</f>
        <v>7.5195471393343878</v>
      </c>
      <c r="R578" s="330"/>
    </row>
    <row r="579" spans="1:18" ht="12.75">
      <c r="A579" s="99" t="s">
        <v>145</v>
      </c>
      <c r="B579" s="100">
        <v>41890</v>
      </c>
      <c r="C579" s="100">
        <f t="shared" ref="C579:C642" si="106">EDATE(B579,84)-1</f>
        <v>44446</v>
      </c>
      <c r="D579" s="209">
        <v>88</v>
      </c>
      <c r="E579" s="217">
        <f t="shared" ref="E579:E642" si="107">ROUNDDOWN(YEARFRAC($B579,$AB$4,1),2)</f>
        <v>5.47</v>
      </c>
      <c r="F579" s="218">
        <f t="shared" ref="F579:F642" si="108">ROUNDDOWN(YEARFRAC($B579,$AB$5,1),2)</f>
        <v>6.47</v>
      </c>
      <c r="G579" s="219">
        <f t="shared" ref="G579:G642" si="109">ROUNDDOWN(YEARFRAC($B579,$AC$4,1),2)</f>
        <v>6.47</v>
      </c>
      <c r="H579" s="220">
        <f t="shared" ref="H579:H642" si="110">ROUNDDOWN(YEARFRAC($B579,$AC$5,1),2)</f>
        <v>7.47</v>
      </c>
      <c r="I579" s="257" t="str">
        <f t="shared" ref="I579:I642" si="111">IF(DATEDIF($B579,$AB$5,"y")=5,"5-6 years","6-7 years")</f>
        <v>6-7 years</v>
      </c>
      <c r="J579" s="211">
        <f t="shared" ref="J579:J642" si="112">MAX(MIN($AC$7,C579)-MAX($AB$4,$B579,_xlfn.XLOOKUP($A579,$AE$3:$AE$37,$AF$3:$AF$37))+1,0)/365</f>
        <v>0.83835616438356164</v>
      </c>
      <c r="K579" s="258">
        <f>$D579*J579*_xlfn.XLOOKUP($I579,'Sample Size cal and results'!$B$24:$B$25,'Sample Size cal and results'!$H$24:$H$25)</f>
        <v>60.488726570044868</v>
      </c>
      <c r="L579" s="211">
        <f t="shared" ref="L579:L642" si="113">MAX(MIN($AB$5,C579)-MAX($AC$8,$B579,_xlfn.XLOOKUP($A579,$AE$3:$AE$37,$AF$3:$AF$37))+1,0)/365</f>
        <v>0.16164383561643836</v>
      </c>
      <c r="M579" s="211">
        <f>$D579*L579*_xlfn.XLOOKUP($I579,'Sample Size cal and results'!$B$24:$B$25,'Sample Size cal and results'!$I$24:$I$25)</f>
        <v>11.966213008806934</v>
      </c>
      <c r="N579" s="214">
        <f t="shared" ref="N579:N642" si="114">M579+K579</f>
        <v>72.454939578851807</v>
      </c>
      <c r="O579" s="225" t="str">
        <f t="shared" ref="O579:O642" si="115">IF(DATEDIF($B579,$AC$5,"y")=6,"6-7 years","7-8 years")</f>
        <v>7-8 years</v>
      </c>
      <c r="P579" s="226">
        <f t="shared" ref="P579:P642" si="116">MAX(MIN($AC$5,C579)-MAX($AC$4,$B579,_xlfn.XLOOKUP($A579,$AE$3:$AE$37,$AF$3:$AF$37))+1,0)/365</f>
        <v>0.52328767123287667</v>
      </c>
      <c r="Q579" s="227">
        <f>$D579*P579*_xlfn.XLOOKUP($O579,'Sample Size cal and results'!$B$26:$B$27,'Sample Size cal and results'!$I$26:$I$27)</f>
        <v>29.921531325268081</v>
      </c>
      <c r="R579" s="330"/>
    </row>
    <row r="580" spans="1:18" ht="12.75">
      <c r="A580" s="99" t="s">
        <v>151</v>
      </c>
      <c r="B580" s="100">
        <v>41890</v>
      </c>
      <c r="C580" s="100">
        <f t="shared" si="106"/>
        <v>44446</v>
      </c>
      <c r="D580" s="209">
        <v>29</v>
      </c>
      <c r="E580" s="217">
        <f t="shared" si="107"/>
        <v>5.47</v>
      </c>
      <c r="F580" s="218">
        <f t="shared" si="108"/>
        <v>6.47</v>
      </c>
      <c r="G580" s="219">
        <f t="shared" si="109"/>
        <v>6.47</v>
      </c>
      <c r="H580" s="220">
        <f t="shared" si="110"/>
        <v>7.47</v>
      </c>
      <c r="I580" s="257" t="str">
        <f t="shared" si="111"/>
        <v>6-7 years</v>
      </c>
      <c r="J580" s="211">
        <f t="shared" si="112"/>
        <v>0.83835616438356164</v>
      </c>
      <c r="K580" s="258">
        <f>$D580*J580*_xlfn.XLOOKUP($I580,'Sample Size cal and results'!$B$24:$B$25,'Sample Size cal and results'!$H$24:$H$25)</f>
        <v>19.93378489240115</v>
      </c>
      <c r="L580" s="211">
        <f t="shared" si="113"/>
        <v>0.16164383561643836</v>
      </c>
      <c r="M580" s="211">
        <f>$D580*L580*_xlfn.XLOOKUP($I580,'Sample Size cal and results'!$B$24:$B$25,'Sample Size cal and results'!$I$24:$I$25)</f>
        <v>3.9434111051750125</v>
      </c>
      <c r="N580" s="214">
        <f t="shared" si="114"/>
        <v>23.877195997576163</v>
      </c>
      <c r="O580" s="225" t="str">
        <f t="shared" si="115"/>
        <v>7-8 years</v>
      </c>
      <c r="P580" s="226">
        <f t="shared" si="116"/>
        <v>0.52328767123287667</v>
      </c>
      <c r="Q580" s="227">
        <f>$D580*P580*_xlfn.XLOOKUP($O580,'Sample Size cal and results'!$B$26:$B$27,'Sample Size cal and results'!$I$26:$I$27)</f>
        <v>9.860504641281528</v>
      </c>
      <c r="R580" s="330"/>
    </row>
    <row r="581" spans="1:18" ht="12.75">
      <c r="A581" s="99" t="s">
        <v>143</v>
      </c>
      <c r="B581" s="100">
        <v>41890</v>
      </c>
      <c r="C581" s="100">
        <f t="shared" si="106"/>
        <v>44446</v>
      </c>
      <c r="D581" s="209">
        <v>17</v>
      </c>
      <c r="E581" s="217">
        <f t="shared" si="107"/>
        <v>5.47</v>
      </c>
      <c r="F581" s="218">
        <f t="shared" si="108"/>
        <v>6.47</v>
      </c>
      <c r="G581" s="219">
        <f t="shared" si="109"/>
        <v>6.47</v>
      </c>
      <c r="H581" s="220">
        <f t="shared" si="110"/>
        <v>7.47</v>
      </c>
      <c r="I581" s="257" t="str">
        <f t="shared" si="111"/>
        <v>6-7 years</v>
      </c>
      <c r="J581" s="211">
        <f t="shared" si="112"/>
        <v>0.83835616438356164</v>
      </c>
      <c r="K581" s="258">
        <f>$D581*J581*_xlfn.XLOOKUP($I581,'Sample Size cal and results'!$B$24:$B$25,'Sample Size cal and results'!$H$24:$H$25)</f>
        <v>11.685322178304123</v>
      </c>
      <c r="L581" s="211">
        <f t="shared" si="113"/>
        <v>0.16164383561643836</v>
      </c>
      <c r="M581" s="211">
        <f>$D581*L581*_xlfn.XLOOKUP($I581,'Sample Size cal and results'!$B$24:$B$25,'Sample Size cal and results'!$I$24:$I$25)</f>
        <v>2.3116547857922489</v>
      </c>
      <c r="N581" s="214">
        <f t="shared" si="114"/>
        <v>13.996976964096373</v>
      </c>
      <c r="O581" s="225" t="str">
        <f t="shared" si="115"/>
        <v>7-8 years</v>
      </c>
      <c r="P581" s="226">
        <f t="shared" si="116"/>
        <v>0.52328767123287667</v>
      </c>
      <c r="Q581" s="227">
        <f>$D581*P581*_xlfn.XLOOKUP($O581,'Sample Size cal and results'!$B$26:$B$27,'Sample Size cal and results'!$I$26:$I$27)</f>
        <v>5.7802958241995164</v>
      </c>
      <c r="R581" s="330"/>
    </row>
    <row r="582" spans="1:18" ht="12.75">
      <c r="A582" s="99" t="s">
        <v>145</v>
      </c>
      <c r="B582" s="100">
        <v>41889</v>
      </c>
      <c r="C582" s="100">
        <f t="shared" si="106"/>
        <v>44445</v>
      </c>
      <c r="D582" s="209">
        <v>101</v>
      </c>
      <c r="E582" s="217">
        <f t="shared" si="107"/>
        <v>5.48</v>
      </c>
      <c r="F582" s="218">
        <f t="shared" si="108"/>
        <v>6.47</v>
      </c>
      <c r="G582" s="219">
        <f t="shared" si="109"/>
        <v>6.48</v>
      </c>
      <c r="H582" s="220">
        <f t="shared" si="110"/>
        <v>7.47</v>
      </c>
      <c r="I582" s="257" t="str">
        <f t="shared" si="111"/>
        <v>6-7 years</v>
      </c>
      <c r="J582" s="211">
        <f t="shared" si="112"/>
        <v>0.83835616438356164</v>
      </c>
      <c r="K582" s="258">
        <f>$D582*J582*_xlfn.XLOOKUP($I582,'Sample Size cal and results'!$B$24:$B$25,'Sample Size cal and results'!$H$24:$H$25)</f>
        <v>69.424561176983318</v>
      </c>
      <c r="L582" s="211">
        <f t="shared" si="113"/>
        <v>0.16164383561643836</v>
      </c>
      <c r="M582" s="211">
        <f>$D582*L582*_xlfn.XLOOKUP($I582,'Sample Size cal and results'!$B$24:$B$25,'Sample Size cal and results'!$I$24:$I$25)</f>
        <v>13.733949021471593</v>
      </c>
      <c r="N582" s="214">
        <f t="shared" si="114"/>
        <v>83.158510198454906</v>
      </c>
      <c r="O582" s="225" t="str">
        <f t="shared" si="115"/>
        <v>7-8 years</v>
      </c>
      <c r="P582" s="226">
        <f t="shared" si="116"/>
        <v>0.52054794520547942</v>
      </c>
      <c r="Q582" s="227">
        <f>$D582*P582*_xlfn.XLOOKUP($O582,'Sample Size cal and results'!$B$26:$B$27,'Sample Size cal and results'!$I$26:$I$27)</f>
        <v>34.161957766057505</v>
      </c>
      <c r="R582" s="330"/>
    </row>
    <row r="583" spans="1:18" ht="12.75">
      <c r="A583" s="99" t="s">
        <v>151</v>
      </c>
      <c r="B583" s="100">
        <v>41889</v>
      </c>
      <c r="C583" s="100">
        <f t="shared" si="106"/>
        <v>44445</v>
      </c>
      <c r="D583" s="209">
        <v>45</v>
      </c>
      <c r="E583" s="217">
        <f t="shared" si="107"/>
        <v>5.48</v>
      </c>
      <c r="F583" s="218">
        <f t="shared" si="108"/>
        <v>6.47</v>
      </c>
      <c r="G583" s="219">
        <f t="shared" si="109"/>
        <v>6.48</v>
      </c>
      <c r="H583" s="220">
        <f t="shared" si="110"/>
        <v>7.47</v>
      </c>
      <c r="I583" s="257" t="str">
        <f t="shared" si="111"/>
        <v>6-7 years</v>
      </c>
      <c r="J583" s="211">
        <f t="shared" si="112"/>
        <v>0.83835616438356164</v>
      </c>
      <c r="K583" s="258">
        <f>$D583*J583*_xlfn.XLOOKUP($I583,'Sample Size cal and results'!$B$24:$B$25,'Sample Size cal and results'!$H$24:$H$25)</f>
        <v>30.931735177863853</v>
      </c>
      <c r="L583" s="211">
        <f t="shared" si="113"/>
        <v>0.16164383561643836</v>
      </c>
      <c r="M583" s="211">
        <f>$D583*L583*_xlfn.XLOOKUP($I583,'Sample Size cal and results'!$B$24:$B$25,'Sample Size cal and results'!$I$24:$I$25)</f>
        <v>6.1190861976853643</v>
      </c>
      <c r="N583" s="214">
        <f t="shared" si="114"/>
        <v>37.050821375549219</v>
      </c>
      <c r="O583" s="225" t="str">
        <f t="shared" si="115"/>
        <v>7-8 years</v>
      </c>
      <c r="P583" s="226">
        <f t="shared" si="116"/>
        <v>0.52054794520547942</v>
      </c>
      <c r="Q583" s="227">
        <f>$D583*P583*_xlfn.XLOOKUP($O583,'Sample Size cal and results'!$B$26:$B$27,'Sample Size cal and results'!$I$26:$I$27)</f>
        <v>15.220674252203839</v>
      </c>
      <c r="R583" s="330"/>
    </row>
    <row r="584" spans="1:18" ht="12.75">
      <c r="A584" s="99" t="s">
        <v>143</v>
      </c>
      <c r="B584" s="100">
        <v>41889</v>
      </c>
      <c r="C584" s="100">
        <f t="shared" si="106"/>
        <v>44445</v>
      </c>
      <c r="D584" s="209">
        <v>22</v>
      </c>
      <c r="E584" s="217">
        <f t="shared" si="107"/>
        <v>5.48</v>
      </c>
      <c r="F584" s="218">
        <f t="shared" si="108"/>
        <v>6.47</v>
      </c>
      <c r="G584" s="219">
        <f t="shared" si="109"/>
        <v>6.48</v>
      </c>
      <c r="H584" s="220">
        <f t="shared" si="110"/>
        <v>7.47</v>
      </c>
      <c r="I584" s="257" t="str">
        <f t="shared" si="111"/>
        <v>6-7 years</v>
      </c>
      <c r="J584" s="211">
        <f t="shared" si="112"/>
        <v>0.83835616438356164</v>
      </c>
      <c r="K584" s="258">
        <f>$D584*J584*_xlfn.XLOOKUP($I584,'Sample Size cal and results'!$B$24:$B$25,'Sample Size cal and results'!$H$24:$H$25)</f>
        <v>15.122181642511217</v>
      </c>
      <c r="L584" s="211">
        <f t="shared" si="113"/>
        <v>0.16164383561643836</v>
      </c>
      <c r="M584" s="211">
        <f>$D584*L584*_xlfn.XLOOKUP($I584,'Sample Size cal and results'!$B$24:$B$25,'Sample Size cal and results'!$I$24:$I$25)</f>
        <v>2.9915532522017334</v>
      </c>
      <c r="N584" s="214">
        <f t="shared" si="114"/>
        <v>18.113734894712952</v>
      </c>
      <c r="O584" s="225" t="str">
        <f t="shared" si="115"/>
        <v>7-8 years</v>
      </c>
      <c r="P584" s="226">
        <f t="shared" si="116"/>
        <v>0.52054794520547942</v>
      </c>
      <c r="Q584" s="227">
        <f>$D584*P584*_xlfn.XLOOKUP($O584,'Sample Size cal and results'!$B$26:$B$27,'Sample Size cal and results'!$I$26:$I$27)</f>
        <v>7.4412185232996553</v>
      </c>
      <c r="R584" s="330"/>
    </row>
    <row r="585" spans="1:18" ht="12.75">
      <c r="A585" s="99" t="s">
        <v>145</v>
      </c>
      <c r="B585" s="100">
        <v>41888</v>
      </c>
      <c r="C585" s="100">
        <f t="shared" si="106"/>
        <v>44444</v>
      </c>
      <c r="D585" s="209">
        <v>74</v>
      </c>
      <c r="E585" s="217">
        <f t="shared" si="107"/>
        <v>5.48</v>
      </c>
      <c r="F585" s="218">
        <f t="shared" si="108"/>
        <v>6.48</v>
      </c>
      <c r="G585" s="219">
        <f t="shared" si="109"/>
        <v>6.48</v>
      </c>
      <c r="H585" s="220">
        <f t="shared" si="110"/>
        <v>7.48</v>
      </c>
      <c r="I585" s="257" t="str">
        <f t="shared" si="111"/>
        <v>6-7 years</v>
      </c>
      <c r="J585" s="211">
        <f t="shared" si="112"/>
        <v>0.83835616438356164</v>
      </c>
      <c r="K585" s="258">
        <f>$D585*J585*_xlfn.XLOOKUP($I585,'Sample Size cal and results'!$B$24:$B$25,'Sample Size cal and results'!$H$24:$H$25)</f>
        <v>50.865520070265006</v>
      </c>
      <c r="L585" s="211">
        <f t="shared" si="113"/>
        <v>0.16164383561643836</v>
      </c>
      <c r="M585" s="211">
        <f>$D585*L585*_xlfn.XLOOKUP($I585,'Sample Size cal and results'!$B$24:$B$25,'Sample Size cal and results'!$I$24:$I$25)</f>
        <v>10.062497302860377</v>
      </c>
      <c r="N585" s="214">
        <f t="shared" si="114"/>
        <v>60.928017373125385</v>
      </c>
      <c r="O585" s="225" t="str">
        <f t="shared" si="115"/>
        <v>7-8 years</v>
      </c>
      <c r="P585" s="226">
        <f t="shared" si="116"/>
        <v>0.51780821917808217</v>
      </c>
      <c r="Q585" s="227">
        <f>$D585*P585*_xlfn.XLOOKUP($O585,'Sample Size cal and results'!$B$26:$B$27,'Sample Size cal and results'!$I$26:$I$27)</f>
        <v>24.897818724131334</v>
      </c>
      <c r="R585" s="330"/>
    </row>
    <row r="586" spans="1:18" ht="12.75">
      <c r="A586" s="99" t="s">
        <v>151</v>
      </c>
      <c r="B586" s="100">
        <v>41888</v>
      </c>
      <c r="C586" s="100">
        <f t="shared" si="106"/>
        <v>44444</v>
      </c>
      <c r="D586" s="209">
        <v>50</v>
      </c>
      <c r="E586" s="217">
        <f t="shared" si="107"/>
        <v>5.48</v>
      </c>
      <c r="F586" s="218">
        <f t="shared" si="108"/>
        <v>6.48</v>
      </c>
      <c r="G586" s="219">
        <f t="shared" si="109"/>
        <v>6.48</v>
      </c>
      <c r="H586" s="220">
        <f t="shared" si="110"/>
        <v>7.48</v>
      </c>
      <c r="I586" s="257" t="str">
        <f t="shared" si="111"/>
        <v>6-7 years</v>
      </c>
      <c r="J586" s="211">
        <f t="shared" si="112"/>
        <v>0.83835616438356164</v>
      </c>
      <c r="K586" s="258">
        <f>$D586*J586*_xlfn.XLOOKUP($I586,'Sample Size cal and results'!$B$24:$B$25,'Sample Size cal and results'!$H$24:$H$25)</f>
        <v>34.368594642070946</v>
      </c>
      <c r="L586" s="211">
        <f t="shared" si="113"/>
        <v>0.16164383561643836</v>
      </c>
      <c r="M586" s="211">
        <f>$D586*L586*_xlfn.XLOOKUP($I586,'Sample Size cal and results'!$B$24:$B$25,'Sample Size cal and results'!$I$24:$I$25)</f>
        <v>6.7989846640948484</v>
      </c>
      <c r="N586" s="214">
        <f t="shared" si="114"/>
        <v>41.167579306165791</v>
      </c>
      <c r="O586" s="225" t="str">
        <f t="shared" si="115"/>
        <v>7-8 years</v>
      </c>
      <c r="P586" s="226">
        <f t="shared" si="116"/>
        <v>0.51780821917808217</v>
      </c>
      <c r="Q586" s="227">
        <f>$D586*P586*_xlfn.XLOOKUP($O586,'Sample Size cal and results'!$B$26:$B$27,'Sample Size cal and results'!$I$26:$I$27)</f>
        <v>16.822850489277929</v>
      </c>
      <c r="R586" s="330"/>
    </row>
    <row r="587" spans="1:18" ht="12.75">
      <c r="A587" s="99" t="s">
        <v>143</v>
      </c>
      <c r="B587" s="100">
        <v>41888</v>
      </c>
      <c r="C587" s="100">
        <f t="shared" si="106"/>
        <v>44444</v>
      </c>
      <c r="D587" s="209">
        <v>12</v>
      </c>
      <c r="E587" s="217">
        <f t="shared" si="107"/>
        <v>5.48</v>
      </c>
      <c r="F587" s="218">
        <f t="shared" si="108"/>
        <v>6.48</v>
      </c>
      <c r="G587" s="219">
        <f t="shared" si="109"/>
        <v>6.48</v>
      </c>
      <c r="H587" s="220">
        <f t="shared" si="110"/>
        <v>7.48</v>
      </c>
      <c r="I587" s="257" t="str">
        <f t="shared" si="111"/>
        <v>6-7 years</v>
      </c>
      <c r="J587" s="211">
        <f t="shared" si="112"/>
        <v>0.83835616438356164</v>
      </c>
      <c r="K587" s="258">
        <f>$D587*J587*_xlfn.XLOOKUP($I587,'Sample Size cal and results'!$B$24:$B$25,'Sample Size cal and results'!$H$24:$H$25)</f>
        <v>8.2484627140970268</v>
      </c>
      <c r="L587" s="211">
        <f t="shared" si="113"/>
        <v>0.16164383561643836</v>
      </c>
      <c r="M587" s="211">
        <f>$D587*L587*_xlfn.XLOOKUP($I587,'Sample Size cal and results'!$B$24:$B$25,'Sample Size cal and results'!$I$24:$I$25)</f>
        <v>1.6317563193827638</v>
      </c>
      <c r="N587" s="214">
        <f t="shared" si="114"/>
        <v>9.8802190334797899</v>
      </c>
      <c r="O587" s="225" t="str">
        <f t="shared" si="115"/>
        <v>7-8 years</v>
      </c>
      <c r="P587" s="226">
        <f t="shared" si="116"/>
        <v>0.51780821917808217</v>
      </c>
      <c r="Q587" s="227">
        <f>$D587*P587*_xlfn.XLOOKUP($O587,'Sample Size cal and results'!$B$26:$B$27,'Sample Size cal and results'!$I$26:$I$27)</f>
        <v>4.0374841174267031</v>
      </c>
      <c r="R587" s="330"/>
    </row>
    <row r="588" spans="1:18" ht="12.75">
      <c r="A588" s="99" t="s">
        <v>145</v>
      </c>
      <c r="B588" s="100">
        <v>41887</v>
      </c>
      <c r="C588" s="100">
        <f t="shared" si="106"/>
        <v>44443</v>
      </c>
      <c r="D588" s="209">
        <v>80</v>
      </c>
      <c r="E588" s="217">
        <f t="shared" si="107"/>
        <v>5.48</v>
      </c>
      <c r="F588" s="218">
        <f t="shared" si="108"/>
        <v>6.48</v>
      </c>
      <c r="G588" s="219">
        <f t="shared" si="109"/>
        <v>6.48</v>
      </c>
      <c r="H588" s="220">
        <f t="shared" si="110"/>
        <v>7.48</v>
      </c>
      <c r="I588" s="257" t="str">
        <f t="shared" si="111"/>
        <v>6-7 years</v>
      </c>
      <c r="J588" s="211">
        <f t="shared" si="112"/>
        <v>0.83835616438356164</v>
      </c>
      <c r="K588" s="258">
        <f>$D588*J588*_xlfn.XLOOKUP($I588,'Sample Size cal and results'!$B$24:$B$25,'Sample Size cal and results'!$H$24:$H$25)</f>
        <v>54.989751427313514</v>
      </c>
      <c r="L588" s="211">
        <f t="shared" si="113"/>
        <v>0.16164383561643836</v>
      </c>
      <c r="M588" s="211">
        <f>$D588*L588*_xlfn.XLOOKUP($I588,'Sample Size cal and results'!$B$24:$B$25,'Sample Size cal and results'!$I$24:$I$25)</f>
        <v>10.878375462551759</v>
      </c>
      <c r="N588" s="214">
        <f t="shared" si="114"/>
        <v>65.868126889865266</v>
      </c>
      <c r="O588" s="225" t="str">
        <f t="shared" si="115"/>
        <v>7-8 years</v>
      </c>
      <c r="P588" s="226">
        <f t="shared" si="116"/>
        <v>0.51506849315068493</v>
      </c>
      <c r="Q588" s="227">
        <f>$D588*P588*_xlfn.XLOOKUP($O588,'Sample Size cal and results'!$B$26:$B$27,'Sample Size cal and results'!$I$26:$I$27)</f>
        <v>26.774145117326988</v>
      </c>
      <c r="R588" s="330"/>
    </row>
    <row r="589" spans="1:18" ht="12.75">
      <c r="A589" s="99" t="s">
        <v>151</v>
      </c>
      <c r="B589" s="100">
        <v>41887</v>
      </c>
      <c r="C589" s="100">
        <f t="shared" si="106"/>
        <v>44443</v>
      </c>
      <c r="D589" s="209">
        <v>44</v>
      </c>
      <c r="E589" s="217">
        <f t="shared" si="107"/>
        <v>5.48</v>
      </c>
      <c r="F589" s="218">
        <f t="shared" si="108"/>
        <v>6.48</v>
      </c>
      <c r="G589" s="219">
        <f t="shared" si="109"/>
        <v>6.48</v>
      </c>
      <c r="H589" s="220">
        <f t="shared" si="110"/>
        <v>7.48</v>
      </c>
      <c r="I589" s="257" t="str">
        <f t="shared" si="111"/>
        <v>6-7 years</v>
      </c>
      <c r="J589" s="211">
        <f t="shared" si="112"/>
        <v>0.83835616438356164</v>
      </c>
      <c r="K589" s="258">
        <f>$D589*J589*_xlfn.XLOOKUP($I589,'Sample Size cal and results'!$B$24:$B$25,'Sample Size cal and results'!$H$24:$H$25)</f>
        <v>30.244363285022434</v>
      </c>
      <c r="L589" s="211">
        <f t="shared" si="113"/>
        <v>0.16164383561643836</v>
      </c>
      <c r="M589" s="211">
        <f>$D589*L589*_xlfn.XLOOKUP($I589,'Sample Size cal and results'!$B$24:$B$25,'Sample Size cal and results'!$I$24:$I$25)</f>
        <v>5.9831065044034668</v>
      </c>
      <c r="N589" s="214">
        <f t="shared" si="114"/>
        <v>36.227469789425903</v>
      </c>
      <c r="O589" s="225" t="str">
        <f t="shared" si="115"/>
        <v>7-8 years</v>
      </c>
      <c r="P589" s="226">
        <f t="shared" si="116"/>
        <v>0.51506849315068493</v>
      </c>
      <c r="Q589" s="227">
        <f>$D589*P589*_xlfn.XLOOKUP($O589,'Sample Size cal and results'!$B$26:$B$27,'Sample Size cal and results'!$I$26:$I$27)</f>
        <v>14.725779814529844</v>
      </c>
      <c r="R589" s="330"/>
    </row>
    <row r="590" spans="1:18" ht="12.75">
      <c r="A590" s="99" t="s">
        <v>143</v>
      </c>
      <c r="B590" s="100">
        <v>41887</v>
      </c>
      <c r="C590" s="100">
        <f t="shared" si="106"/>
        <v>44443</v>
      </c>
      <c r="D590" s="209">
        <v>24</v>
      </c>
      <c r="E590" s="217">
        <f t="shared" si="107"/>
        <v>5.48</v>
      </c>
      <c r="F590" s="218">
        <f t="shared" si="108"/>
        <v>6.48</v>
      </c>
      <c r="G590" s="219">
        <f t="shared" si="109"/>
        <v>6.48</v>
      </c>
      <c r="H590" s="220">
        <f t="shared" si="110"/>
        <v>7.48</v>
      </c>
      <c r="I590" s="257" t="str">
        <f t="shared" si="111"/>
        <v>6-7 years</v>
      </c>
      <c r="J590" s="211">
        <f t="shared" si="112"/>
        <v>0.83835616438356164</v>
      </c>
      <c r="K590" s="258">
        <f>$D590*J590*_xlfn.XLOOKUP($I590,'Sample Size cal and results'!$B$24:$B$25,'Sample Size cal and results'!$H$24:$H$25)</f>
        <v>16.496925428194054</v>
      </c>
      <c r="L590" s="211">
        <f t="shared" si="113"/>
        <v>0.16164383561643836</v>
      </c>
      <c r="M590" s="211">
        <f>$D590*L590*_xlfn.XLOOKUP($I590,'Sample Size cal and results'!$B$24:$B$25,'Sample Size cal and results'!$I$24:$I$25)</f>
        <v>3.2635126387655276</v>
      </c>
      <c r="N590" s="214">
        <f t="shared" si="114"/>
        <v>19.76043806695958</v>
      </c>
      <c r="O590" s="225" t="str">
        <f t="shared" si="115"/>
        <v>7-8 years</v>
      </c>
      <c r="P590" s="226">
        <f t="shared" si="116"/>
        <v>0.51506849315068493</v>
      </c>
      <c r="Q590" s="227">
        <f>$D590*P590*_xlfn.XLOOKUP($O590,'Sample Size cal and results'!$B$26:$B$27,'Sample Size cal and results'!$I$26:$I$27)</f>
        <v>8.0322435351980968</v>
      </c>
      <c r="R590" s="330"/>
    </row>
    <row r="591" spans="1:18" ht="12.75">
      <c r="A591" s="99" t="s">
        <v>145</v>
      </c>
      <c r="B591" s="100">
        <v>41886</v>
      </c>
      <c r="C591" s="100">
        <f t="shared" si="106"/>
        <v>44442</v>
      </c>
      <c r="D591" s="209">
        <v>79</v>
      </c>
      <c r="E591" s="217">
        <f t="shared" si="107"/>
        <v>5.48</v>
      </c>
      <c r="F591" s="218">
        <f t="shared" si="108"/>
        <v>6.48</v>
      </c>
      <c r="G591" s="219">
        <f t="shared" si="109"/>
        <v>6.48</v>
      </c>
      <c r="H591" s="220">
        <f t="shared" si="110"/>
        <v>7.48</v>
      </c>
      <c r="I591" s="257" t="str">
        <f t="shared" si="111"/>
        <v>6-7 years</v>
      </c>
      <c r="J591" s="211">
        <f t="shared" si="112"/>
        <v>0.83835616438356164</v>
      </c>
      <c r="K591" s="258">
        <f>$D591*J591*_xlfn.XLOOKUP($I591,'Sample Size cal and results'!$B$24:$B$25,'Sample Size cal and results'!$H$24:$H$25)</f>
        <v>54.302379534472102</v>
      </c>
      <c r="L591" s="211">
        <f t="shared" si="113"/>
        <v>0.16164383561643836</v>
      </c>
      <c r="M591" s="211">
        <f>$D591*L591*_xlfn.XLOOKUP($I591,'Sample Size cal and results'!$B$24:$B$25,'Sample Size cal and results'!$I$24:$I$25)</f>
        <v>10.742395769269862</v>
      </c>
      <c r="N591" s="214">
        <f t="shared" si="114"/>
        <v>65.044775303741972</v>
      </c>
      <c r="O591" s="225" t="str">
        <f t="shared" si="115"/>
        <v>7-8 years</v>
      </c>
      <c r="P591" s="226">
        <f t="shared" si="116"/>
        <v>0.51232876712328768</v>
      </c>
      <c r="Q591" s="227">
        <f>$D591*P591*_xlfn.XLOOKUP($O591,'Sample Size cal and results'!$B$26:$B$27,'Sample Size cal and results'!$I$26:$I$27)</f>
        <v>26.298832833661677</v>
      </c>
      <c r="R591" s="330"/>
    </row>
    <row r="592" spans="1:18" ht="12.75">
      <c r="A592" s="99" t="s">
        <v>151</v>
      </c>
      <c r="B592" s="100">
        <v>41886</v>
      </c>
      <c r="C592" s="100">
        <f t="shared" si="106"/>
        <v>44442</v>
      </c>
      <c r="D592" s="209">
        <v>38</v>
      </c>
      <c r="E592" s="217">
        <f t="shared" si="107"/>
        <v>5.48</v>
      </c>
      <c r="F592" s="218">
        <f t="shared" si="108"/>
        <v>6.48</v>
      </c>
      <c r="G592" s="219">
        <f t="shared" si="109"/>
        <v>6.48</v>
      </c>
      <c r="H592" s="220">
        <f t="shared" si="110"/>
        <v>7.48</v>
      </c>
      <c r="I592" s="257" t="str">
        <f t="shared" si="111"/>
        <v>6-7 years</v>
      </c>
      <c r="J592" s="211">
        <f t="shared" si="112"/>
        <v>0.83835616438356164</v>
      </c>
      <c r="K592" s="258">
        <f>$D592*J592*_xlfn.XLOOKUP($I592,'Sample Size cal and results'!$B$24:$B$25,'Sample Size cal and results'!$H$24:$H$25)</f>
        <v>26.120131927973919</v>
      </c>
      <c r="L592" s="211">
        <f t="shared" si="113"/>
        <v>0.16164383561643836</v>
      </c>
      <c r="M592" s="211">
        <f>$D592*L592*_xlfn.XLOOKUP($I592,'Sample Size cal and results'!$B$24:$B$25,'Sample Size cal and results'!$I$24:$I$25)</f>
        <v>5.1672283447120853</v>
      </c>
      <c r="N592" s="214">
        <f t="shared" si="114"/>
        <v>31.287360272686005</v>
      </c>
      <c r="O592" s="225" t="str">
        <f t="shared" si="115"/>
        <v>7-8 years</v>
      </c>
      <c r="P592" s="226">
        <f t="shared" si="116"/>
        <v>0.51232876712328768</v>
      </c>
      <c r="Q592" s="227">
        <f>$D592*P592*_xlfn.XLOOKUP($O592,'Sample Size cal and results'!$B$26:$B$27,'Sample Size cal and results'!$I$26:$I$27)</f>
        <v>12.650071489609413</v>
      </c>
      <c r="R592" s="330"/>
    </row>
    <row r="593" spans="1:18" ht="12.75">
      <c r="A593" s="99" t="s">
        <v>143</v>
      </c>
      <c r="B593" s="100">
        <v>41886</v>
      </c>
      <c r="C593" s="100">
        <f t="shared" si="106"/>
        <v>44442</v>
      </c>
      <c r="D593" s="209">
        <v>14</v>
      </c>
      <c r="E593" s="217">
        <f t="shared" si="107"/>
        <v>5.48</v>
      </c>
      <c r="F593" s="218">
        <f t="shared" si="108"/>
        <v>6.48</v>
      </c>
      <c r="G593" s="219">
        <f t="shared" si="109"/>
        <v>6.48</v>
      </c>
      <c r="H593" s="220">
        <f t="shared" si="110"/>
        <v>7.48</v>
      </c>
      <c r="I593" s="257" t="str">
        <f t="shared" si="111"/>
        <v>6-7 years</v>
      </c>
      <c r="J593" s="211">
        <f t="shared" si="112"/>
        <v>0.83835616438356164</v>
      </c>
      <c r="K593" s="258">
        <f>$D593*J593*_xlfn.XLOOKUP($I593,'Sample Size cal and results'!$B$24:$B$25,'Sample Size cal and results'!$H$24:$H$25)</f>
        <v>9.6232064997798652</v>
      </c>
      <c r="L593" s="211">
        <f t="shared" si="113"/>
        <v>0.16164383561643836</v>
      </c>
      <c r="M593" s="211">
        <f>$D593*L593*_xlfn.XLOOKUP($I593,'Sample Size cal and results'!$B$24:$B$25,'Sample Size cal and results'!$I$24:$I$25)</f>
        <v>1.9037157059465575</v>
      </c>
      <c r="N593" s="214">
        <f t="shared" si="114"/>
        <v>11.526922205726423</v>
      </c>
      <c r="O593" s="225" t="str">
        <f t="shared" si="115"/>
        <v>7-8 years</v>
      </c>
      <c r="P593" s="226">
        <f t="shared" si="116"/>
        <v>0.51232876712328768</v>
      </c>
      <c r="Q593" s="227">
        <f>$D593*P593*_xlfn.XLOOKUP($O593,'Sample Size cal and results'!$B$26:$B$27,'Sample Size cal and results'!$I$26:$I$27)</f>
        <v>4.6605526540666258</v>
      </c>
      <c r="R593" s="330"/>
    </row>
    <row r="594" spans="1:18" ht="12.75">
      <c r="A594" s="99" t="s">
        <v>145</v>
      </c>
      <c r="B594" s="100">
        <v>41885</v>
      </c>
      <c r="C594" s="100">
        <f t="shared" si="106"/>
        <v>44441</v>
      </c>
      <c r="D594" s="209">
        <v>65</v>
      </c>
      <c r="E594" s="217">
        <f t="shared" si="107"/>
        <v>5.49</v>
      </c>
      <c r="F594" s="218">
        <f t="shared" si="108"/>
        <v>6.48</v>
      </c>
      <c r="G594" s="219">
        <f t="shared" si="109"/>
        <v>6.49</v>
      </c>
      <c r="H594" s="220">
        <f t="shared" si="110"/>
        <v>7.48</v>
      </c>
      <c r="I594" s="257" t="str">
        <f t="shared" si="111"/>
        <v>6-7 years</v>
      </c>
      <c r="J594" s="211">
        <f t="shared" si="112"/>
        <v>0.83835616438356164</v>
      </c>
      <c r="K594" s="258">
        <f>$D594*J594*_xlfn.XLOOKUP($I594,'Sample Size cal and results'!$B$24:$B$25,'Sample Size cal and results'!$H$24:$H$25)</f>
        <v>44.679173034692234</v>
      </c>
      <c r="L594" s="211">
        <f t="shared" si="113"/>
        <v>0.16164383561643836</v>
      </c>
      <c r="M594" s="211">
        <f>$D594*L594*_xlfn.XLOOKUP($I594,'Sample Size cal and results'!$B$24:$B$25,'Sample Size cal and results'!$I$24:$I$25)</f>
        <v>8.838680063323304</v>
      </c>
      <c r="N594" s="214">
        <f t="shared" si="114"/>
        <v>53.517853098015536</v>
      </c>
      <c r="O594" s="225" t="str">
        <f t="shared" si="115"/>
        <v>7-8 years</v>
      </c>
      <c r="P594" s="226">
        <f t="shared" si="116"/>
        <v>0.50958904109589043</v>
      </c>
      <c r="Q594" s="227">
        <f>$D594*P594*_xlfn.XLOOKUP($O594,'Sample Size cal and results'!$B$26:$B$27,'Sample Size cal and results'!$I$26:$I$27)</f>
        <v>21.522567451361923</v>
      </c>
      <c r="R594" s="330"/>
    </row>
    <row r="595" spans="1:18" ht="12.75">
      <c r="A595" s="99" t="s">
        <v>151</v>
      </c>
      <c r="B595" s="100">
        <v>41885</v>
      </c>
      <c r="C595" s="100">
        <f t="shared" si="106"/>
        <v>44441</v>
      </c>
      <c r="D595" s="209">
        <v>29</v>
      </c>
      <c r="E595" s="217">
        <f t="shared" si="107"/>
        <v>5.49</v>
      </c>
      <c r="F595" s="218">
        <f t="shared" si="108"/>
        <v>6.48</v>
      </c>
      <c r="G595" s="219">
        <f t="shared" si="109"/>
        <v>6.49</v>
      </c>
      <c r="H595" s="220">
        <f t="shared" si="110"/>
        <v>7.48</v>
      </c>
      <c r="I595" s="257" t="str">
        <f t="shared" si="111"/>
        <v>6-7 years</v>
      </c>
      <c r="J595" s="211">
        <f t="shared" si="112"/>
        <v>0.83835616438356164</v>
      </c>
      <c r="K595" s="258">
        <f>$D595*J595*_xlfn.XLOOKUP($I595,'Sample Size cal and results'!$B$24:$B$25,'Sample Size cal and results'!$H$24:$H$25)</f>
        <v>19.93378489240115</v>
      </c>
      <c r="L595" s="211">
        <f t="shared" si="113"/>
        <v>0.16164383561643836</v>
      </c>
      <c r="M595" s="211">
        <f>$D595*L595*_xlfn.XLOOKUP($I595,'Sample Size cal and results'!$B$24:$B$25,'Sample Size cal and results'!$I$24:$I$25)</f>
        <v>3.9434111051750125</v>
      </c>
      <c r="N595" s="214">
        <f t="shared" si="114"/>
        <v>23.877195997576163</v>
      </c>
      <c r="O595" s="225" t="str">
        <f t="shared" si="115"/>
        <v>7-8 years</v>
      </c>
      <c r="P595" s="226">
        <f t="shared" si="116"/>
        <v>0.50958904109589043</v>
      </c>
      <c r="Q595" s="227">
        <f>$D595*P595*_xlfn.XLOOKUP($O595,'Sample Size cal and results'!$B$26:$B$27,'Sample Size cal and results'!$I$26:$I$27)</f>
        <v>9.6023762475307031</v>
      </c>
      <c r="R595" s="330"/>
    </row>
    <row r="596" spans="1:18" ht="12.75">
      <c r="A596" s="99" t="s">
        <v>143</v>
      </c>
      <c r="B596" s="100">
        <v>41885</v>
      </c>
      <c r="C596" s="100">
        <f t="shared" si="106"/>
        <v>44441</v>
      </c>
      <c r="D596" s="209">
        <v>15</v>
      </c>
      <c r="E596" s="217">
        <f t="shared" si="107"/>
        <v>5.49</v>
      </c>
      <c r="F596" s="218">
        <f t="shared" si="108"/>
        <v>6.48</v>
      </c>
      <c r="G596" s="219">
        <f t="shared" si="109"/>
        <v>6.49</v>
      </c>
      <c r="H596" s="220">
        <f t="shared" si="110"/>
        <v>7.48</v>
      </c>
      <c r="I596" s="257" t="str">
        <f t="shared" si="111"/>
        <v>6-7 years</v>
      </c>
      <c r="J596" s="211">
        <f t="shared" si="112"/>
        <v>0.83835616438356164</v>
      </c>
      <c r="K596" s="258">
        <f>$D596*J596*_xlfn.XLOOKUP($I596,'Sample Size cal and results'!$B$24:$B$25,'Sample Size cal and results'!$H$24:$H$25)</f>
        <v>10.310578392621284</v>
      </c>
      <c r="L596" s="211">
        <f t="shared" si="113"/>
        <v>0.16164383561643836</v>
      </c>
      <c r="M596" s="211">
        <f>$D596*L596*_xlfn.XLOOKUP($I596,'Sample Size cal and results'!$B$24:$B$25,'Sample Size cal and results'!$I$24:$I$25)</f>
        <v>2.0396953992284548</v>
      </c>
      <c r="N596" s="214">
        <f t="shared" si="114"/>
        <v>12.350273791849739</v>
      </c>
      <c r="O596" s="225" t="str">
        <f t="shared" si="115"/>
        <v>7-8 years</v>
      </c>
      <c r="P596" s="226">
        <f t="shared" si="116"/>
        <v>0.50958904109589043</v>
      </c>
      <c r="Q596" s="227">
        <f>$D596*P596*_xlfn.XLOOKUP($O596,'Sample Size cal and results'!$B$26:$B$27,'Sample Size cal and results'!$I$26:$I$27)</f>
        <v>4.9667463349296748</v>
      </c>
      <c r="R596" s="330"/>
    </row>
    <row r="597" spans="1:18" ht="12.75">
      <c r="A597" s="99" t="s">
        <v>145</v>
      </c>
      <c r="B597" s="100">
        <v>41884</v>
      </c>
      <c r="C597" s="100">
        <f t="shared" si="106"/>
        <v>44440</v>
      </c>
      <c r="D597" s="209">
        <v>90</v>
      </c>
      <c r="E597" s="217">
        <f t="shared" si="107"/>
        <v>5.49</v>
      </c>
      <c r="F597" s="218">
        <f t="shared" si="108"/>
        <v>6.49</v>
      </c>
      <c r="G597" s="219">
        <f t="shared" si="109"/>
        <v>6.49</v>
      </c>
      <c r="H597" s="220">
        <f t="shared" si="110"/>
        <v>7.49</v>
      </c>
      <c r="I597" s="257" t="str">
        <f t="shared" si="111"/>
        <v>6-7 years</v>
      </c>
      <c r="J597" s="211">
        <f t="shared" si="112"/>
        <v>0.83835616438356164</v>
      </c>
      <c r="K597" s="258">
        <f>$D597*J597*_xlfn.XLOOKUP($I597,'Sample Size cal and results'!$B$24:$B$25,'Sample Size cal and results'!$H$24:$H$25)</f>
        <v>61.863470355727706</v>
      </c>
      <c r="L597" s="211">
        <f t="shared" si="113"/>
        <v>0.16164383561643836</v>
      </c>
      <c r="M597" s="211">
        <f>$D597*L597*_xlfn.XLOOKUP($I597,'Sample Size cal and results'!$B$24:$B$25,'Sample Size cal and results'!$I$24:$I$25)</f>
        <v>12.238172395370729</v>
      </c>
      <c r="N597" s="214">
        <f t="shared" si="114"/>
        <v>74.101642751098439</v>
      </c>
      <c r="O597" s="225" t="str">
        <f t="shared" si="115"/>
        <v>7-8 years</v>
      </c>
      <c r="P597" s="226">
        <f t="shared" si="116"/>
        <v>0.50684931506849318</v>
      </c>
      <c r="Q597" s="227">
        <f>$D597*P597*_xlfn.XLOOKUP($O597,'Sample Size cal and results'!$B$26:$B$27,'Sample Size cal and results'!$I$26:$I$27)</f>
        <v>29.64026038587064</v>
      </c>
      <c r="R597" s="330"/>
    </row>
    <row r="598" spans="1:18" ht="12.75">
      <c r="A598" s="99" t="s">
        <v>151</v>
      </c>
      <c r="B598" s="100">
        <v>41884</v>
      </c>
      <c r="C598" s="100">
        <f t="shared" si="106"/>
        <v>44440</v>
      </c>
      <c r="D598" s="209">
        <v>33</v>
      </c>
      <c r="E598" s="217">
        <f t="shared" si="107"/>
        <v>5.49</v>
      </c>
      <c r="F598" s="218">
        <f t="shared" si="108"/>
        <v>6.49</v>
      </c>
      <c r="G598" s="219">
        <f t="shared" si="109"/>
        <v>6.49</v>
      </c>
      <c r="H598" s="220">
        <f t="shared" si="110"/>
        <v>7.49</v>
      </c>
      <c r="I598" s="257" t="str">
        <f t="shared" si="111"/>
        <v>6-7 years</v>
      </c>
      <c r="J598" s="211">
        <f t="shared" si="112"/>
        <v>0.83835616438356164</v>
      </c>
      <c r="K598" s="258">
        <f>$D598*J598*_xlfn.XLOOKUP($I598,'Sample Size cal and results'!$B$24:$B$25,'Sample Size cal and results'!$H$24:$H$25)</f>
        <v>22.683272463766826</v>
      </c>
      <c r="L598" s="211">
        <f t="shared" si="113"/>
        <v>0.16164383561643836</v>
      </c>
      <c r="M598" s="211">
        <f>$D598*L598*_xlfn.XLOOKUP($I598,'Sample Size cal and results'!$B$24:$B$25,'Sample Size cal and results'!$I$24:$I$25)</f>
        <v>4.4873298783026003</v>
      </c>
      <c r="N598" s="214">
        <f t="shared" si="114"/>
        <v>27.170602342069426</v>
      </c>
      <c r="O598" s="225" t="str">
        <f t="shared" si="115"/>
        <v>7-8 years</v>
      </c>
      <c r="P598" s="226">
        <f t="shared" si="116"/>
        <v>0.50684931506849318</v>
      </c>
      <c r="Q598" s="227">
        <f>$D598*P598*_xlfn.XLOOKUP($O598,'Sample Size cal and results'!$B$26:$B$27,'Sample Size cal and results'!$I$26:$I$27)</f>
        <v>10.868095474819233</v>
      </c>
      <c r="R598" s="330"/>
    </row>
    <row r="599" spans="1:18" ht="12.75">
      <c r="A599" s="99" t="s">
        <v>143</v>
      </c>
      <c r="B599" s="100">
        <v>41884</v>
      </c>
      <c r="C599" s="100">
        <f t="shared" si="106"/>
        <v>44440</v>
      </c>
      <c r="D599" s="209">
        <v>15</v>
      </c>
      <c r="E599" s="217">
        <f t="shared" si="107"/>
        <v>5.49</v>
      </c>
      <c r="F599" s="218">
        <f t="shared" si="108"/>
        <v>6.49</v>
      </c>
      <c r="G599" s="219">
        <f t="shared" si="109"/>
        <v>6.49</v>
      </c>
      <c r="H599" s="220">
        <f t="shared" si="110"/>
        <v>7.49</v>
      </c>
      <c r="I599" s="257" t="str">
        <f t="shared" si="111"/>
        <v>6-7 years</v>
      </c>
      <c r="J599" s="211">
        <f t="shared" si="112"/>
        <v>0.83835616438356164</v>
      </c>
      <c r="K599" s="258">
        <f>$D599*J599*_xlfn.XLOOKUP($I599,'Sample Size cal and results'!$B$24:$B$25,'Sample Size cal and results'!$H$24:$H$25)</f>
        <v>10.310578392621284</v>
      </c>
      <c r="L599" s="211">
        <f t="shared" si="113"/>
        <v>0.16164383561643836</v>
      </c>
      <c r="M599" s="211">
        <f>$D599*L599*_xlfn.XLOOKUP($I599,'Sample Size cal and results'!$B$24:$B$25,'Sample Size cal and results'!$I$24:$I$25)</f>
        <v>2.0396953992284548</v>
      </c>
      <c r="N599" s="214">
        <f t="shared" si="114"/>
        <v>12.350273791849739</v>
      </c>
      <c r="O599" s="225" t="str">
        <f t="shared" si="115"/>
        <v>7-8 years</v>
      </c>
      <c r="P599" s="226">
        <f t="shared" si="116"/>
        <v>0.50684931506849318</v>
      </c>
      <c r="Q599" s="227">
        <f>$D599*P599*_xlfn.XLOOKUP($O599,'Sample Size cal and results'!$B$26:$B$27,'Sample Size cal and results'!$I$26:$I$27)</f>
        <v>4.9400433976451064</v>
      </c>
      <c r="R599" s="330"/>
    </row>
    <row r="600" spans="1:18" ht="12.75">
      <c r="A600" s="99" t="s">
        <v>151</v>
      </c>
      <c r="B600" s="100">
        <v>41883</v>
      </c>
      <c r="C600" s="100">
        <f t="shared" si="106"/>
        <v>44439</v>
      </c>
      <c r="D600" s="209">
        <v>1474</v>
      </c>
      <c r="E600" s="217">
        <f t="shared" si="107"/>
        <v>5.49</v>
      </c>
      <c r="F600" s="218">
        <f t="shared" si="108"/>
        <v>6.49</v>
      </c>
      <c r="G600" s="219">
        <f t="shared" si="109"/>
        <v>6.49</v>
      </c>
      <c r="H600" s="220">
        <f t="shared" si="110"/>
        <v>7.49</v>
      </c>
      <c r="I600" s="257" t="str">
        <f t="shared" si="111"/>
        <v>6-7 years</v>
      </c>
      <c r="J600" s="211">
        <f t="shared" si="112"/>
        <v>0.83835616438356164</v>
      </c>
      <c r="K600" s="258">
        <f>$D600*J600*_xlfn.XLOOKUP($I600,'Sample Size cal and results'!$B$24:$B$25,'Sample Size cal and results'!$H$24:$H$25)</f>
        <v>1013.1861700482515</v>
      </c>
      <c r="L600" s="211">
        <f t="shared" si="113"/>
        <v>0.16164383561643836</v>
      </c>
      <c r="M600" s="211">
        <f>$D600*L600*_xlfn.XLOOKUP($I600,'Sample Size cal and results'!$B$24:$B$25,'Sample Size cal and results'!$I$24:$I$25)</f>
        <v>200.43406789751614</v>
      </c>
      <c r="N600" s="214">
        <f t="shared" si="114"/>
        <v>1213.6202379457677</v>
      </c>
      <c r="O600" s="225" t="str">
        <f t="shared" si="115"/>
        <v>7-8 years</v>
      </c>
      <c r="P600" s="226">
        <f t="shared" si="116"/>
        <v>0.50410958904109593</v>
      </c>
      <c r="Q600" s="227">
        <f>$D600*P600*_xlfn.XLOOKUP($O600,'Sample Size cal and results'!$B$26:$B$27,'Sample Size cal and results'!$I$26:$I$27)</f>
        <v>482.81758923809559</v>
      </c>
      <c r="R600" s="330"/>
    </row>
    <row r="601" spans="1:18" ht="12.75">
      <c r="A601" s="99" t="s">
        <v>145</v>
      </c>
      <c r="B601" s="100">
        <v>41883</v>
      </c>
      <c r="C601" s="100">
        <f t="shared" si="106"/>
        <v>44439</v>
      </c>
      <c r="D601" s="209">
        <v>77</v>
      </c>
      <c r="E601" s="217">
        <f t="shared" si="107"/>
        <v>5.49</v>
      </c>
      <c r="F601" s="218">
        <f t="shared" si="108"/>
        <v>6.49</v>
      </c>
      <c r="G601" s="219">
        <f t="shared" si="109"/>
        <v>6.49</v>
      </c>
      <c r="H601" s="220">
        <f t="shared" si="110"/>
        <v>7.49</v>
      </c>
      <c r="I601" s="257" t="str">
        <f t="shared" si="111"/>
        <v>6-7 years</v>
      </c>
      <c r="J601" s="211">
        <f t="shared" si="112"/>
        <v>0.83835616438356164</v>
      </c>
      <c r="K601" s="258">
        <f>$D601*J601*_xlfn.XLOOKUP($I601,'Sample Size cal and results'!$B$24:$B$25,'Sample Size cal and results'!$H$24:$H$25)</f>
        <v>52.927635748789264</v>
      </c>
      <c r="L601" s="211">
        <f t="shared" si="113"/>
        <v>0.16164383561643836</v>
      </c>
      <c r="M601" s="211">
        <f>$D601*L601*_xlfn.XLOOKUP($I601,'Sample Size cal and results'!$B$24:$B$25,'Sample Size cal and results'!$I$24:$I$25)</f>
        <v>10.470436382706067</v>
      </c>
      <c r="N601" s="214">
        <f t="shared" si="114"/>
        <v>63.398072131495333</v>
      </c>
      <c r="O601" s="225" t="str">
        <f t="shared" si="115"/>
        <v>7-8 years</v>
      </c>
      <c r="P601" s="226">
        <f t="shared" si="116"/>
        <v>0.50410958904109593</v>
      </c>
      <c r="Q601" s="227">
        <f>$D601*P601*_xlfn.XLOOKUP($O601,'Sample Size cal and results'!$B$26:$B$27,'Sample Size cal and results'!$I$26:$I$27)</f>
        <v>25.221814363184095</v>
      </c>
      <c r="R601" s="330"/>
    </row>
    <row r="602" spans="1:18" ht="12.75">
      <c r="A602" s="99" t="s">
        <v>143</v>
      </c>
      <c r="B602" s="100">
        <v>41883</v>
      </c>
      <c r="C602" s="100">
        <f t="shared" si="106"/>
        <v>44439</v>
      </c>
      <c r="D602" s="209">
        <v>10</v>
      </c>
      <c r="E602" s="217">
        <f t="shared" si="107"/>
        <v>5.49</v>
      </c>
      <c r="F602" s="218">
        <f t="shared" si="108"/>
        <v>6.49</v>
      </c>
      <c r="G602" s="219">
        <f t="shared" si="109"/>
        <v>6.49</v>
      </c>
      <c r="H602" s="220">
        <f t="shared" si="110"/>
        <v>7.49</v>
      </c>
      <c r="I602" s="257" t="str">
        <f t="shared" si="111"/>
        <v>6-7 years</v>
      </c>
      <c r="J602" s="211">
        <f t="shared" si="112"/>
        <v>0.83835616438356164</v>
      </c>
      <c r="K602" s="258">
        <f>$D602*J602*_xlfn.XLOOKUP($I602,'Sample Size cal and results'!$B$24:$B$25,'Sample Size cal and results'!$H$24:$H$25)</f>
        <v>6.8737189284141893</v>
      </c>
      <c r="L602" s="211">
        <f t="shared" si="113"/>
        <v>0.16164383561643836</v>
      </c>
      <c r="M602" s="211">
        <f>$D602*L602*_xlfn.XLOOKUP($I602,'Sample Size cal and results'!$B$24:$B$25,'Sample Size cal and results'!$I$24:$I$25)</f>
        <v>1.3597969328189699</v>
      </c>
      <c r="N602" s="214">
        <f t="shared" si="114"/>
        <v>8.2335158612331583</v>
      </c>
      <c r="O602" s="225" t="str">
        <f t="shared" si="115"/>
        <v>7-8 years</v>
      </c>
      <c r="P602" s="226">
        <f t="shared" si="116"/>
        <v>0.50410958904109593</v>
      </c>
      <c r="Q602" s="227">
        <f>$D602*P602*_xlfn.XLOOKUP($O602,'Sample Size cal and results'!$B$26:$B$27,'Sample Size cal and results'!$I$26:$I$27)</f>
        <v>3.2755603069070256</v>
      </c>
      <c r="R602" s="330"/>
    </row>
    <row r="603" spans="1:18" ht="12.75">
      <c r="A603" s="99" t="s">
        <v>151</v>
      </c>
      <c r="B603" s="100">
        <v>41882</v>
      </c>
      <c r="C603" s="100">
        <f t="shared" si="106"/>
        <v>44438</v>
      </c>
      <c r="D603" s="209">
        <v>76</v>
      </c>
      <c r="E603" s="217">
        <f t="shared" si="107"/>
        <v>5.49</v>
      </c>
      <c r="F603" s="218">
        <f t="shared" si="108"/>
        <v>6.49</v>
      </c>
      <c r="G603" s="219">
        <f t="shared" si="109"/>
        <v>6.49</v>
      </c>
      <c r="H603" s="220">
        <f t="shared" si="110"/>
        <v>7.49</v>
      </c>
      <c r="I603" s="257" t="str">
        <f t="shared" si="111"/>
        <v>6-7 years</v>
      </c>
      <c r="J603" s="211">
        <f t="shared" si="112"/>
        <v>0.83835616438356164</v>
      </c>
      <c r="K603" s="258">
        <f>$D603*J603*_xlfn.XLOOKUP($I603,'Sample Size cal and results'!$B$24:$B$25,'Sample Size cal and results'!$H$24:$H$25)</f>
        <v>52.240263855947838</v>
      </c>
      <c r="L603" s="211">
        <f t="shared" si="113"/>
        <v>0.16164383561643836</v>
      </c>
      <c r="M603" s="211">
        <f>$D603*L603*_xlfn.XLOOKUP($I603,'Sample Size cal and results'!$B$24:$B$25,'Sample Size cal and results'!$I$24:$I$25)</f>
        <v>10.334456689424171</v>
      </c>
      <c r="N603" s="214">
        <f t="shared" si="114"/>
        <v>62.57472054537201</v>
      </c>
      <c r="O603" s="225" t="str">
        <f t="shared" si="115"/>
        <v>7-8 years</v>
      </c>
      <c r="P603" s="226">
        <f t="shared" si="116"/>
        <v>0.50136986301369868</v>
      </c>
      <c r="Q603" s="227">
        <f>$D603*P603*_xlfn.XLOOKUP($O603,'Sample Size cal and results'!$B$26:$B$27,'Sample Size cal and results'!$I$26:$I$27)</f>
        <v>24.758963450251585</v>
      </c>
      <c r="R603" s="330"/>
    </row>
    <row r="604" spans="1:18" ht="12.75">
      <c r="A604" s="99" t="s">
        <v>145</v>
      </c>
      <c r="B604" s="100">
        <v>41882</v>
      </c>
      <c r="C604" s="100">
        <f t="shared" si="106"/>
        <v>44438</v>
      </c>
      <c r="D604" s="209">
        <v>10</v>
      </c>
      <c r="E604" s="217">
        <f t="shared" si="107"/>
        <v>5.49</v>
      </c>
      <c r="F604" s="218">
        <f t="shared" si="108"/>
        <v>6.49</v>
      </c>
      <c r="G604" s="219">
        <f t="shared" si="109"/>
        <v>6.49</v>
      </c>
      <c r="H604" s="220">
        <f t="shared" si="110"/>
        <v>7.49</v>
      </c>
      <c r="I604" s="257" t="str">
        <f t="shared" si="111"/>
        <v>6-7 years</v>
      </c>
      <c r="J604" s="211">
        <f t="shared" si="112"/>
        <v>0.83835616438356164</v>
      </c>
      <c r="K604" s="258">
        <f>$D604*J604*_xlfn.XLOOKUP($I604,'Sample Size cal and results'!$B$24:$B$25,'Sample Size cal and results'!$H$24:$H$25)</f>
        <v>6.8737189284141893</v>
      </c>
      <c r="L604" s="211">
        <f t="shared" si="113"/>
        <v>0.16164383561643836</v>
      </c>
      <c r="M604" s="211">
        <f>$D604*L604*_xlfn.XLOOKUP($I604,'Sample Size cal and results'!$B$24:$B$25,'Sample Size cal and results'!$I$24:$I$25)</f>
        <v>1.3597969328189699</v>
      </c>
      <c r="N604" s="214">
        <f t="shared" si="114"/>
        <v>8.2335158612331583</v>
      </c>
      <c r="O604" s="225" t="str">
        <f t="shared" si="115"/>
        <v>7-8 years</v>
      </c>
      <c r="P604" s="226">
        <f t="shared" si="116"/>
        <v>0.50136986301369868</v>
      </c>
      <c r="Q604" s="227">
        <f>$D604*P604*_xlfn.XLOOKUP($O604,'Sample Size cal and results'!$B$26:$B$27,'Sample Size cal and results'!$I$26:$I$27)</f>
        <v>3.2577583487173136</v>
      </c>
      <c r="R604" s="330"/>
    </row>
    <row r="605" spans="1:18" ht="12.75">
      <c r="A605" s="99" t="s">
        <v>143</v>
      </c>
      <c r="B605" s="100">
        <v>41882</v>
      </c>
      <c r="C605" s="100">
        <f t="shared" si="106"/>
        <v>44438</v>
      </c>
      <c r="D605" s="209">
        <v>2</v>
      </c>
      <c r="E605" s="217">
        <f t="shared" si="107"/>
        <v>5.49</v>
      </c>
      <c r="F605" s="218">
        <f t="shared" si="108"/>
        <v>6.49</v>
      </c>
      <c r="G605" s="219">
        <f t="shared" si="109"/>
        <v>6.49</v>
      </c>
      <c r="H605" s="220">
        <f t="shared" si="110"/>
        <v>7.49</v>
      </c>
      <c r="I605" s="257" t="str">
        <f t="shared" si="111"/>
        <v>6-7 years</v>
      </c>
      <c r="J605" s="211">
        <f t="shared" si="112"/>
        <v>0.83835616438356164</v>
      </c>
      <c r="K605" s="258">
        <f>$D605*J605*_xlfn.XLOOKUP($I605,'Sample Size cal and results'!$B$24:$B$25,'Sample Size cal and results'!$H$24:$H$25)</f>
        <v>1.3747437856828379</v>
      </c>
      <c r="L605" s="211">
        <f t="shared" si="113"/>
        <v>0.16164383561643836</v>
      </c>
      <c r="M605" s="211">
        <f>$D605*L605*_xlfn.XLOOKUP($I605,'Sample Size cal and results'!$B$24:$B$25,'Sample Size cal and results'!$I$24:$I$25)</f>
        <v>0.27195938656379398</v>
      </c>
      <c r="N605" s="214">
        <f t="shared" si="114"/>
        <v>1.6467031722466319</v>
      </c>
      <c r="O605" s="225" t="str">
        <f t="shared" si="115"/>
        <v>7-8 years</v>
      </c>
      <c r="P605" s="226">
        <f t="shared" si="116"/>
        <v>0.50136986301369868</v>
      </c>
      <c r="Q605" s="227">
        <f>$D605*P605*_xlfn.XLOOKUP($O605,'Sample Size cal and results'!$B$26:$B$27,'Sample Size cal and results'!$I$26:$I$27)</f>
        <v>0.65155166974346268</v>
      </c>
      <c r="R605" s="330"/>
    </row>
    <row r="606" spans="1:18" ht="12.75">
      <c r="A606" s="99" t="s">
        <v>151</v>
      </c>
      <c r="B606" s="100">
        <v>41881</v>
      </c>
      <c r="C606" s="100">
        <f t="shared" si="106"/>
        <v>44437</v>
      </c>
      <c r="D606" s="209">
        <v>220</v>
      </c>
      <c r="E606" s="217">
        <f t="shared" si="107"/>
        <v>5.5</v>
      </c>
      <c r="F606" s="218">
        <f t="shared" si="108"/>
        <v>6.49</v>
      </c>
      <c r="G606" s="219">
        <f t="shared" si="109"/>
        <v>6.5</v>
      </c>
      <c r="H606" s="220">
        <f t="shared" si="110"/>
        <v>7.49</v>
      </c>
      <c r="I606" s="257" t="str">
        <f t="shared" si="111"/>
        <v>6-7 years</v>
      </c>
      <c r="J606" s="211">
        <f t="shared" si="112"/>
        <v>0.83835616438356164</v>
      </c>
      <c r="K606" s="258">
        <f>$D606*J606*_xlfn.XLOOKUP($I606,'Sample Size cal and results'!$B$24:$B$25,'Sample Size cal and results'!$H$24:$H$25)</f>
        <v>151.22181642511217</v>
      </c>
      <c r="L606" s="211">
        <f t="shared" si="113"/>
        <v>0.16164383561643836</v>
      </c>
      <c r="M606" s="211">
        <f>$D606*L606*_xlfn.XLOOKUP($I606,'Sample Size cal and results'!$B$24:$B$25,'Sample Size cal and results'!$I$24:$I$25)</f>
        <v>29.915532522017333</v>
      </c>
      <c r="N606" s="214">
        <f t="shared" si="114"/>
        <v>181.13734894712951</v>
      </c>
      <c r="O606" s="225" t="str">
        <f t="shared" si="115"/>
        <v>7-8 years</v>
      </c>
      <c r="P606" s="226">
        <f t="shared" si="116"/>
        <v>0.49863013698630138</v>
      </c>
      <c r="Q606" s="227">
        <f>$D606*P606*_xlfn.XLOOKUP($O606,'Sample Size cal and results'!$B$26:$B$27,'Sample Size cal and results'!$I$26:$I$27)</f>
        <v>71.279040591607213</v>
      </c>
      <c r="R606" s="330"/>
    </row>
    <row r="607" spans="1:18" ht="12.75">
      <c r="A607" s="99" t="s">
        <v>145</v>
      </c>
      <c r="B607" s="100">
        <v>41881</v>
      </c>
      <c r="C607" s="100">
        <f t="shared" si="106"/>
        <v>44437</v>
      </c>
      <c r="D607" s="209">
        <v>59</v>
      </c>
      <c r="E607" s="217">
        <f t="shared" si="107"/>
        <v>5.5</v>
      </c>
      <c r="F607" s="218">
        <f t="shared" si="108"/>
        <v>6.49</v>
      </c>
      <c r="G607" s="219">
        <f t="shared" si="109"/>
        <v>6.5</v>
      </c>
      <c r="H607" s="220">
        <f t="shared" si="110"/>
        <v>7.49</v>
      </c>
      <c r="I607" s="257" t="str">
        <f t="shared" si="111"/>
        <v>6-7 years</v>
      </c>
      <c r="J607" s="211">
        <f t="shared" si="112"/>
        <v>0.83835616438356164</v>
      </c>
      <c r="K607" s="258">
        <f>$D607*J607*_xlfn.XLOOKUP($I607,'Sample Size cal and results'!$B$24:$B$25,'Sample Size cal and results'!$H$24:$H$25)</f>
        <v>40.554941677643718</v>
      </c>
      <c r="L607" s="211">
        <f t="shared" si="113"/>
        <v>0.16164383561643836</v>
      </c>
      <c r="M607" s="211">
        <f>$D607*L607*_xlfn.XLOOKUP($I607,'Sample Size cal and results'!$B$24:$B$25,'Sample Size cal and results'!$I$24:$I$25)</f>
        <v>8.0228019036319207</v>
      </c>
      <c r="N607" s="214">
        <f t="shared" si="114"/>
        <v>48.577743581275641</v>
      </c>
      <c r="O607" s="225" t="str">
        <f t="shared" si="115"/>
        <v>7-8 years</v>
      </c>
      <c r="P607" s="226">
        <f t="shared" si="116"/>
        <v>0.49863013698630138</v>
      </c>
      <c r="Q607" s="227">
        <f>$D607*P607*_xlfn.XLOOKUP($O607,'Sample Size cal and results'!$B$26:$B$27,'Sample Size cal and results'!$I$26:$I$27)</f>
        <v>19.115742704112847</v>
      </c>
      <c r="R607" s="330"/>
    </row>
    <row r="608" spans="1:18" ht="12.75">
      <c r="A608" s="99" t="s">
        <v>143</v>
      </c>
      <c r="B608" s="100">
        <v>41881</v>
      </c>
      <c r="C608" s="100">
        <f t="shared" si="106"/>
        <v>44437</v>
      </c>
      <c r="D608" s="209">
        <v>29</v>
      </c>
      <c r="E608" s="217">
        <f t="shared" si="107"/>
        <v>5.5</v>
      </c>
      <c r="F608" s="218">
        <f t="shared" si="108"/>
        <v>6.49</v>
      </c>
      <c r="G608" s="219">
        <f t="shared" si="109"/>
        <v>6.5</v>
      </c>
      <c r="H608" s="220">
        <f t="shared" si="110"/>
        <v>7.49</v>
      </c>
      <c r="I608" s="257" t="str">
        <f t="shared" si="111"/>
        <v>6-7 years</v>
      </c>
      <c r="J608" s="211">
        <f t="shared" si="112"/>
        <v>0.83835616438356164</v>
      </c>
      <c r="K608" s="258">
        <f>$D608*J608*_xlfn.XLOOKUP($I608,'Sample Size cal and results'!$B$24:$B$25,'Sample Size cal and results'!$H$24:$H$25)</f>
        <v>19.93378489240115</v>
      </c>
      <c r="L608" s="211">
        <f t="shared" si="113"/>
        <v>0.16164383561643836</v>
      </c>
      <c r="M608" s="211">
        <f>$D608*L608*_xlfn.XLOOKUP($I608,'Sample Size cal and results'!$B$24:$B$25,'Sample Size cal and results'!$I$24:$I$25)</f>
        <v>3.9434111051750125</v>
      </c>
      <c r="N608" s="214">
        <f t="shared" si="114"/>
        <v>23.877195997576163</v>
      </c>
      <c r="O608" s="225" t="str">
        <f t="shared" si="115"/>
        <v>7-8 years</v>
      </c>
      <c r="P608" s="226">
        <f t="shared" si="116"/>
        <v>0.49863013698630138</v>
      </c>
      <c r="Q608" s="227">
        <f>$D608*P608*_xlfn.XLOOKUP($O608,'Sample Size cal and results'!$B$26:$B$27,'Sample Size cal and results'!$I$26:$I$27)</f>
        <v>9.3958735325300431</v>
      </c>
      <c r="R608" s="330"/>
    </row>
    <row r="609" spans="1:18" ht="12.75">
      <c r="A609" s="99" t="s">
        <v>151</v>
      </c>
      <c r="B609" s="100">
        <v>41880</v>
      </c>
      <c r="C609" s="100">
        <f t="shared" si="106"/>
        <v>44436</v>
      </c>
      <c r="D609" s="209">
        <v>228</v>
      </c>
      <c r="E609" s="217">
        <f t="shared" si="107"/>
        <v>5.5</v>
      </c>
      <c r="F609" s="218">
        <f t="shared" si="108"/>
        <v>6.5</v>
      </c>
      <c r="G609" s="219">
        <f t="shared" si="109"/>
        <v>6.5</v>
      </c>
      <c r="H609" s="220">
        <f t="shared" si="110"/>
        <v>7.5</v>
      </c>
      <c r="I609" s="257" t="str">
        <f t="shared" si="111"/>
        <v>6-7 years</v>
      </c>
      <c r="J609" s="211">
        <f t="shared" si="112"/>
        <v>0.83835616438356164</v>
      </c>
      <c r="K609" s="258">
        <f>$D609*J609*_xlfn.XLOOKUP($I609,'Sample Size cal and results'!$B$24:$B$25,'Sample Size cal and results'!$H$24:$H$25)</f>
        <v>156.72079156784352</v>
      </c>
      <c r="L609" s="211">
        <f t="shared" si="113"/>
        <v>0.16164383561643836</v>
      </c>
      <c r="M609" s="211">
        <f>$D609*L609*_xlfn.XLOOKUP($I609,'Sample Size cal and results'!$B$24:$B$25,'Sample Size cal and results'!$I$24:$I$25)</f>
        <v>31.003370068272513</v>
      </c>
      <c r="N609" s="214">
        <f t="shared" si="114"/>
        <v>187.72416163611604</v>
      </c>
      <c r="O609" s="225" t="str">
        <f t="shared" si="115"/>
        <v>7-8 years</v>
      </c>
      <c r="P609" s="226">
        <f t="shared" si="116"/>
        <v>0.49589041095890413</v>
      </c>
      <c r="Q609" s="227">
        <f>$D609*P609*_xlfn.XLOOKUP($O609,'Sample Size cal and results'!$B$26:$B$27,'Sample Size cal and results'!$I$26:$I$27)</f>
        <v>73.465121057303875</v>
      </c>
      <c r="R609" s="330"/>
    </row>
    <row r="610" spans="1:18" ht="12.75">
      <c r="A610" s="99" t="s">
        <v>145</v>
      </c>
      <c r="B610" s="100">
        <v>41880</v>
      </c>
      <c r="C610" s="100">
        <f t="shared" si="106"/>
        <v>44436</v>
      </c>
      <c r="D610" s="209">
        <v>51</v>
      </c>
      <c r="E610" s="217">
        <f t="shared" si="107"/>
        <v>5.5</v>
      </c>
      <c r="F610" s="218">
        <f t="shared" si="108"/>
        <v>6.5</v>
      </c>
      <c r="G610" s="219">
        <f t="shared" si="109"/>
        <v>6.5</v>
      </c>
      <c r="H610" s="220">
        <f t="shared" si="110"/>
        <v>7.5</v>
      </c>
      <c r="I610" s="257" t="str">
        <f t="shared" si="111"/>
        <v>6-7 years</v>
      </c>
      <c r="J610" s="211">
        <f t="shared" si="112"/>
        <v>0.83835616438356164</v>
      </c>
      <c r="K610" s="258">
        <f>$D610*J610*_xlfn.XLOOKUP($I610,'Sample Size cal and results'!$B$24:$B$25,'Sample Size cal and results'!$H$24:$H$25)</f>
        <v>35.055966534912365</v>
      </c>
      <c r="L610" s="211">
        <f t="shared" si="113"/>
        <v>0.16164383561643836</v>
      </c>
      <c r="M610" s="211">
        <f>$D610*L610*_xlfn.XLOOKUP($I610,'Sample Size cal and results'!$B$24:$B$25,'Sample Size cal and results'!$I$24:$I$25)</f>
        <v>6.9349643573767468</v>
      </c>
      <c r="N610" s="214">
        <f t="shared" si="114"/>
        <v>41.990930892289114</v>
      </c>
      <c r="O610" s="225" t="str">
        <f t="shared" si="115"/>
        <v>7-8 years</v>
      </c>
      <c r="P610" s="226">
        <f t="shared" si="116"/>
        <v>0.49589041095890413</v>
      </c>
      <c r="Q610" s="227">
        <f>$D610*P610*_xlfn.XLOOKUP($O610,'Sample Size cal and results'!$B$26:$B$27,'Sample Size cal and results'!$I$26:$I$27)</f>
        <v>16.432987604923234</v>
      </c>
      <c r="R610" s="330"/>
    </row>
    <row r="611" spans="1:18" ht="12.75">
      <c r="A611" s="99" t="s">
        <v>143</v>
      </c>
      <c r="B611" s="100">
        <v>41880</v>
      </c>
      <c r="C611" s="100">
        <f t="shared" si="106"/>
        <v>44436</v>
      </c>
      <c r="D611" s="209">
        <v>19</v>
      </c>
      <c r="E611" s="217">
        <f t="shared" si="107"/>
        <v>5.5</v>
      </c>
      <c r="F611" s="218">
        <f t="shared" si="108"/>
        <v>6.5</v>
      </c>
      <c r="G611" s="219">
        <f t="shared" si="109"/>
        <v>6.5</v>
      </c>
      <c r="H611" s="220">
        <f t="shared" si="110"/>
        <v>7.5</v>
      </c>
      <c r="I611" s="257" t="str">
        <f t="shared" si="111"/>
        <v>6-7 years</v>
      </c>
      <c r="J611" s="211">
        <f t="shared" si="112"/>
        <v>0.83835616438356164</v>
      </c>
      <c r="K611" s="258">
        <f>$D611*J611*_xlfn.XLOOKUP($I611,'Sample Size cal and results'!$B$24:$B$25,'Sample Size cal and results'!$H$24:$H$25)</f>
        <v>13.060065963986959</v>
      </c>
      <c r="L611" s="211">
        <f t="shared" si="113"/>
        <v>0.16164383561643836</v>
      </c>
      <c r="M611" s="211">
        <f>$D611*L611*_xlfn.XLOOKUP($I611,'Sample Size cal and results'!$B$24:$B$25,'Sample Size cal and results'!$I$24:$I$25)</f>
        <v>2.5836141723560426</v>
      </c>
      <c r="N611" s="214">
        <f t="shared" si="114"/>
        <v>15.643680136343002</v>
      </c>
      <c r="O611" s="225" t="str">
        <f t="shared" si="115"/>
        <v>7-8 years</v>
      </c>
      <c r="P611" s="226">
        <f t="shared" si="116"/>
        <v>0.49589041095890413</v>
      </c>
      <c r="Q611" s="227">
        <f>$D611*P611*_xlfn.XLOOKUP($O611,'Sample Size cal and results'!$B$26:$B$27,'Sample Size cal and results'!$I$26:$I$27)</f>
        <v>6.1220934214419893</v>
      </c>
      <c r="R611" s="330"/>
    </row>
    <row r="612" spans="1:18" ht="12.75">
      <c r="A612" s="99" t="s">
        <v>151</v>
      </c>
      <c r="B612" s="100">
        <v>41879</v>
      </c>
      <c r="C612" s="100">
        <f t="shared" si="106"/>
        <v>44435</v>
      </c>
      <c r="D612" s="209">
        <v>258</v>
      </c>
      <c r="E612" s="217">
        <f t="shared" si="107"/>
        <v>5.5</v>
      </c>
      <c r="F612" s="218">
        <f t="shared" si="108"/>
        <v>6.5</v>
      </c>
      <c r="G612" s="219">
        <f t="shared" si="109"/>
        <v>6.5</v>
      </c>
      <c r="H612" s="220">
        <f t="shared" si="110"/>
        <v>7.5</v>
      </c>
      <c r="I612" s="257" t="str">
        <f t="shared" si="111"/>
        <v>6-7 years</v>
      </c>
      <c r="J612" s="211">
        <f t="shared" si="112"/>
        <v>0.83835616438356164</v>
      </c>
      <c r="K612" s="258">
        <f>$D612*J612*_xlfn.XLOOKUP($I612,'Sample Size cal and results'!$B$24:$B$25,'Sample Size cal and results'!$H$24:$H$25)</f>
        <v>177.34194835308608</v>
      </c>
      <c r="L612" s="211">
        <f t="shared" si="113"/>
        <v>0.16164383561643836</v>
      </c>
      <c r="M612" s="211">
        <f>$D612*L612*_xlfn.XLOOKUP($I612,'Sample Size cal and results'!$B$24:$B$25,'Sample Size cal and results'!$I$24:$I$25)</f>
        <v>35.082760866729423</v>
      </c>
      <c r="N612" s="214">
        <f t="shared" si="114"/>
        <v>212.4247092198155</v>
      </c>
      <c r="O612" s="225" t="str">
        <f t="shared" si="115"/>
        <v>7-8 years</v>
      </c>
      <c r="P612" s="226">
        <f t="shared" si="116"/>
        <v>0.49315068493150682</v>
      </c>
      <c r="Q612" s="227">
        <f>$D612*P612*_xlfn.XLOOKUP($O612,'Sample Size cal and results'!$B$26:$B$27,'Sample Size cal and results'!$I$26:$I$27)</f>
        <v>82.672293833022962</v>
      </c>
      <c r="R612" s="330"/>
    </row>
    <row r="613" spans="1:18" ht="12.75">
      <c r="A613" s="99" t="s">
        <v>145</v>
      </c>
      <c r="B613" s="100">
        <v>41879</v>
      </c>
      <c r="C613" s="100">
        <f t="shared" si="106"/>
        <v>44435</v>
      </c>
      <c r="D613" s="209">
        <v>48</v>
      </c>
      <c r="E613" s="217">
        <f t="shared" si="107"/>
        <v>5.5</v>
      </c>
      <c r="F613" s="218">
        <f t="shared" si="108"/>
        <v>6.5</v>
      </c>
      <c r="G613" s="219">
        <f t="shared" si="109"/>
        <v>6.5</v>
      </c>
      <c r="H613" s="220">
        <f t="shared" si="110"/>
        <v>7.5</v>
      </c>
      <c r="I613" s="257" t="str">
        <f t="shared" si="111"/>
        <v>6-7 years</v>
      </c>
      <c r="J613" s="211">
        <f t="shared" si="112"/>
        <v>0.83835616438356164</v>
      </c>
      <c r="K613" s="258">
        <f>$D613*J613*_xlfn.XLOOKUP($I613,'Sample Size cal and results'!$B$24:$B$25,'Sample Size cal and results'!$H$24:$H$25)</f>
        <v>32.993850856388107</v>
      </c>
      <c r="L613" s="211">
        <f t="shared" si="113"/>
        <v>0.16164383561643836</v>
      </c>
      <c r="M613" s="211">
        <f>$D613*L613*_xlfn.XLOOKUP($I613,'Sample Size cal and results'!$B$24:$B$25,'Sample Size cal and results'!$I$24:$I$25)</f>
        <v>6.5270252775310551</v>
      </c>
      <c r="N613" s="214">
        <f t="shared" si="114"/>
        <v>39.52087613391916</v>
      </c>
      <c r="O613" s="225" t="str">
        <f t="shared" si="115"/>
        <v>7-8 years</v>
      </c>
      <c r="P613" s="226">
        <f t="shared" si="116"/>
        <v>0.49315068493150682</v>
      </c>
      <c r="Q613" s="227">
        <f>$D613*P613*_xlfn.XLOOKUP($O613,'Sample Size cal and results'!$B$26:$B$27,'Sample Size cal and results'!$I$26:$I$27)</f>
        <v>15.380891875911248</v>
      </c>
      <c r="R613" s="330"/>
    </row>
    <row r="614" spans="1:18" ht="12.75">
      <c r="A614" s="99" t="s">
        <v>143</v>
      </c>
      <c r="B614" s="100">
        <v>41879</v>
      </c>
      <c r="C614" s="100">
        <f t="shared" si="106"/>
        <v>44435</v>
      </c>
      <c r="D614" s="209">
        <v>27</v>
      </c>
      <c r="E614" s="217">
        <f t="shared" si="107"/>
        <v>5.5</v>
      </c>
      <c r="F614" s="218">
        <f t="shared" si="108"/>
        <v>6.5</v>
      </c>
      <c r="G614" s="219">
        <f t="shared" si="109"/>
        <v>6.5</v>
      </c>
      <c r="H614" s="220">
        <f t="shared" si="110"/>
        <v>7.5</v>
      </c>
      <c r="I614" s="257" t="str">
        <f t="shared" si="111"/>
        <v>6-7 years</v>
      </c>
      <c r="J614" s="211">
        <f t="shared" si="112"/>
        <v>0.83835616438356164</v>
      </c>
      <c r="K614" s="258">
        <f>$D614*J614*_xlfn.XLOOKUP($I614,'Sample Size cal and results'!$B$24:$B$25,'Sample Size cal and results'!$H$24:$H$25)</f>
        <v>18.559041106718311</v>
      </c>
      <c r="L614" s="211">
        <f t="shared" si="113"/>
        <v>0.16164383561643836</v>
      </c>
      <c r="M614" s="211">
        <f>$D614*L614*_xlfn.XLOOKUP($I614,'Sample Size cal and results'!$B$24:$B$25,'Sample Size cal and results'!$I$24:$I$25)</f>
        <v>3.6714517186112183</v>
      </c>
      <c r="N614" s="214">
        <f t="shared" si="114"/>
        <v>22.230492825329531</v>
      </c>
      <c r="O614" s="225" t="str">
        <f t="shared" si="115"/>
        <v>7-8 years</v>
      </c>
      <c r="P614" s="226">
        <f t="shared" si="116"/>
        <v>0.49315068493150682</v>
      </c>
      <c r="Q614" s="227">
        <f>$D614*P614*_xlfn.XLOOKUP($O614,'Sample Size cal and results'!$B$26:$B$27,'Sample Size cal and results'!$I$26:$I$27)</f>
        <v>8.6517516802000767</v>
      </c>
      <c r="R614" s="330"/>
    </row>
    <row r="615" spans="1:18" ht="12.75">
      <c r="A615" s="99" t="s">
        <v>150</v>
      </c>
      <c r="B615" s="100">
        <v>41878</v>
      </c>
      <c r="C615" s="100">
        <f t="shared" si="106"/>
        <v>44434</v>
      </c>
      <c r="D615" s="209">
        <v>234</v>
      </c>
      <c r="E615" s="217">
        <f t="shared" si="107"/>
        <v>5.51</v>
      </c>
      <c r="F615" s="218">
        <f t="shared" si="108"/>
        <v>6.5</v>
      </c>
      <c r="G615" s="219">
        <f t="shared" si="109"/>
        <v>6.51</v>
      </c>
      <c r="H615" s="220">
        <f t="shared" si="110"/>
        <v>7.5</v>
      </c>
      <c r="I615" s="257" t="str">
        <f t="shared" si="111"/>
        <v>6-7 years</v>
      </c>
      <c r="J615" s="211">
        <f t="shared" si="112"/>
        <v>0.83835616438356164</v>
      </c>
      <c r="K615" s="258">
        <f>$D615*J615*_xlfn.XLOOKUP($I615,'Sample Size cal and results'!$B$24:$B$25,'Sample Size cal and results'!$H$24:$H$25)</f>
        <v>160.84502292489205</v>
      </c>
      <c r="L615" s="211">
        <f t="shared" si="113"/>
        <v>0.16164383561643836</v>
      </c>
      <c r="M615" s="211">
        <f>$D615*L615*_xlfn.XLOOKUP($I615,'Sample Size cal and results'!$B$24:$B$25,'Sample Size cal and results'!$I$24:$I$25)</f>
        <v>31.819248227963893</v>
      </c>
      <c r="N615" s="214">
        <f t="shared" si="114"/>
        <v>192.66427115285595</v>
      </c>
      <c r="O615" s="225" t="str">
        <f t="shared" si="115"/>
        <v>7-8 years</v>
      </c>
      <c r="P615" s="226">
        <f t="shared" si="116"/>
        <v>0.49041095890410957</v>
      </c>
      <c r="Q615" s="227">
        <f>$D615*P615*_xlfn.XLOOKUP($O615,'Sample Size cal and results'!$B$26:$B$27,'Sample Size cal and results'!$I$26:$I$27)</f>
        <v>74.565282073428065</v>
      </c>
      <c r="R615" s="330"/>
    </row>
    <row r="616" spans="1:18" ht="12.75">
      <c r="A616" s="99" t="s">
        <v>145</v>
      </c>
      <c r="B616" s="100">
        <v>41878</v>
      </c>
      <c r="C616" s="100">
        <f t="shared" si="106"/>
        <v>44434</v>
      </c>
      <c r="D616" s="209">
        <v>52</v>
      </c>
      <c r="E616" s="217">
        <f t="shared" si="107"/>
        <v>5.51</v>
      </c>
      <c r="F616" s="218">
        <f t="shared" si="108"/>
        <v>6.5</v>
      </c>
      <c r="G616" s="219">
        <f t="shared" si="109"/>
        <v>6.51</v>
      </c>
      <c r="H616" s="220">
        <f t="shared" si="110"/>
        <v>7.5</v>
      </c>
      <c r="I616" s="257" t="str">
        <f t="shared" si="111"/>
        <v>6-7 years</v>
      </c>
      <c r="J616" s="211">
        <f t="shared" si="112"/>
        <v>0.83835616438356164</v>
      </c>
      <c r="K616" s="258">
        <f>$D616*J616*_xlfn.XLOOKUP($I616,'Sample Size cal and results'!$B$24:$B$25,'Sample Size cal and results'!$H$24:$H$25)</f>
        <v>35.743338427753784</v>
      </c>
      <c r="L616" s="211">
        <f t="shared" si="113"/>
        <v>0.16164383561643836</v>
      </c>
      <c r="M616" s="211">
        <f>$D616*L616*_xlfn.XLOOKUP($I616,'Sample Size cal and results'!$B$24:$B$25,'Sample Size cal and results'!$I$24:$I$25)</f>
        <v>7.0709440506586434</v>
      </c>
      <c r="N616" s="214">
        <f t="shared" si="114"/>
        <v>42.81428247841243</v>
      </c>
      <c r="O616" s="225" t="str">
        <f t="shared" si="115"/>
        <v>7-8 years</v>
      </c>
      <c r="P616" s="226">
        <f t="shared" si="116"/>
        <v>0.49041095890410957</v>
      </c>
      <c r="Q616" s="227">
        <f>$D616*P616*_xlfn.XLOOKUP($O616,'Sample Size cal and results'!$B$26:$B$27,'Sample Size cal and results'!$I$26:$I$27)</f>
        <v>16.570062682984016</v>
      </c>
      <c r="R616" s="330"/>
    </row>
    <row r="617" spans="1:18" ht="12.75">
      <c r="A617" s="99" t="s">
        <v>151</v>
      </c>
      <c r="B617" s="100">
        <v>41878</v>
      </c>
      <c r="C617" s="100">
        <f t="shared" si="106"/>
        <v>44434</v>
      </c>
      <c r="D617" s="209">
        <v>30</v>
      </c>
      <c r="E617" s="217">
        <f t="shared" si="107"/>
        <v>5.51</v>
      </c>
      <c r="F617" s="218">
        <f t="shared" si="108"/>
        <v>6.5</v>
      </c>
      <c r="G617" s="219">
        <f t="shared" si="109"/>
        <v>6.51</v>
      </c>
      <c r="H617" s="220">
        <f t="shared" si="110"/>
        <v>7.5</v>
      </c>
      <c r="I617" s="257" t="str">
        <f t="shared" si="111"/>
        <v>6-7 years</v>
      </c>
      <c r="J617" s="211">
        <f t="shared" si="112"/>
        <v>0.83835616438356164</v>
      </c>
      <c r="K617" s="258">
        <f>$D617*J617*_xlfn.XLOOKUP($I617,'Sample Size cal and results'!$B$24:$B$25,'Sample Size cal and results'!$H$24:$H$25)</f>
        <v>20.621156785242569</v>
      </c>
      <c r="L617" s="211">
        <f t="shared" si="113"/>
        <v>0.16164383561643836</v>
      </c>
      <c r="M617" s="211">
        <f>$D617*L617*_xlfn.XLOOKUP($I617,'Sample Size cal and results'!$B$24:$B$25,'Sample Size cal and results'!$I$24:$I$25)</f>
        <v>4.0793907984569096</v>
      </c>
      <c r="N617" s="214">
        <f t="shared" si="114"/>
        <v>24.700547583699478</v>
      </c>
      <c r="O617" s="225" t="str">
        <f t="shared" si="115"/>
        <v>7-8 years</v>
      </c>
      <c r="P617" s="226">
        <f t="shared" si="116"/>
        <v>0.49041095890410957</v>
      </c>
      <c r="Q617" s="227">
        <f>$D617*P617*_xlfn.XLOOKUP($O617,'Sample Size cal and results'!$B$26:$B$27,'Sample Size cal and results'!$I$26:$I$27)</f>
        <v>9.5596515478753936</v>
      </c>
      <c r="R617" s="330"/>
    </row>
    <row r="618" spans="1:18" ht="12.75">
      <c r="A618" s="99" t="s">
        <v>143</v>
      </c>
      <c r="B618" s="100">
        <v>41878</v>
      </c>
      <c r="C618" s="100">
        <f t="shared" si="106"/>
        <v>44434</v>
      </c>
      <c r="D618" s="209">
        <v>29</v>
      </c>
      <c r="E618" s="217">
        <f t="shared" si="107"/>
        <v>5.51</v>
      </c>
      <c r="F618" s="218">
        <f t="shared" si="108"/>
        <v>6.5</v>
      </c>
      <c r="G618" s="219">
        <f t="shared" si="109"/>
        <v>6.51</v>
      </c>
      <c r="H618" s="220">
        <f t="shared" si="110"/>
        <v>7.5</v>
      </c>
      <c r="I618" s="257" t="str">
        <f t="shared" si="111"/>
        <v>6-7 years</v>
      </c>
      <c r="J618" s="211">
        <f t="shared" si="112"/>
        <v>0.83835616438356164</v>
      </c>
      <c r="K618" s="258">
        <f>$D618*J618*_xlfn.XLOOKUP($I618,'Sample Size cal and results'!$B$24:$B$25,'Sample Size cal and results'!$H$24:$H$25)</f>
        <v>19.93378489240115</v>
      </c>
      <c r="L618" s="211">
        <f t="shared" si="113"/>
        <v>0.16164383561643836</v>
      </c>
      <c r="M618" s="211">
        <f>$D618*L618*_xlfn.XLOOKUP($I618,'Sample Size cal and results'!$B$24:$B$25,'Sample Size cal and results'!$I$24:$I$25)</f>
        <v>3.9434111051750125</v>
      </c>
      <c r="N618" s="214">
        <f t="shared" si="114"/>
        <v>23.877195997576163</v>
      </c>
      <c r="O618" s="225" t="str">
        <f t="shared" si="115"/>
        <v>7-8 years</v>
      </c>
      <c r="P618" s="226">
        <f t="shared" si="116"/>
        <v>0.49041095890410957</v>
      </c>
      <c r="Q618" s="227">
        <f>$D618*P618*_xlfn.XLOOKUP($O618,'Sample Size cal and results'!$B$26:$B$27,'Sample Size cal and results'!$I$26:$I$27)</f>
        <v>9.2409964962795481</v>
      </c>
      <c r="R618" s="330"/>
    </row>
    <row r="619" spans="1:18" ht="12.75">
      <c r="A619" s="99" t="s">
        <v>150</v>
      </c>
      <c r="B619" s="100">
        <v>41877</v>
      </c>
      <c r="C619" s="100">
        <f t="shared" si="106"/>
        <v>44433</v>
      </c>
      <c r="D619" s="209">
        <v>237</v>
      </c>
      <c r="E619" s="217">
        <f t="shared" si="107"/>
        <v>5.51</v>
      </c>
      <c r="F619" s="218">
        <f t="shared" si="108"/>
        <v>6.51</v>
      </c>
      <c r="G619" s="219">
        <f t="shared" si="109"/>
        <v>6.51</v>
      </c>
      <c r="H619" s="220">
        <f t="shared" si="110"/>
        <v>7.51</v>
      </c>
      <c r="I619" s="257" t="str">
        <f t="shared" si="111"/>
        <v>6-7 years</v>
      </c>
      <c r="J619" s="211">
        <f t="shared" si="112"/>
        <v>0.83835616438356164</v>
      </c>
      <c r="K619" s="258">
        <f>$D619*J619*_xlfn.XLOOKUP($I619,'Sample Size cal and results'!$B$24:$B$25,'Sample Size cal and results'!$H$24:$H$25)</f>
        <v>162.90713860341629</v>
      </c>
      <c r="L619" s="211">
        <f t="shared" si="113"/>
        <v>0.16164383561643836</v>
      </c>
      <c r="M619" s="211">
        <f>$D619*L619*_xlfn.XLOOKUP($I619,'Sample Size cal and results'!$B$24:$B$25,'Sample Size cal and results'!$I$24:$I$25)</f>
        <v>32.227187307809587</v>
      </c>
      <c r="N619" s="214">
        <f t="shared" si="114"/>
        <v>195.13432591122586</v>
      </c>
      <c r="O619" s="225" t="str">
        <f t="shared" si="115"/>
        <v>7-8 years</v>
      </c>
      <c r="P619" s="226">
        <f t="shared" si="116"/>
        <v>0.48767123287671232</v>
      </c>
      <c r="Q619" s="227">
        <f>$D619*P619*_xlfn.XLOOKUP($O619,'Sample Size cal and results'!$B$26:$B$27,'Sample Size cal and results'!$I$26:$I$27)</f>
        <v>75.099340819119433</v>
      </c>
      <c r="R619" s="330"/>
    </row>
    <row r="620" spans="1:18" ht="12.75">
      <c r="A620" s="99" t="s">
        <v>145</v>
      </c>
      <c r="B620" s="100">
        <v>41877</v>
      </c>
      <c r="C620" s="100">
        <f t="shared" si="106"/>
        <v>44433</v>
      </c>
      <c r="D620" s="209">
        <v>63</v>
      </c>
      <c r="E620" s="217">
        <f t="shared" si="107"/>
        <v>5.51</v>
      </c>
      <c r="F620" s="218">
        <f t="shared" si="108"/>
        <v>6.51</v>
      </c>
      <c r="G620" s="219">
        <f t="shared" si="109"/>
        <v>6.51</v>
      </c>
      <c r="H620" s="220">
        <f t="shared" si="110"/>
        <v>7.51</v>
      </c>
      <c r="I620" s="257" t="str">
        <f t="shared" si="111"/>
        <v>6-7 years</v>
      </c>
      <c r="J620" s="211">
        <f t="shared" si="112"/>
        <v>0.83835616438356164</v>
      </c>
      <c r="K620" s="258">
        <f>$D620*J620*_xlfn.XLOOKUP($I620,'Sample Size cal and results'!$B$24:$B$25,'Sample Size cal and results'!$H$24:$H$25)</f>
        <v>43.304429249009395</v>
      </c>
      <c r="L620" s="211">
        <f t="shared" si="113"/>
        <v>0.16164383561643836</v>
      </c>
      <c r="M620" s="211">
        <f>$D620*L620*_xlfn.XLOOKUP($I620,'Sample Size cal and results'!$B$24:$B$25,'Sample Size cal and results'!$I$24:$I$25)</f>
        <v>8.566720676759509</v>
      </c>
      <c r="N620" s="214">
        <f t="shared" si="114"/>
        <v>51.871149925768904</v>
      </c>
      <c r="O620" s="225" t="str">
        <f t="shared" si="115"/>
        <v>7-8 years</v>
      </c>
      <c r="P620" s="226">
        <f t="shared" si="116"/>
        <v>0.48767123287671232</v>
      </c>
      <c r="Q620" s="227">
        <f>$D620*P620*_xlfn.XLOOKUP($O620,'Sample Size cal and results'!$B$26:$B$27,'Sample Size cal and results'!$I$26:$I$27)</f>
        <v>19.963115913943142</v>
      </c>
      <c r="R620" s="330"/>
    </row>
    <row r="621" spans="1:18" ht="12.75">
      <c r="A621" s="99" t="s">
        <v>143</v>
      </c>
      <c r="B621" s="100">
        <v>41877</v>
      </c>
      <c r="C621" s="100">
        <f t="shared" si="106"/>
        <v>44433</v>
      </c>
      <c r="D621" s="209">
        <v>23</v>
      </c>
      <c r="E621" s="217">
        <f t="shared" si="107"/>
        <v>5.51</v>
      </c>
      <c r="F621" s="218">
        <f t="shared" si="108"/>
        <v>6.51</v>
      </c>
      <c r="G621" s="219">
        <f t="shared" si="109"/>
        <v>6.51</v>
      </c>
      <c r="H621" s="220">
        <f t="shared" si="110"/>
        <v>7.51</v>
      </c>
      <c r="I621" s="257" t="str">
        <f t="shared" si="111"/>
        <v>6-7 years</v>
      </c>
      <c r="J621" s="211">
        <f t="shared" si="112"/>
        <v>0.83835616438356164</v>
      </c>
      <c r="K621" s="258">
        <f>$D621*J621*_xlfn.XLOOKUP($I621,'Sample Size cal and results'!$B$24:$B$25,'Sample Size cal and results'!$H$24:$H$25)</f>
        <v>15.809553535352636</v>
      </c>
      <c r="L621" s="211">
        <f t="shared" si="113"/>
        <v>0.16164383561643836</v>
      </c>
      <c r="M621" s="211">
        <f>$D621*L621*_xlfn.XLOOKUP($I621,'Sample Size cal and results'!$B$24:$B$25,'Sample Size cal and results'!$I$24:$I$25)</f>
        <v>3.1275329454836305</v>
      </c>
      <c r="N621" s="214">
        <f t="shared" si="114"/>
        <v>18.937086480836268</v>
      </c>
      <c r="O621" s="225" t="str">
        <f t="shared" si="115"/>
        <v>7-8 years</v>
      </c>
      <c r="P621" s="226">
        <f t="shared" si="116"/>
        <v>0.48767123287671232</v>
      </c>
      <c r="Q621" s="227">
        <f>$D621*P621*_xlfn.XLOOKUP($O621,'Sample Size cal and results'!$B$26:$B$27,'Sample Size cal and results'!$I$26:$I$27)</f>
        <v>7.2881216828681312</v>
      </c>
      <c r="R621" s="330"/>
    </row>
    <row r="622" spans="1:18" ht="12.75">
      <c r="A622" s="99" t="s">
        <v>150</v>
      </c>
      <c r="B622" s="100">
        <v>41876</v>
      </c>
      <c r="C622" s="100">
        <f t="shared" si="106"/>
        <v>44432</v>
      </c>
      <c r="D622" s="209">
        <v>304</v>
      </c>
      <c r="E622" s="217">
        <f t="shared" si="107"/>
        <v>5.51</v>
      </c>
      <c r="F622" s="218">
        <f t="shared" si="108"/>
        <v>6.51</v>
      </c>
      <c r="G622" s="219">
        <f t="shared" si="109"/>
        <v>6.51</v>
      </c>
      <c r="H622" s="220">
        <f t="shared" si="110"/>
        <v>7.51</v>
      </c>
      <c r="I622" s="257" t="str">
        <f t="shared" si="111"/>
        <v>6-7 years</v>
      </c>
      <c r="J622" s="211">
        <f t="shared" si="112"/>
        <v>0.83835616438356164</v>
      </c>
      <c r="K622" s="258">
        <f>$D622*J622*_xlfn.XLOOKUP($I622,'Sample Size cal and results'!$B$24:$B$25,'Sample Size cal and results'!$H$24:$H$25)</f>
        <v>208.96105542379135</v>
      </c>
      <c r="L622" s="211">
        <f t="shared" si="113"/>
        <v>0.16164383561643836</v>
      </c>
      <c r="M622" s="211">
        <f>$D622*L622*_xlfn.XLOOKUP($I622,'Sample Size cal and results'!$B$24:$B$25,'Sample Size cal and results'!$I$24:$I$25)</f>
        <v>41.337826757696682</v>
      </c>
      <c r="N622" s="214">
        <f t="shared" si="114"/>
        <v>250.29888218148804</v>
      </c>
      <c r="O622" s="225" t="str">
        <f t="shared" si="115"/>
        <v>7-8 years</v>
      </c>
      <c r="P622" s="226">
        <f t="shared" si="116"/>
        <v>0.48493150684931507</v>
      </c>
      <c r="Q622" s="227">
        <f>$D622*P622*_xlfn.XLOOKUP($O622,'Sample Size cal and results'!$B$26:$B$27,'Sample Size cal and results'!$I$26:$I$27)</f>
        <v>95.788776627202836</v>
      </c>
      <c r="R622" s="330"/>
    </row>
    <row r="623" spans="1:18" ht="12.75">
      <c r="A623" s="99" t="s">
        <v>145</v>
      </c>
      <c r="B623" s="100">
        <v>41876</v>
      </c>
      <c r="C623" s="100">
        <f t="shared" si="106"/>
        <v>44432</v>
      </c>
      <c r="D623" s="209">
        <v>66</v>
      </c>
      <c r="E623" s="217">
        <f t="shared" si="107"/>
        <v>5.51</v>
      </c>
      <c r="F623" s="218">
        <f t="shared" si="108"/>
        <v>6.51</v>
      </c>
      <c r="G623" s="219">
        <f t="shared" si="109"/>
        <v>6.51</v>
      </c>
      <c r="H623" s="220">
        <f t="shared" si="110"/>
        <v>7.51</v>
      </c>
      <c r="I623" s="257" t="str">
        <f t="shared" si="111"/>
        <v>6-7 years</v>
      </c>
      <c r="J623" s="211">
        <f t="shared" si="112"/>
        <v>0.83835616438356164</v>
      </c>
      <c r="K623" s="258">
        <f>$D623*J623*_xlfn.XLOOKUP($I623,'Sample Size cal and results'!$B$24:$B$25,'Sample Size cal and results'!$H$24:$H$25)</f>
        <v>45.366544927533653</v>
      </c>
      <c r="L623" s="211">
        <f t="shared" si="113"/>
        <v>0.16164383561643836</v>
      </c>
      <c r="M623" s="211">
        <f>$D623*L623*_xlfn.XLOOKUP($I623,'Sample Size cal and results'!$B$24:$B$25,'Sample Size cal and results'!$I$24:$I$25)</f>
        <v>8.9746597566052007</v>
      </c>
      <c r="N623" s="214">
        <f t="shared" si="114"/>
        <v>54.341204684138852</v>
      </c>
      <c r="O623" s="225" t="str">
        <f t="shared" si="115"/>
        <v>7-8 years</v>
      </c>
      <c r="P623" s="226">
        <f t="shared" si="116"/>
        <v>0.48493150684931507</v>
      </c>
      <c r="Q623" s="227">
        <f>$D623*P623*_xlfn.XLOOKUP($O623,'Sample Size cal and results'!$B$26:$B$27,'Sample Size cal and results'!$I$26:$I$27)</f>
        <v>20.796247557221665</v>
      </c>
      <c r="R623" s="330"/>
    </row>
    <row r="624" spans="1:18" ht="12.75">
      <c r="A624" s="99" t="s">
        <v>143</v>
      </c>
      <c r="B624" s="100">
        <v>41876</v>
      </c>
      <c r="C624" s="100">
        <f t="shared" si="106"/>
        <v>44432</v>
      </c>
      <c r="D624" s="209">
        <v>27</v>
      </c>
      <c r="E624" s="217">
        <f t="shared" si="107"/>
        <v>5.51</v>
      </c>
      <c r="F624" s="218">
        <f t="shared" si="108"/>
        <v>6.51</v>
      </c>
      <c r="G624" s="219">
        <f t="shared" si="109"/>
        <v>6.51</v>
      </c>
      <c r="H624" s="220">
        <f t="shared" si="110"/>
        <v>7.51</v>
      </c>
      <c r="I624" s="257" t="str">
        <f t="shared" si="111"/>
        <v>6-7 years</v>
      </c>
      <c r="J624" s="211">
        <f t="shared" si="112"/>
        <v>0.83835616438356164</v>
      </c>
      <c r="K624" s="258">
        <f>$D624*J624*_xlfn.XLOOKUP($I624,'Sample Size cal and results'!$B$24:$B$25,'Sample Size cal and results'!$H$24:$H$25)</f>
        <v>18.559041106718311</v>
      </c>
      <c r="L624" s="211">
        <f t="shared" si="113"/>
        <v>0.16164383561643836</v>
      </c>
      <c r="M624" s="211">
        <f>$D624*L624*_xlfn.XLOOKUP($I624,'Sample Size cal and results'!$B$24:$B$25,'Sample Size cal and results'!$I$24:$I$25)</f>
        <v>3.6714517186112183</v>
      </c>
      <c r="N624" s="214">
        <f t="shared" si="114"/>
        <v>22.230492825329531</v>
      </c>
      <c r="O624" s="225" t="str">
        <f t="shared" si="115"/>
        <v>7-8 years</v>
      </c>
      <c r="P624" s="226">
        <f t="shared" si="116"/>
        <v>0.48493150684931507</v>
      </c>
      <c r="Q624" s="227">
        <f>$D624*P624*_xlfn.XLOOKUP($O624,'Sample Size cal and results'!$B$26:$B$27,'Sample Size cal and results'!$I$26:$I$27)</f>
        <v>8.5075558188634091</v>
      </c>
      <c r="R624" s="330"/>
    </row>
    <row r="625" spans="1:18" ht="12.75">
      <c r="A625" s="99" t="s">
        <v>150</v>
      </c>
      <c r="B625" s="100">
        <v>41875</v>
      </c>
      <c r="C625" s="100">
        <f t="shared" si="106"/>
        <v>44431</v>
      </c>
      <c r="D625" s="209">
        <v>243</v>
      </c>
      <c r="E625" s="217">
        <f t="shared" si="107"/>
        <v>5.51</v>
      </c>
      <c r="F625" s="218">
        <f t="shared" si="108"/>
        <v>6.51</v>
      </c>
      <c r="G625" s="219">
        <f t="shared" si="109"/>
        <v>6.51</v>
      </c>
      <c r="H625" s="220">
        <f t="shared" si="110"/>
        <v>7.51</v>
      </c>
      <c r="I625" s="257" t="str">
        <f t="shared" si="111"/>
        <v>6-7 years</v>
      </c>
      <c r="J625" s="211">
        <f t="shared" si="112"/>
        <v>0.83835616438356164</v>
      </c>
      <c r="K625" s="258">
        <f>$D625*J625*_xlfn.XLOOKUP($I625,'Sample Size cal and results'!$B$24:$B$25,'Sample Size cal and results'!$H$24:$H$25)</f>
        <v>167.03136996046481</v>
      </c>
      <c r="L625" s="211">
        <f t="shared" si="113"/>
        <v>0.16164383561643836</v>
      </c>
      <c r="M625" s="211">
        <f>$D625*L625*_xlfn.XLOOKUP($I625,'Sample Size cal and results'!$B$24:$B$25,'Sample Size cal and results'!$I$24:$I$25)</f>
        <v>33.043065467500966</v>
      </c>
      <c r="N625" s="214">
        <f t="shared" si="114"/>
        <v>200.0744354279658</v>
      </c>
      <c r="O625" s="225" t="str">
        <f t="shared" si="115"/>
        <v>7-8 years</v>
      </c>
      <c r="P625" s="226">
        <f t="shared" si="116"/>
        <v>0.48219178082191783</v>
      </c>
      <c r="Q625" s="227">
        <f>$D625*P625*_xlfn.XLOOKUP($O625,'Sample Size cal and results'!$B$26:$B$27,'Sample Size cal and results'!$I$26:$I$27)</f>
        <v>76.135414785760688</v>
      </c>
      <c r="R625" s="330"/>
    </row>
    <row r="626" spans="1:18" ht="12.75">
      <c r="A626" s="99" t="s">
        <v>145</v>
      </c>
      <c r="B626" s="100">
        <v>41875</v>
      </c>
      <c r="C626" s="100">
        <f t="shared" si="106"/>
        <v>44431</v>
      </c>
      <c r="D626" s="209">
        <v>71</v>
      </c>
      <c r="E626" s="217">
        <f t="shared" si="107"/>
        <v>5.51</v>
      </c>
      <c r="F626" s="218">
        <f t="shared" si="108"/>
        <v>6.51</v>
      </c>
      <c r="G626" s="219">
        <f t="shared" si="109"/>
        <v>6.51</v>
      </c>
      <c r="H626" s="220">
        <f t="shared" si="110"/>
        <v>7.51</v>
      </c>
      <c r="I626" s="257" t="str">
        <f t="shared" si="111"/>
        <v>6-7 years</v>
      </c>
      <c r="J626" s="211">
        <f t="shared" si="112"/>
        <v>0.83835616438356164</v>
      </c>
      <c r="K626" s="258">
        <f>$D626*J626*_xlfn.XLOOKUP($I626,'Sample Size cal and results'!$B$24:$B$25,'Sample Size cal and results'!$H$24:$H$25)</f>
        <v>48.803404391740749</v>
      </c>
      <c r="L626" s="211">
        <f t="shared" si="113"/>
        <v>0.16164383561643836</v>
      </c>
      <c r="M626" s="211">
        <f>$D626*L626*_xlfn.XLOOKUP($I626,'Sample Size cal and results'!$B$24:$B$25,'Sample Size cal and results'!$I$24:$I$25)</f>
        <v>9.6545582230146856</v>
      </c>
      <c r="N626" s="214">
        <f t="shared" si="114"/>
        <v>58.457962614755431</v>
      </c>
      <c r="O626" s="225" t="str">
        <f t="shared" si="115"/>
        <v>7-8 years</v>
      </c>
      <c r="P626" s="226">
        <f t="shared" si="116"/>
        <v>0.48219178082191783</v>
      </c>
      <c r="Q626" s="227">
        <f>$D626*P626*_xlfn.XLOOKUP($O626,'Sample Size cal and results'!$B$26:$B$27,'Sample Size cal and results'!$I$26:$I$27)</f>
        <v>22.245326953864236</v>
      </c>
      <c r="R626" s="330"/>
    </row>
    <row r="627" spans="1:18" ht="12.75">
      <c r="A627" s="99" t="s">
        <v>143</v>
      </c>
      <c r="B627" s="100">
        <v>41875</v>
      </c>
      <c r="C627" s="100">
        <f t="shared" si="106"/>
        <v>44431</v>
      </c>
      <c r="D627" s="209">
        <v>16</v>
      </c>
      <c r="E627" s="217">
        <f t="shared" si="107"/>
        <v>5.51</v>
      </c>
      <c r="F627" s="218">
        <f t="shared" si="108"/>
        <v>6.51</v>
      </c>
      <c r="G627" s="219">
        <f t="shared" si="109"/>
        <v>6.51</v>
      </c>
      <c r="H627" s="220">
        <f t="shared" si="110"/>
        <v>7.51</v>
      </c>
      <c r="I627" s="257" t="str">
        <f t="shared" si="111"/>
        <v>6-7 years</v>
      </c>
      <c r="J627" s="211">
        <f t="shared" si="112"/>
        <v>0.83835616438356164</v>
      </c>
      <c r="K627" s="258">
        <f>$D627*J627*_xlfn.XLOOKUP($I627,'Sample Size cal and results'!$B$24:$B$25,'Sample Size cal and results'!$H$24:$H$25)</f>
        <v>10.997950285462704</v>
      </c>
      <c r="L627" s="211">
        <f t="shared" si="113"/>
        <v>0.16164383561643836</v>
      </c>
      <c r="M627" s="211">
        <f>$D627*L627*_xlfn.XLOOKUP($I627,'Sample Size cal and results'!$B$24:$B$25,'Sample Size cal and results'!$I$24:$I$25)</f>
        <v>2.1756750925103518</v>
      </c>
      <c r="N627" s="214">
        <f t="shared" si="114"/>
        <v>13.173625377973055</v>
      </c>
      <c r="O627" s="225" t="str">
        <f t="shared" si="115"/>
        <v>7-8 years</v>
      </c>
      <c r="P627" s="226">
        <f t="shared" si="116"/>
        <v>0.48219178082191783</v>
      </c>
      <c r="Q627" s="227">
        <f>$D627*P627*_xlfn.XLOOKUP($O627,'Sample Size cal and results'!$B$26:$B$27,'Sample Size cal and results'!$I$26:$I$27)</f>
        <v>5.0130314262229261</v>
      </c>
      <c r="R627" s="330"/>
    </row>
    <row r="628" spans="1:18" ht="12.75">
      <c r="A628" s="99" t="s">
        <v>150</v>
      </c>
      <c r="B628" s="100">
        <v>41874</v>
      </c>
      <c r="C628" s="100">
        <f t="shared" si="106"/>
        <v>44430</v>
      </c>
      <c r="D628" s="209">
        <v>259</v>
      </c>
      <c r="E628" s="217">
        <f t="shared" si="107"/>
        <v>5.52</v>
      </c>
      <c r="F628" s="218">
        <f t="shared" si="108"/>
        <v>6.51</v>
      </c>
      <c r="G628" s="219">
        <f t="shared" si="109"/>
        <v>6.52</v>
      </c>
      <c r="H628" s="220">
        <f t="shared" si="110"/>
        <v>7.51</v>
      </c>
      <c r="I628" s="257" t="str">
        <f t="shared" si="111"/>
        <v>6-7 years</v>
      </c>
      <c r="J628" s="211">
        <f t="shared" si="112"/>
        <v>0.83835616438356164</v>
      </c>
      <c r="K628" s="258">
        <f>$D628*J628*_xlfn.XLOOKUP($I628,'Sample Size cal and results'!$B$24:$B$25,'Sample Size cal and results'!$H$24:$H$25)</f>
        <v>178.02932024592752</v>
      </c>
      <c r="L628" s="211">
        <f t="shared" si="113"/>
        <v>0.16164383561643836</v>
      </c>
      <c r="M628" s="211">
        <f>$D628*L628*_xlfn.XLOOKUP($I628,'Sample Size cal and results'!$B$24:$B$25,'Sample Size cal and results'!$I$24:$I$25)</f>
        <v>35.218740560011319</v>
      </c>
      <c r="N628" s="214">
        <f t="shared" si="114"/>
        <v>213.24806080593885</v>
      </c>
      <c r="O628" s="225" t="str">
        <f t="shared" si="115"/>
        <v>7-8 years</v>
      </c>
      <c r="P628" s="226">
        <f t="shared" si="116"/>
        <v>0.47945205479452052</v>
      </c>
      <c r="Q628" s="227">
        <f>$D628*P628*_xlfn.XLOOKUP($O628,'Sample Size cal and results'!$B$26:$B$27,'Sample Size cal and results'!$I$26:$I$27)</f>
        <v>80.687375494870068</v>
      </c>
      <c r="R628" s="330"/>
    </row>
    <row r="629" spans="1:18" ht="12.75">
      <c r="A629" s="99" t="s">
        <v>145</v>
      </c>
      <c r="B629" s="100">
        <v>41874</v>
      </c>
      <c r="C629" s="100">
        <f t="shared" si="106"/>
        <v>44430</v>
      </c>
      <c r="D629" s="209">
        <v>86</v>
      </c>
      <c r="E629" s="217">
        <f t="shared" si="107"/>
        <v>5.52</v>
      </c>
      <c r="F629" s="218">
        <f t="shared" si="108"/>
        <v>6.51</v>
      </c>
      <c r="G629" s="219">
        <f t="shared" si="109"/>
        <v>6.52</v>
      </c>
      <c r="H629" s="220">
        <f t="shared" si="110"/>
        <v>7.51</v>
      </c>
      <c r="I629" s="257" t="str">
        <f t="shared" si="111"/>
        <v>6-7 years</v>
      </c>
      <c r="J629" s="211">
        <f t="shared" si="112"/>
        <v>0.83835616438356164</v>
      </c>
      <c r="K629" s="258">
        <f>$D629*J629*_xlfn.XLOOKUP($I629,'Sample Size cal and results'!$B$24:$B$25,'Sample Size cal and results'!$H$24:$H$25)</f>
        <v>59.11398278436203</v>
      </c>
      <c r="L629" s="211">
        <f t="shared" si="113"/>
        <v>0.16164383561643836</v>
      </c>
      <c r="M629" s="211">
        <f>$D629*L629*_xlfn.XLOOKUP($I629,'Sample Size cal and results'!$B$24:$B$25,'Sample Size cal and results'!$I$24:$I$25)</f>
        <v>11.69425362224314</v>
      </c>
      <c r="N629" s="214">
        <f t="shared" si="114"/>
        <v>70.808236406605175</v>
      </c>
      <c r="O629" s="225" t="str">
        <f t="shared" si="115"/>
        <v>7-8 years</v>
      </c>
      <c r="P629" s="226">
        <f t="shared" si="116"/>
        <v>0.47945205479452052</v>
      </c>
      <c r="Q629" s="227">
        <f>$D629*P629*_xlfn.XLOOKUP($O629,'Sample Size cal and results'!$B$26:$B$27,'Sample Size cal and results'!$I$26:$I$27)</f>
        <v>26.791947075516703</v>
      </c>
      <c r="R629" s="330"/>
    </row>
    <row r="630" spans="1:18" ht="12.75">
      <c r="A630" s="99" t="s">
        <v>143</v>
      </c>
      <c r="B630" s="100">
        <v>41874</v>
      </c>
      <c r="C630" s="100">
        <f t="shared" si="106"/>
        <v>44430</v>
      </c>
      <c r="D630" s="209">
        <v>19</v>
      </c>
      <c r="E630" s="217">
        <f t="shared" si="107"/>
        <v>5.52</v>
      </c>
      <c r="F630" s="218">
        <f t="shared" si="108"/>
        <v>6.51</v>
      </c>
      <c r="G630" s="219">
        <f t="shared" si="109"/>
        <v>6.52</v>
      </c>
      <c r="H630" s="220">
        <f t="shared" si="110"/>
        <v>7.51</v>
      </c>
      <c r="I630" s="257" t="str">
        <f t="shared" si="111"/>
        <v>6-7 years</v>
      </c>
      <c r="J630" s="211">
        <f t="shared" si="112"/>
        <v>0.83835616438356164</v>
      </c>
      <c r="K630" s="258">
        <f>$D630*J630*_xlfn.XLOOKUP($I630,'Sample Size cal and results'!$B$24:$B$25,'Sample Size cal and results'!$H$24:$H$25)</f>
        <v>13.060065963986959</v>
      </c>
      <c r="L630" s="211">
        <f t="shared" si="113"/>
        <v>0.16164383561643836</v>
      </c>
      <c r="M630" s="211">
        <f>$D630*L630*_xlfn.XLOOKUP($I630,'Sample Size cal and results'!$B$24:$B$25,'Sample Size cal and results'!$I$24:$I$25)</f>
        <v>2.5836141723560426</v>
      </c>
      <c r="N630" s="214">
        <f t="shared" si="114"/>
        <v>15.643680136343002</v>
      </c>
      <c r="O630" s="225" t="str">
        <f t="shared" si="115"/>
        <v>7-8 years</v>
      </c>
      <c r="P630" s="226">
        <f t="shared" si="116"/>
        <v>0.47945205479452052</v>
      </c>
      <c r="Q630" s="227">
        <f>$D630*P630*_xlfn.XLOOKUP($O630,'Sample Size cal and results'!$B$26:$B$27,'Sample Size cal and results'!$I$26:$I$27)</f>
        <v>5.9191510980792703</v>
      </c>
      <c r="R630" s="330"/>
    </row>
    <row r="631" spans="1:18" ht="12.75">
      <c r="A631" s="99" t="s">
        <v>150</v>
      </c>
      <c r="B631" s="100">
        <v>41873</v>
      </c>
      <c r="C631" s="100">
        <f t="shared" si="106"/>
        <v>44429</v>
      </c>
      <c r="D631" s="209">
        <v>275</v>
      </c>
      <c r="E631" s="217">
        <f t="shared" si="107"/>
        <v>5.52</v>
      </c>
      <c r="F631" s="218">
        <f t="shared" si="108"/>
        <v>6.52</v>
      </c>
      <c r="G631" s="219">
        <f t="shared" si="109"/>
        <v>6.52</v>
      </c>
      <c r="H631" s="220">
        <f t="shared" si="110"/>
        <v>7.52</v>
      </c>
      <c r="I631" s="257" t="str">
        <f t="shared" si="111"/>
        <v>6-7 years</v>
      </c>
      <c r="J631" s="211">
        <f t="shared" si="112"/>
        <v>0.83835616438356164</v>
      </c>
      <c r="K631" s="258">
        <f>$D631*J631*_xlfn.XLOOKUP($I631,'Sample Size cal and results'!$B$24:$B$25,'Sample Size cal and results'!$H$24:$H$25)</f>
        <v>189.02727053139023</v>
      </c>
      <c r="L631" s="211">
        <f t="shared" si="113"/>
        <v>0.16164383561643836</v>
      </c>
      <c r="M631" s="211">
        <f>$D631*L631*_xlfn.XLOOKUP($I631,'Sample Size cal and results'!$B$24:$B$25,'Sample Size cal and results'!$I$24:$I$25)</f>
        <v>37.394415652521673</v>
      </c>
      <c r="N631" s="214">
        <f t="shared" si="114"/>
        <v>226.4216861839119</v>
      </c>
      <c r="O631" s="225" t="str">
        <f t="shared" si="115"/>
        <v>7-8 years</v>
      </c>
      <c r="P631" s="226">
        <f t="shared" si="116"/>
        <v>0.47671232876712327</v>
      </c>
      <c r="Q631" s="227">
        <f>$D631*P631*_xlfn.XLOOKUP($O631,'Sample Size cal and results'!$B$26:$B$27,'Sample Size cal and results'!$I$26:$I$27)</f>
        <v>85.182369937772364</v>
      </c>
      <c r="R631" s="330"/>
    </row>
    <row r="632" spans="1:18" ht="12.75">
      <c r="A632" s="99" t="s">
        <v>145</v>
      </c>
      <c r="B632" s="100">
        <v>41873</v>
      </c>
      <c r="C632" s="100">
        <f t="shared" si="106"/>
        <v>44429</v>
      </c>
      <c r="D632" s="209">
        <v>73</v>
      </c>
      <c r="E632" s="217">
        <f t="shared" si="107"/>
        <v>5.52</v>
      </c>
      <c r="F632" s="218">
        <f t="shared" si="108"/>
        <v>6.52</v>
      </c>
      <c r="G632" s="219">
        <f t="shared" si="109"/>
        <v>6.52</v>
      </c>
      <c r="H632" s="220">
        <f t="shared" si="110"/>
        <v>7.52</v>
      </c>
      <c r="I632" s="257" t="str">
        <f t="shared" si="111"/>
        <v>6-7 years</v>
      </c>
      <c r="J632" s="211">
        <f t="shared" si="112"/>
        <v>0.83835616438356164</v>
      </c>
      <c r="K632" s="258">
        <f>$D632*J632*_xlfn.XLOOKUP($I632,'Sample Size cal and results'!$B$24:$B$25,'Sample Size cal and results'!$H$24:$H$25)</f>
        <v>50.178148177423587</v>
      </c>
      <c r="L632" s="211">
        <f t="shared" si="113"/>
        <v>0.16164383561643836</v>
      </c>
      <c r="M632" s="211">
        <f>$D632*L632*_xlfn.XLOOKUP($I632,'Sample Size cal and results'!$B$24:$B$25,'Sample Size cal and results'!$I$24:$I$25)</f>
        <v>9.9265176095784806</v>
      </c>
      <c r="N632" s="214">
        <f t="shared" si="114"/>
        <v>60.10466578700207</v>
      </c>
      <c r="O632" s="225" t="str">
        <f t="shared" si="115"/>
        <v>7-8 years</v>
      </c>
      <c r="P632" s="226">
        <f t="shared" si="116"/>
        <v>0.47671232876712327</v>
      </c>
      <c r="Q632" s="227">
        <f>$D632*P632*_xlfn.XLOOKUP($O632,'Sample Size cal and results'!$B$26:$B$27,'Sample Size cal and results'!$I$26:$I$27)</f>
        <v>22.612047292572299</v>
      </c>
      <c r="R632" s="330"/>
    </row>
    <row r="633" spans="1:18" ht="12.75">
      <c r="A633" s="99" t="s">
        <v>143</v>
      </c>
      <c r="B633" s="100">
        <v>41873</v>
      </c>
      <c r="C633" s="100">
        <f t="shared" si="106"/>
        <v>44429</v>
      </c>
      <c r="D633" s="209">
        <v>28</v>
      </c>
      <c r="E633" s="217">
        <f t="shared" si="107"/>
        <v>5.52</v>
      </c>
      <c r="F633" s="218">
        <f t="shared" si="108"/>
        <v>6.52</v>
      </c>
      <c r="G633" s="219">
        <f t="shared" si="109"/>
        <v>6.52</v>
      </c>
      <c r="H633" s="220">
        <f t="shared" si="110"/>
        <v>7.52</v>
      </c>
      <c r="I633" s="257" t="str">
        <f t="shared" si="111"/>
        <v>6-7 years</v>
      </c>
      <c r="J633" s="211">
        <f t="shared" si="112"/>
        <v>0.83835616438356164</v>
      </c>
      <c r="K633" s="258">
        <f>$D633*J633*_xlfn.XLOOKUP($I633,'Sample Size cal and results'!$B$24:$B$25,'Sample Size cal and results'!$H$24:$H$25)</f>
        <v>19.24641299955973</v>
      </c>
      <c r="L633" s="211">
        <f t="shared" si="113"/>
        <v>0.16164383561643836</v>
      </c>
      <c r="M633" s="211">
        <f>$D633*L633*_xlfn.XLOOKUP($I633,'Sample Size cal and results'!$B$24:$B$25,'Sample Size cal and results'!$I$24:$I$25)</f>
        <v>3.807431411893115</v>
      </c>
      <c r="N633" s="214">
        <f t="shared" si="114"/>
        <v>23.053844411452847</v>
      </c>
      <c r="O633" s="225" t="str">
        <f t="shared" si="115"/>
        <v>7-8 years</v>
      </c>
      <c r="P633" s="226">
        <f t="shared" si="116"/>
        <v>0.47671232876712327</v>
      </c>
      <c r="Q633" s="227">
        <f>$D633*P633*_xlfn.XLOOKUP($O633,'Sample Size cal and results'!$B$26:$B$27,'Sample Size cal and results'!$I$26:$I$27)</f>
        <v>8.6731140300277314</v>
      </c>
      <c r="R633" s="330"/>
    </row>
    <row r="634" spans="1:18" ht="12.75">
      <c r="A634" s="99" t="s">
        <v>150</v>
      </c>
      <c r="B634" s="100">
        <v>41872</v>
      </c>
      <c r="C634" s="100">
        <f t="shared" si="106"/>
        <v>44428</v>
      </c>
      <c r="D634" s="209">
        <v>410</v>
      </c>
      <c r="E634" s="217">
        <f t="shared" si="107"/>
        <v>5.52</v>
      </c>
      <c r="F634" s="218">
        <f t="shared" si="108"/>
        <v>6.52</v>
      </c>
      <c r="G634" s="219">
        <f t="shared" si="109"/>
        <v>6.52</v>
      </c>
      <c r="H634" s="220">
        <f t="shared" si="110"/>
        <v>7.52</v>
      </c>
      <c r="I634" s="257" t="str">
        <f t="shared" si="111"/>
        <v>6-7 years</v>
      </c>
      <c r="J634" s="211">
        <f t="shared" si="112"/>
        <v>0.83835616438356164</v>
      </c>
      <c r="K634" s="258">
        <f>$D634*J634*_xlfn.XLOOKUP($I634,'Sample Size cal and results'!$B$24:$B$25,'Sample Size cal and results'!$H$24:$H$25)</f>
        <v>281.8224760649818</v>
      </c>
      <c r="L634" s="211">
        <f t="shared" si="113"/>
        <v>0.16164383561643836</v>
      </c>
      <c r="M634" s="211">
        <f>$D634*L634*_xlfn.XLOOKUP($I634,'Sample Size cal and results'!$B$24:$B$25,'Sample Size cal and results'!$I$24:$I$25)</f>
        <v>55.751674245577767</v>
      </c>
      <c r="N634" s="214">
        <f t="shared" si="114"/>
        <v>337.57415031055956</v>
      </c>
      <c r="O634" s="225" t="str">
        <f t="shared" si="115"/>
        <v>7-8 years</v>
      </c>
      <c r="P634" s="226">
        <f t="shared" si="116"/>
        <v>0.47397260273972602</v>
      </c>
      <c r="Q634" s="227">
        <f>$D634*P634*_xlfn.XLOOKUP($O634,'Sample Size cal and results'!$B$26:$B$27,'Sample Size cal and results'!$I$26:$I$27)</f>
        <v>126.26928943962787</v>
      </c>
      <c r="R634" s="330"/>
    </row>
    <row r="635" spans="1:18" ht="12.75">
      <c r="A635" s="99" t="s">
        <v>145</v>
      </c>
      <c r="B635" s="100">
        <v>41872</v>
      </c>
      <c r="C635" s="100">
        <f t="shared" si="106"/>
        <v>44428</v>
      </c>
      <c r="D635" s="209">
        <v>75</v>
      </c>
      <c r="E635" s="217">
        <f t="shared" si="107"/>
        <v>5.52</v>
      </c>
      <c r="F635" s="218">
        <f t="shared" si="108"/>
        <v>6.52</v>
      </c>
      <c r="G635" s="219">
        <f t="shared" si="109"/>
        <v>6.52</v>
      </c>
      <c r="H635" s="220">
        <f t="shared" si="110"/>
        <v>7.52</v>
      </c>
      <c r="I635" s="257" t="str">
        <f t="shared" si="111"/>
        <v>6-7 years</v>
      </c>
      <c r="J635" s="211">
        <f t="shared" si="112"/>
        <v>0.83835616438356164</v>
      </c>
      <c r="K635" s="258">
        <f>$D635*J635*_xlfn.XLOOKUP($I635,'Sample Size cal and results'!$B$24:$B$25,'Sample Size cal and results'!$H$24:$H$25)</f>
        <v>51.552891963106418</v>
      </c>
      <c r="L635" s="211">
        <f t="shared" si="113"/>
        <v>0.16164383561643836</v>
      </c>
      <c r="M635" s="211">
        <f>$D635*L635*_xlfn.XLOOKUP($I635,'Sample Size cal and results'!$B$24:$B$25,'Sample Size cal and results'!$I$24:$I$25)</f>
        <v>10.198476996142274</v>
      </c>
      <c r="N635" s="214">
        <f t="shared" si="114"/>
        <v>61.751368959248694</v>
      </c>
      <c r="O635" s="225" t="str">
        <f t="shared" si="115"/>
        <v>7-8 years</v>
      </c>
      <c r="P635" s="226">
        <f t="shared" si="116"/>
        <v>0.47397260273972602</v>
      </c>
      <c r="Q635" s="227">
        <f>$D635*P635*_xlfn.XLOOKUP($O635,'Sample Size cal and results'!$B$26:$B$27,'Sample Size cal and results'!$I$26:$I$27)</f>
        <v>23.098040751151441</v>
      </c>
      <c r="R635" s="330"/>
    </row>
    <row r="636" spans="1:18" ht="12.75">
      <c r="A636" s="99" t="s">
        <v>143</v>
      </c>
      <c r="B636" s="100">
        <v>41872</v>
      </c>
      <c r="C636" s="100">
        <f t="shared" si="106"/>
        <v>44428</v>
      </c>
      <c r="D636" s="209">
        <v>19</v>
      </c>
      <c r="E636" s="217">
        <f t="shared" si="107"/>
        <v>5.52</v>
      </c>
      <c r="F636" s="218">
        <f t="shared" si="108"/>
        <v>6.52</v>
      </c>
      <c r="G636" s="219">
        <f t="shared" si="109"/>
        <v>6.52</v>
      </c>
      <c r="H636" s="220">
        <f t="shared" si="110"/>
        <v>7.52</v>
      </c>
      <c r="I636" s="257" t="str">
        <f t="shared" si="111"/>
        <v>6-7 years</v>
      </c>
      <c r="J636" s="211">
        <f t="shared" si="112"/>
        <v>0.83835616438356164</v>
      </c>
      <c r="K636" s="258">
        <f>$D636*J636*_xlfn.XLOOKUP($I636,'Sample Size cal and results'!$B$24:$B$25,'Sample Size cal and results'!$H$24:$H$25)</f>
        <v>13.060065963986959</v>
      </c>
      <c r="L636" s="211">
        <f t="shared" si="113"/>
        <v>0.16164383561643836</v>
      </c>
      <c r="M636" s="211">
        <f>$D636*L636*_xlfn.XLOOKUP($I636,'Sample Size cal and results'!$B$24:$B$25,'Sample Size cal and results'!$I$24:$I$25)</f>
        <v>2.5836141723560426</v>
      </c>
      <c r="N636" s="214">
        <f t="shared" si="114"/>
        <v>15.643680136343002</v>
      </c>
      <c r="O636" s="225" t="str">
        <f t="shared" si="115"/>
        <v>7-8 years</v>
      </c>
      <c r="P636" s="226">
        <f t="shared" si="116"/>
        <v>0.47397260273972602</v>
      </c>
      <c r="Q636" s="227">
        <f>$D636*P636*_xlfn.XLOOKUP($O636,'Sample Size cal and results'!$B$26:$B$27,'Sample Size cal and results'!$I$26:$I$27)</f>
        <v>5.8515036569583652</v>
      </c>
      <c r="R636" s="330"/>
    </row>
    <row r="637" spans="1:18" ht="12.75">
      <c r="A637" s="99" t="s">
        <v>150</v>
      </c>
      <c r="B637" s="100">
        <v>41871</v>
      </c>
      <c r="C637" s="100">
        <f t="shared" si="106"/>
        <v>44427</v>
      </c>
      <c r="D637" s="209">
        <v>297</v>
      </c>
      <c r="E637" s="217">
        <f t="shared" si="107"/>
        <v>5.52</v>
      </c>
      <c r="F637" s="218">
        <f t="shared" si="108"/>
        <v>6.52</v>
      </c>
      <c r="G637" s="219">
        <f t="shared" si="109"/>
        <v>6.52</v>
      </c>
      <c r="H637" s="220">
        <f t="shared" si="110"/>
        <v>7.52</v>
      </c>
      <c r="I637" s="257" t="str">
        <f t="shared" si="111"/>
        <v>6-7 years</v>
      </c>
      <c r="J637" s="211">
        <f t="shared" si="112"/>
        <v>0.83835616438356164</v>
      </c>
      <c r="K637" s="258">
        <f>$D637*J637*_xlfn.XLOOKUP($I637,'Sample Size cal and results'!$B$24:$B$25,'Sample Size cal and results'!$H$24:$H$25)</f>
        <v>204.14945217390144</v>
      </c>
      <c r="L637" s="211">
        <f t="shared" si="113"/>
        <v>0.16164383561643836</v>
      </c>
      <c r="M637" s="211">
        <f>$D637*L637*_xlfn.XLOOKUP($I637,'Sample Size cal and results'!$B$24:$B$25,'Sample Size cal and results'!$I$24:$I$25)</f>
        <v>40.385968904723406</v>
      </c>
      <c r="N637" s="214">
        <f t="shared" si="114"/>
        <v>244.53542107862484</v>
      </c>
      <c r="O637" s="225" t="str">
        <f t="shared" si="115"/>
        <v>7-8 years</v>
      </c>
      <c r="P637" s="226">
        <f t="shared" si="116"/>
        <v>0.47123287671232877</v>
      </c>
      <c r="Q637" s="227">
        <f>$D637*P637*_xlfn.XLOOKUP($O637,'Sample Size cal and results'!$B$26:$B$27,'Sample Size cal and results'!$I$26:$I$27)</f>
        <v>90.93952321632527</v>
      </c>
      <c r="R637" s="330"/>
    </row>
    <row r="638" spans="1:18" ht="12.75">
      <c r="A638" s="99" t="s">
        <v>145</v>
      </c>
      <c r="B638" s="100">
        <v>41871</v>
      </c>
      <c r="C638" s="100">
        <f t="shared" si="106"/>
        <v>44427</v>
      </c>
      <c r="D638" s="209">
        <v>59</v>
      </c>
      <c r="E638" s="217">
        <f t="shared" si="107"/>
        <v>5.52</v>
      </c>
      <c r="F638" s="218">
        <f t="shared" si="108"/>
        <v>6.52</v>
      </c>
      <c r="G638" s="219">
        <f t="shared" si="109"/>
        <v>6.52</v>
      </c>
      <c r="H638" s="220">
        <f t="shared" si="110"/>
        <v>7.52</v>
      </c>
      <c r="I638" s="257" t="str">
        <f t="shared" si="111"/>
        <v>6-7 years</v>
      </c>
      <c r="J638" s="211">
        <f t="shared" si="112"/>
        <v>0.83835616438356164</v>
      </c>
      <c r="K638" s="258">
        <f>$D638*J638*_xlfn.XLOOKUP($I638,'Sample Size cal and results'!$B$24:$B$25,'Sample Size cal and results'!$H$24:$H$25)</f>
        <v>40.554941677643718</v>
      </c>
      <c r="L638" s="211">
        <f t="shared" si="113"/>
        <v>0.16164383561643836</v>
      </c>
      <c r="M638" s="211">
        <f>$D638*L638*_xlfn.XLOOKUP($I638,'Sample Size cal and results'!$B$24:$B$25,'Sample Size cal and results'!$I$24:$I$25)</f>
        <v>8.0228019036319207</v>
      </c>
      <c r="N638" s="214">
        <f t="shared" si="114"/>
        <v>48.577743581275641</v>
      </c>
      <c r="O638" s="225" t="str">
        <f t="shared" si="115"/>
        <v>7-8 years</v>
      </c>
      <c r="P638" s="226">
        <f t="shared" si="116"/>
        <v>0.47123287671232877</v>
      </c>
      <c r="Q638" s="227">
        <f>$D638*P638*_xlfn.XLOOKUP($O638,'Sample Size cal and results'!$B$26:$B$27,'Sample Size cal and results'!$I$26:$I$27)</f>
        <v>18.065427170919833</v>
      </c>
      <c r="R638" s="330"/>
    </row>
    <row r="639" spans="1:18" ht="12.75">
      <c r="A639" s="99" t="s">
        <v>143</v>
      </c>
      <c r="B639" s="100">
        <v>41871</v>
      </c>
      <c r="C639" s="100">
        <f t="shared" si="106"/>
        <v>44427</v>
      </c>
      <c r="D639" s="209">
        <v>27</v>
      </c>
      <c r="E639" s="217">
        <f t="shared" si="107"/>
        <v>5.52</v>
      </c>
      <c r="F639" s="218">
        <f t="shared" si="108"/>
        <v>6.52</v>
      </c>
      <c r="G639" s="219">
        <f t="shared" si="109"/>
        <v>6.52</v>
      </c>
      <c r="H639" s="220">
        <f t="shared" si="110"/>
        <v>7.52</v>
      </c>
      <c r="I639" s="257" t="str">
        <f t="shared" si="111"/>
        <v>6-7 years</v>
      </c>
      <c r="J639" s="211">
        <f t="shared" si="112"/>
        <v>0.83835616438356164</v>
      </c>
      <c r="K639" s="258">
        <f>$D639*J639*_xlfn.XLOOKUP($I639,'Sample Size cal and results'!$B$24:$B$25,'Sample Size cal and results'!$H$24:$H$25)</f>
        <v>18.559041106718311</v>
      </c>
      <c r="L639" s="211">
        <f t="shared" si="113"/>
        <v>0.16164383561643836</v>
      </c>
      <c r="M639" s="211">
        <f>$D639*L639*_xlfn.XLOOKUP($I639,'Sample Size cal and results'!$B$24:$B$25,'Sample Size cal and results'!$I$24:$I$25)</f>
        <v>3.6714517186112183</v>
      </c>
      <c r="N639" s="214">
        <f t="shared" si="114"/>
        <v>22.230492825329531</v>
      </c>
      <c r="O639" s="225" t="str">
        <f t="shared" si="115"/>
        <v>7-8 years</v>
      </c>
      <c r="P639" s="226">
        <f t="shared" si="116"/>
        <v>0.47123287671232877</v>
      </c>
      <c r="Q639" s="227">
        <f>$D639*P639*_xlfn.XLOOKUP($O639,'Sample Size cal and results'!$B$26:$B$27,'Sample Size cal and results'!$I$26:$I$27)</f>
        <v>8.267229383302297</v>
      </c>
      <c r="R639" s="330"/>
    </row>
    <row r="640" spans="1:18" ht="12.75">
      <c r="A640" s="99" t="s">
        <v>150</v>
      </c>
      <c r="B640" s="100">
        <v>41870</v>
      </c>
      <c r="C640" s="100">
        <f t="shared" si="106"/>
        <v>44426</v>
      </c>
      <c r="D640" s="209">
        <v>268</v>
      </c>
      <c r="E640" s="217">
        <f t="shared" si="107"/>
        <v>5.53</v>
      </c>
      <c r="F640" s="218">
        <f t="shared" si="108"/>
        <v>6.52</v>
      </c>
      <c r="G640" s="219">
        <f t="shared" si="109"/>
        <v>6.53</v>
      </c>
      <c r="H640" s="220">
        <f t="shared" si="110"/>
        <v>7.52</v>
      </c>
      <c r="I640" s="257" t="str">
        <f t="shared" si="111"/>
        <v>6-7 years</v>
      </c>
      <c r="J640" s="211">
        <f t="shared" si="112"/>
        <v>0.83835616438356164</v>
      </c>
      <c r="K640" s="258">
        <f>$D640*J640*_xlfn.XLOOKUP($I640,'Sample Size cal and results'!$B$24:$B$25,'Sample Size cal and results'!$H$24:$H$25)</f>
        <v>184.21566728150029</v>
      </c>
      <c r="L640" s="211">
        <f t="shared" si="113"/>
        <v>0.16164383561643836</v>
      </c>
      <c r="M640" s="211">
        <f>$D640*L640*_xlfn.XLOOKUP($I640,'Sample Size cal and results'!$B$24:$B$25,'Sample Size cal and results'!$I$24:$I$25)</f>
        <v>36.442557799548389</v>
      </c>
      <c r="N640" s="214">
        <f t="shared" si="114"/>
        <v>220.65822508104867</v>
      </c>
      <c r="O640" s="225" t="str">
        <f t="shared" si="115"/>
        <v>7-8 years</v>
      </c>
      <c r="P640" s="226">
        <f t="shared" si="116"/>
        <v>0.46849315068493153</v>
      </c>
      <c r="Q640" s="227">
        <f>$D640*P640*_xlfn.XLOOKUP($O640,'Sample Size cal and results'!$B$26:$B$27,'Sample Size cal and results'!$I$26:$I$27)</f>
        <v>81.582813991812586</v>
      </c>
      <c r="R640" s="330"/>
    </row>
    <row r="641" spans="1:18" ht="12.75">
      <c r="A641" s="99" t="s">
        <v>145</v>
      </c>
      <c r="B641" s="100">
        <v>41870</v>
      </c>
      <c r="C641" s="100">
        <f t="shared" si="106"/>
        <v>44426</v>
      </c>
      <c r="D641" s="209">
        <v>82</v>
      </c>
      <c r="E641" s="217">
        <f t="shared" si="107"/>
        <v>5.53</v>
      </c>
      <c r="F641" s="218">
        <f t="shared" si="108"/>
        <v>6.52</v>
      </c>
      <c r="G641" s="219">
        <f t="shared" si="109"/>
        <v>6.53</v>
      </c>
      <c r="H641" s="220">
        <f t="shared" si="110"/>
        <v>7.52</v>
      </c>
      <c r="I641" s="257" t="str">
        <f t="shared" si="111"/>
        <v>6-7 years</v>
      </c>
      <c r="J641" s="211">
        <f t="shared" si="112"/>
        <v>0.83835616438356164</v>
      </c>
      <c r="K641" s="258">
        <f>$D641*J641*_xlfn.XLOOKUP($I641,'Sample Size cal and results'!$B$24:$B$25,'Sample Size cal and results'!$H$24:$H$25)</f>
        <v>56.364495212996353</v>
      </c>
      <c r="L641" s="211">
        <f t="shared" si="113"/>
        <v>0.16164383561643836</v>
      </c>
      <c r="M641" s="211">
        <f>$D641*L641*_xlfn.XLOOKUP($I641,'Sample Size cal and results'!$B$24:$B$25,'Sample Size cal and results'!$I$24:$I$25)</f>
        <v>11.150334849115552</v>
      </c>
      <c r="N641" s="214">
        <f t="shared" si="114"/>
        <v>67.514830062111912</v>
      </c>
      <c r="O641" s="225" t="str">
        <f t="shared" si="115"/>
        <v>7-8 years</v>
      </c>
      <c r="P641" s="226">
        <f t="shared" si="116"/>
        <v>0.46849315068493153</v>
      </c>
      <c r="Q641" s="227">
        <f>$D641*P641*_xlfn.XLOOKUP($O641,'Sample Size cal and results'!$B$26:$B$27,'Sample Size cal and results'!$I$26:$I$27)</f>
        <v>24.961905773614298</v>
      </c>
      <c r="R641" s="330"/>
    </row>
    <row r="642" spans="1:18" ht="12.75">
      <c r="A642" s="99" t="s">
        <v>143</v>
      </c>
      <c r="B642" s="100">
        <v>41870</v>
      </c>
      <c r="C642" s="100">
        <f t="shared" si="106"/>
        <v>44426</v>
      </c>
      <c r="D642" s="209">
        <v>29</v>
      </c>
      <c r="E642" s="217">
        <f t="shared" si="107"/>
        <v>5.53</v>
      </c>
      <c r="F642" s="218">
        <f t="shared" si="108"/>
        <v>6.52</v>
      </c>
      <c r="G642" s="219">
        <f t="shared" si="109"/>
        <v>6.53</v>
      </c>
      <c r="H642" s="220">
        <f t="shared" si="110"/>
        <v>7.52</v>
      </c>
      <c r="I642" s="257" t="str">
        <f t="shared" si="111"/>
        <v>6-7 years</v>
      </c>
      <c r="J642" s="211">
        <f t="shared" si="112"/>
        <v>0.83835616438356164</v>
      </c>
      <c r="K642" s="258">
        <f>$D642*J642*_xlfn.XLOOKUP($I642,'Sample Size cal and results'!$B$24:$B$25,'Sample Size cal and results'!$H$24:$H$25)</f>
        <v>19.93378489240115</v>
      </c>
      <c r="L642" s="211">
        <f t="shared" si="113"/>
        <v>0.16164383561643836</v>
      </c>
      <c r="M642" s="211">
        <f>$D642*L642*_xlfn.XLOOKUP($I642,'Sample Size cal and results'!$B$24:$B$25,'Sample Size cal and results'!$I$24:$I$25)</f>
        <v>3.9434111051750125</v>
      </c>
      <c r="N642" s="214">
        <f t="shared" si="114"/>
        <v>23.877195997576163</v>
      </c>
      <c r="O642" s="225" t="str">
        <f t="shared" si="115"/>
        <v>7-8 years</v>
      </c>
      <c r="P642" s="226">
        <f t="shared" si="116"/>
        <v>0.46849315068493153</v>
      </c>
      <c r="Q642" s="227">
        <f>$D642*P642*_xlfn.XLOOKUP($O642,'Sample Size cal and results'!$B$26:$B$27,'Sample Size cal and results'!$I$26:$I$27)</f>
        <v>8.8279910662782264</v>
      </c>
      <c r="R642" s="330"/>
    </row>
    <row r="643" spans="1:18" ht="12.75">
      <c r="A643" s="99" t="s">
        <v>150</v>
      </c>
      <c r="B643" s="100">
        <v>41869</v>
      </c>
      <c r="C643" s="100">
        <f t="shared" ref="C643:C706" si="117">EDATE(B643,84)-1</f>
        <v>44425</v>
      </c>
      <c r="D643" s="209">
        <v>295</v>
      </c>
      <c r="E643" s="217">
        <f t="shared" ref="E643:E706" si="118">ROUNDDOWN(YEARFRAC($B643,$AB$4,1),2)</f>
        <v>5.53</v>
      </c>
      <c r="F643" s="218">
        <f t="shared" ref="F643:F706" si="119">ROUNDDOWN(YEARFRAC($B643,$AB$5,1),2)</f>
        <v>6.53</v>
      </c>
      <c r="G643" s="219">
        <f t="shared" ref="G643:G706" si="120">ROUNDDOWN(YEARFRAC($B643,$AC$4,1),2)</f>
        <v>6.53</v>
      </c>
      <c r="H643" s="220">
        <f t="shared" ref="H643:H706" si="121">ROUNDDOWN(YEARFRAC($B643,$AC$5,1),2)</f>
        <v>7.53</v>
      </c>
      <c r="I643" s="257" t="str">
        <f t="shared" ref="I643:I706" si="122">IF(DATEDIF($B643,$AB$5,"y")=5,"5-6 years","6-7 years")</f>
        <v>6-7 years</v>
      </c>
      <c r="J643" s="211">
        <f t="shared" ref="J643:J706" si="123">MAX(MIN($AC$7,C643)-MAX($AB$4,$B643,_xlfn.XLOOKUP($A643,$AE$3:$AE$37,$AF$3:$AF$37))+1,0)/365</f>
        <v>0.83835616438356164</v>
      </c>
      <c r="K643" s="258">
        <f>$D643*J643*_xlfn.XLOOKUP($I643,'Sample Size cal and results'!$B$24:$B$25,'Sample Size cal and results'!$H$24:$H$25)</f>
        <v>202.77470838821858</v>
      </c>
      <c r="L643" s="211">
        <f t="shared" ref="L643:L706" si="124">MAX(MIN($AB$5,C643)-MAX($AC$8,$B643,_xlfn.XLOOKUP($A643,$AE$3:$AE$37,$AF$3:$AF$37))+1,0)/365</f>
        <v>0.16164383561643836</v>
      </c>
      <c r="M643" s="211">
        <f>$D643*L643*_xlfn.XLOOKUP($I643,'Sample Size cal and results'!$B$24:$B$25,'Sample Size cal and results'!$I$24:$I$25)</f>
        <v>40.114009518159612</v>
      </c>
      <c r="N643" s="214">
        <f t="shared" ref="N643:N706" si="125">M643+K643</f>
        <v>242.88871790637819</v>
      </c>
      <c r="O643" s="225" t="str">
        <f t="shared" ref="O643:O706" si="126">IF(DATEDIF($B643,$AC$5,"y")=6,"6-7 years","7-8 years")</f>
        <v>7-8 years</v>
      </c>
      <c r="P643" s="226">
        <f t="shared" ref="P643:P706" si="127">MAX(MIN($AC$5,C643)-MAX($AC$4,$B643,_xlfn.XLOOKUP($A643,$AE$3:$AE$37,$AF$3:$AF$37))+1,0)/365</f>
        <v>0.46575342465753422</v>
      </c>
      <c r="Q643" s="227">
        <f>$D643*P643*_xlfn.XLOOKUP($O643,'Sample Size cal and results'!$B$26:$B$27,'Sample Size cal and results'!$I$26:$I$27)</f>
        <v>89.276820321406149</v>
      </c>
      <c r="R643" s="330"/>
    </row>
    <row r="644" spans="1:18" ht="12.75">
      <c r="A644" s="99" t="s">
        <v>145</v>
      </c>
      <c r="B644" s="100">
        <v>41869</v>
      </c>
      <c r="C644" s="100">
        <f t="shared" si="117"/>
        <v>44425</v>
      </c>
      <c r="D644" s="209">
        <v>69</v>
      </c>
      <c r="E644" s="217">
        <f t="shared" si="118"/>
        <v>5.53</v>
      </c>
      <c r="F644" s="218">
        <f t="shared" si="119"/>
        <v>6.53</v>
      </c>
      <c r="G644" s="219">
        <f t="shared" si="120"/>
        <v>6.53</v>
      </c>
      <c r="H644" s="220">
        <f t="shared" si="121"/>
        <v>7.53</v>
      </c>
      <c r="I644" s="257" t="str">
        <f t="shared" si="122"/>
        <v>6-7 years</v>
      </c>
      <c r="J644" s="211">
        <f t="shared" si="123"/>
        <v>0.83835616438356164</v>
      </c>
      <c r="K644" s="258">
        <f>$D644*J644*_xlfn.XLOOKUP($I644,'Sample Size cal and results'!$B$24:$B$25,'Sample Size cal and results'!$H$24:$H$25)</f>
        <v>47.42866060605791</v>
      </c>
      <c r="L644" s="211">
        <f t="shared" si="124"/>
        <v>0.16164383561643836</v>
      </c>
      <c r="M644" s="211">
        <f>$D644*L644*_xlfn.XLOOKUP($I644,'Sample Size cal and results'!$B$24:$B$25,'Sample Size cal and results'!$I$24:$I$25)</f>
        <v>9.3825988364508923</v>
      </c>
      <c r="N644" s="214">
        <f t="shared" si="125"/>
        <v>56.811259442508799</v>
      </c>
      <c r="O644" s="225" t="str">
        <f t="shared" si="126"/>
        <v>7-8 years</v>
      </c>
      <c r="P644" s="226">
        <f t="shared" si="127"/>
        <v>0.46575342465753422</v>
      </c>
      <c r="Q644" s="227">
        <f>$D644*P644*_xlfn.XLOOKUP($O644,'Sample Size cal and results'!$B$26:$B$27,'Sample Size cal and results'!$I$26:$I$27)</f>
        <v>20.881696956532284</v>
      </c>
      <c r="R644" s="330"/>
    </row>
    <row r="645" spans="1:18" ht="12.75">
      <c r="A645" s="99" t="s">
        <v>143</v>
      </c>
      <c r="B645" s="100">
        <v>41869</v>
      </c>
      <c r="C645" s="100">
        <f t="shared" si="117"/>
        <v>44425</v>
      </c>
      <c r="D645" s="209">
        <v>28</v>
      </c>
      <c r="E645" s="217">
        <f t="shared" si="118"/>
        <v>5.53</v>
      </c>
      <c r="F645" s="218">
        <f t="shared" si="119"/>
        <v>6.53</v>
      </c>
      <c r="G645" s="219">
        <f t="shared" si="120"/>
        <v>6.53</v>
      </c>
      <c r="H645" s="220">
        <f t="shared" si="121"/>
        <v>7.53</v>
      </c>
      <c r="I645" s="257" t="str">
        <f t="shared" si="122"/>
        <v>6-7 years</v>
      </c>
      <c r="J645" s="211">
        <f t="shared" si="123"/>
        <v>0.83835616438356164</v>
      </c>
      <c r="K645" s="258">
        <f>$D645*J645*_xlfn.XLOOKUP($I645,'Sample Size cal and results'!$B$24:$B$25,'Sample Size cal and results'!$H$24:$H$25)</f>
        <v>19.24641299955973</v>
      </c>
      <c r="L645" s="211">
        <f t="shared" si="124"/>
        <v>0.16164383561643836</v>
      </c>
      <c r="M645" s="211">
        <f>$D645*L645*_xlfn.XLOOKUP($I645,'Sample Size cal and results'!$B$24:$B$25,'Sample Size cal and results'!$I$24:$I$25)</f>
        <v>3.807431411893115</v>
      </c>
      <c r="N645" s="214">
        <f t="shared" si="125"/>
        <v>23.053844411452847</v>
      </c>
      <c r="O645" s="225" t="str">
        <f t="shared" si="126"/>
        <v>7-8 years</v>
      </c>
      <c r="P645" s="226">
        <f t="shared" si="127"/>
        <v>0.46575342465753422</v>
      </c>
      <c r="Q645" s="227">
        <f>$D645*P645*_xlfn.XLOOKUP($O645,'Sample Size cal and results'!$B$26:$B$27,'Sample Size cal and results'!$I$26:$I$27)</f>
        <v>8.4737320983029552</v>
      </c>
      <c r="R645" s="330"/>
    </row>
    <row r="646" spans="1:18" ht="12.75">
      <c r="A646" s="99" t="s">
        <v>150</v>
      </c>
      <c r="B646" s="100">
        <v>41868</v>
      </c>
      <c r="C646" s="100">
        <f t="shared" si="117"/>
        <v>44424</v>
      </c>
      <c r="D646" s="209">
        <v>288</v>
      </c>
      <c r="E646" s="217">
        <f t="shared" si="118"/>
        <v>5.53</v>
      </c>
      <c r="F646" s="218">
        <f t="shared" si="119"/>
        <v>6.53</v>
      </c>
      <c r="G646" s="219">
        <f t="shared" si="120"/>
        <v>6.53</v>
      </c>
      <c r="H646" s="220">
        <f t="shared" si="121"/>
        <v>7.53</v>
      </c>
      <c r="I646" s="257" t="str">
        <f t="shared" si="122"/>
        <v>6-7 years</v>
      </c>
      <c r="J646" s="211">
        <f t="shared" si="123"/>
        <v>0.83835616438356164</v>
      </c>
      <c r="K646" s="258">
        <f>$D646*J646*_xlfn.XLOOKUP($I646,'Sample Size cal and results'!$B$24:$B$25,'Sample Size cal and results'!$H$24:$H$25)</f>
        <v>197.96310513832867</v>
      </c>
      <c r="L646" s="211">
        <f t="shared" si="124"/>
        <v>0.16164383561643836</v>
      </c>
      <c r="M646" s="211">
        <f>$D646*L646*_xlfn.XLOOKUP($I646,'Sample Size cal and results'!$B$24:$B$25,'Sample Size cal and results'!$I$24:$I$25)</f>
        <v>39.162151665186336</v>
      </c>
      <c r="N646" s="214">
        <f t="shared" si="125"/>
        <v>237.12525680351501</v>
      </c>
      <c r="O646" s="225" t="str">
        <f t="shared" si="126"/>
        <v>7-8 years</v>
      </c>
      <c r="P646" s="226">
        <f t="shared" si="127"/>
        <v>0.46301369863013697</v>
      </c>
      <c r="Q646" s="227">
        <f>$D646*P646*_xlfn.XLOOKUP($O646,'Sample Size cal and results'!$B$26:$B$27,'Sample Size cal and results'!$I$26:$I$27)</f>
        <v>86.645690900966699</v>
      </c>
      <c r="R646" s="330"/>
    </row>
    <row r="647" spans="1:18" ht="12.75">
      <c r="A647" s="99" t="s">
        <v>145</v>
      </c>
      <c r="B647" s="100">
        <v>41868</v>
      </c>
      <c r="C647" s="100">
        <f t="shared" si="117"/>
        <v>44424</v>
      </c>
      <c r="D647" s="209">
        <v>71</v>
      </c>
      <c r="E647" s="217">
        <f t="shared" si="118"/>
        <v>5.53</v>
      </c>
      <c r="F647" s="218">
        <f t="shared" si="119"/>
        <v>6.53</v>
      </c>
      <c r="G647" s="219">
        <f t="shared" si="120"/>
        <v>6.53</v>
      </c>
      <c r="H647" s="220">
        <f t="shared" si="121"/>
        <v>7.53</v>
      </c>
      <c r="I647" s="257" t="str">
        <f t="shared" si="122"/>
        <v>6-7 years</v>
      </c>
      <c r="J647" s="211">
        <f t="shared" si="123"/>
        <v>0.83835616438356164</v>
      </c>
      <c r="K647" s="258">
        <f>$D647*J647*_xlfn.XLOOKUP($I647,'Sample Size cal and results'!$B$24:$B$25,'Sample Size cal and results'!$H$24:$H$25)</f>
        <v>48.803404391740749</v>
      </c>
      <c r="L647" s="211">
        <f t="shared" si="124"/>
        <v>0.16164383561643836</v>
      </c>
      <c r="M647" s="211">
        <f>$D647*L647*_xlfn.XLOOKUP($I647,'Sample Size cal and results'!$B$24:$B$25,'Sample Size cal and results'!$I$24:$I$25)</f>
        <v>9.6545582230146856</v>
      </c>
      <c r="N647" s="214">
        <f t="shared" si="125"/>
        <v>58.457962614755431</v>
      </c>
      <c r="O647" s="225" t="str">
        <f t="shared" si="126"/>
        <v>7-8 years</v>
      </c>
      <c r="P647" s="226">
        <f t="shared" si="127"/>
        <v>0.46301369863013697</v>
      </c>
      <c r="Q647" s="227">
        <f>$D647*P647*_xlfn.XLOOKUP($O647,'Sample Size cal and results'!$B$26:$B$27,'Sample Size cal and results'!$I$26:$I$27)</f>
        <v>21.360569631835542</v>
      </c>
      <c r="R647" s="330"/>
    </row>
    <row r="648" spans="1:18" ht="12.75">
      <c r="A648" s="99" t="s">
        <v>143</v>
      </c>
      <c r="B648" s="100">
        <v>41868</v>
      </c>
      <c r="C648" s="100">
        <f t="shared" si="117"/>
        <v>44424</v>
      </c>
      <c r="D648" s="209">
        <v>24</v>
      </c>
      <c r="E648" s="217">
        <f t="shared" si="118"/>
        <v>5.53</v>
      </c>
      <c r="F648" s="218">
        <f t="shared" si="119"/>
        <v>6.53</v>
      </c>
      <c r="G648" s="219">
        <f t="shared" si="120"/>
        <v>6.53</v>
      </c>
      <c r="H648" s="220">
        <f t="shared" si="121"/>
        <v>7.53</v>
      </c>
      <c r="I648" s="257" t="str">
        <f t="shared" si="122"/>
        <v>6-7 years</v>
      </c>
      <c r="J648" s="211">
        <f t="shared" si="123"/>
        <v>0.83835616438356164</v>
      </c>
      <c r="K648" s="258">
        <f>$D648*J648*_xlfn.XLOOKUP($I648,'Sample Size cal and results'!$B$24:$B$25,'Sample Size cal and results'!$H$24:$H$25)</f>
        <v>16.496925428194054</v>
      </c>
      <c r="L648" s="211">
        <f t="shared" si="124"/>
        <v>0.16164383561643836</v>
      </c>
      <c r="M648" s="211">
        <f>$D648*L648*_xlfn.XLOOKUP($I648,'Sample Size cal and results'!$B$24:$B$25,'Sample Size cal and results'!$I$24:$I$25)</f>
        <v>3.2635126387655276</v>
      </c>
      <c r="N648" s="214">
        <f t="shared" si="125"/>
        <v>19.76043806695958</v>
      </c>
      <c r="O648" s="225" t="str">
        <f t="shared" si="126"/>
        <v>7-8 years</v>
      </c>
      <c r="P648" s="226">
        <f t="shared" si="127"/>
        <v>0.46301369863013697</v>
      </c>
      <c r="Q648" s="227">
        <f>$D648*P648*_xlfn.XLOOKUP($O648,'Sample Size cal and results'!$B$26:$B$27,'Sample Size cal and results'!$I$26:$I$27)</f>
        <v>7.2204742417472252</v>
      </c>
      <c r="R648" s="330"/>
    </row>
    <row r="649" spans="1:18" ht="12.75">
      <c r="A649" s="99" t="s">
        <v>150</v>
      </c>
      <c r="B649" s="100">
        <v>41867</v>
      </c>
      <c r="C649" s="100">
        <f t="shared" si="117"/>
        <v>44423</v>
      </c>
      <c r="D649" s="209">
        <v>350</v>
      </c>
      <c r="E649" s="217">
        <f t="shared" si="118"/>
        <v>5.54</v>
      </c>
      <c r="F649" s="218">
        <f t="shared" si="119"/>
        <v>6.53</v>
      </c>
      <c r="G649" s="219">
        <f t="shared" si="120"/>
        <v>6.54</v>
      </c>
      <c r="H649" s="220">
        <f t="shared" si="121"/>
        <v>7.53</v>
      </c>
      <c r="I649" s="257" t="str">
        <f t="shared" si="122"/>
        <v>6-7 years</v>
      </c>
      <c r="J649" s="211">
        <f t="shared" si="123"/>
        <v>0.83835616438356164</v>
      </c>
      <c r="K649" s="258">
        <f>$D649*J649*_xlfn.XLOOKUP($I649,'Sample Size cal and results'!$B$24:$B$25,'Sample Size cal and results'!$H$24:$H$25)</f>
        <v>240.58016249449665</v>
      </c>
      <c r="L649" s="211">
        <f t="shared" si="124"/>
        <v>0.16164383561643836</v>
      </c>
      <c r="M649" s="211">
        <f>$D649*L649*_xlfn.XLOOKUP($I649,'Sample Size cal and results'!$B$24:$B$25,'Sample Size cal and results'!$I$24:$I$25)</f>
        <v>47.592892648663941</v>
      </c>
      <c r="N649" s="214">
        <f t="shared" si="125"/>
        <v>288.17305514316058</v>
      </c>
      <c r="O649" s="225" t="str">
        <f t="shared" si="126"/>
        <v>7-8 years</v>
      </c>
      <c r="P649" s="226">
        <f t="shared" si="127"/>
        <v>0.46027397260273972</v>
      </c>
      <c r="Q649" s="227">
        <f>$D649*P649*_xlfn.XLOOKUP($O649,'Sample Size cal and results'!$B$26:$B$27,'Sample Size cal and results'!$I$26:$I$27)</f>
        <v>104.6755141555071</v>
      </c>
      <c r="R649" s="330"/>
    </row>
    <row r="650" spans="1:18" ht="12.75">
      <c r="A650" s="99" t="s">
        <v>145</v>
      </c>
      <c r="B650" s="100">
        <v>41867</v>
      </c>
      <c r="C650" s="100">
        <f t="shared" si="117"/>
        <v>44423</v>
      </c>
      <c r="D650" s="209">
        <v>52</v>
      </c>
      <c r="E650" s="217">
        <f t="shared" si="118"/>
        <v>5.54</v>
      </c>
      <c r="F650" s="218">
        <f t="shared" si="119"/>
        <v>6.53</v>
      </c>
      <c r="G650" s="219">
        <f t="shared" si="120"/>
        <v>6.54</v>
      </c>
      <c r="H650" s="220">
        <f t="shared" si="121"/>
        <v>7.53</v>
      </c>
      <c r="I650" s="257" t="str">
        <f t="shared" si="122"/>
        <v>6-7 years</v>
      </c>
      <c r="J650" s="211">
        <f t="shared" si="123"/>
        <v>0.83835616438356164</v>
      </c>
      <c r="K650" s="258">
        <f>$D650*J650*_xlfn.XLOOKUP($I650,'Sample Size cal and results'!$B$24:$B$25,'Sample Size cal and results'!$H$24:$H$25)</f>
        <v>35.743338427753784</v>
      </c>
      <c r="L650" s="211">
        <f t="shared" si="124"/>
        <v>0.16164383561643836</v>
      </c>
      <c r="M650" s="211">
        <f>$D650*L650*_xlfn.XLOOKUP($I650,'Sample Size cal and results'!$B$24:$B$25,'Sample Size cal and results'!$I$24:$I$25)</f>
        <v>7.0709440506586434</v>
      </c>
      <c r="N650" s="214">
        <f t="shared" si="125"/>
        <v>42.81428247841243</v>
      </c>
      <c r="O650" s="225" t="str">
        <f t="shared" si="126"/>
        <v>7-8 years</v>
      </c>
      <c r="P650" s="226">
        <f t="shared" si="127"/>
        <v>0.46027397260273972</v>
      </c>
      <c r="Q650" s="227">
        <f>$D650*P650*_xlfn.XLOOKUP($O650,'Sample Size cal and results'!$B$26:$B$27,'Sample Size cal and results'!$I$26:$I$27)</f>
        <v>15.551790674532485</v>
      </c>
      <c r="R650" s="330"/>
    </row>
    <row r="651" spans="1:18" ht="12.75">
      <c r="A651" s="99" t="s">
        <v>143</v>
      </c>
      <c r="B651" s="100">
        <v>41867</v>
      </c>
      <c r="C651" s="100">
        <f t="shared" si="117"/>
        <v>44423</v>
      </c>
      <c r="D651" s="209">
        <v>17</v>
      </c>
      <c r="E651" s="217">
        <f t="shared" si="118"/>
        <v>5.54</v>
      </c>
      <c r="F651" s="218">
        <f t="shared" si="119"/>
        <v>6.53</v>
      </c>
      <c r="G651" s="219">
        <f t="shared" si="120"/>
        <v>6.54</v>
      </c>
      <c r="H651" s="220">
        <f t="shared" si="121"/>
        <v>7.53</v>
      </c>
      <c r="I651" s="257" t="str">
        <f t="shared" si="122"/>
        <v>6-7 years</v>
      </c>
      <c r="J651" s="211">
        <f t="shared" si="123"/>
        <v>0.83835616438356164</v>
      </c>
      <c r="K651" s="258">
        <f>$D651*J651*_xlfn.XLOOKUP($I651,'Sample Size cal and results'!$B$24:$B$25,'Sample Size cal and results'!$H$24:$H$25)</f>
        <v>11.685322178304123</v>
      </c>
      <c r="L651" s="211">
        <f t="shared" si="124"/>
        <v>0.16164383561643836</v>
      </c>
      <c r="M651" s="211">
        <f>$D651*L651*_xlfn.XLOOKUP($I651,'Sample Size cal and results'!$B$24:$B$25,'Sample Size cal and results'!$I$24:$I$25)</f>
        <v>2.3116547857922489</v>
      </c>
      <c r="N651" s="214">
        <f t="shared" si="125"/>
        <v>13.996976964096373</v>
      </c>
      <c r="O651" s="225" t="str">
        <f t="shared" si="126"/>
        <v>7-8 years</v>
      </c>
      <c r="P651" s="226">
        <f t="shared" si="127"/>
        <v>0.46027397260273972</v>
      </c>
      <c r="Q651" s="227">
        <f>$D651*P651*_xlfn.XLOOKUP($O651,'Sample Size cal and results'!$B$26:$B$27,'Sample Size cal and results'!$I$26:$I$27)</f>
        <v>5.084239258981774</v>
      </c>
      <c r="R651" s="330"/>
    </row>
    <row r="652" spans="1:18" ht="12.75">
      <c r="A652" s="99" t="s">
        <v>150</v>
      </c>
      <c r="B652" s="100">
        <v>41866</v>
      </c>
      <c r="C652" s="100">
        <f t="shared" si="117"/>
        <v>44422</v>
      </c>
      <c r="D652" s="209">
        <v>894</v>
      </c>
      <c r="E652" s="217">
        <f t="shared" si="118"/>
        <v>5.54</v>
      </c>
      <c r="F652" s="218">
        <f t="shared" si="119"/>
        <v>6.54</v>
      </c>
      <c r="G652" s="219">
        <f t="shared" si="120"/>
        <v>6.54</v>
      </c>
      <c r="H652" s="220">
        <f t="shared" si="121"/>
        <v>7.54</v>
      </c>
      <c r="I652" s="257" t="str">
        <f t="shared" si="122"/>
        <v>6-7 years</v>
      </c>
      <c r="J652" s="211">
        <f t="shared" si="123"/>
        <v>0.83835616438356164</v>
      </c>
      <c r="K652" s="258">
        <f>$D652*J652*_xlfn.XLOOKUP($I652,'Sample Size cal and results'!$B$24:$B$25,'Sample Size cal and results'!$H$24:$H$25)</f>
        <v>614.51047220022861</v>
      </c>
      <c r="L652" s="211">
        <f t="shared" si="124"/>
        <v>0.16164383561643836</v>
      </c>
      <c r="M652" s="211">
        <f>$D652*L652*_xlfn.XLOOKUP($I652,'Sample Size cal and results'!$B$24:$B$25,'Sample Size cal and results'!$I$24:$I$25)</f>
        <v>121.5658457940159</v>
      </c>
      <c r="N652" s="214">
        <f t="shared" si="125"/>
        <v>736.0763179942445</v>
      </c>
      <c r="O652" s="225" t="str">
        <f t="shared" si="126"/>
        <v>7-8 years</v>
      </c>
      <c r="P652" s="226">
        <f t="shared" si="127"/>
        <v>0.45753424657534247</v>
      </c>
      <c r="Q652" s="227">
        <f>$D652*P652*_xlfn.XLOOKUP($O652,'Sample Size cal and results'!$B$26:$B$27,'Sample Size cal and results'!$I$26:$I$27)</f>
        <v>265.77967538076359</v>
      </c>
      <c r="R652" s="330"/>
    </row>
    <row r="653" spans="1:18" ht="12.75">
      <c r="A653" s="99" t="s">
        <v>143</v>
      </c>
      <c r="B653" s="100">
        <v>41866</v>
      </c>
      <c r="C653" s="100">
        <f t="shared" si="117"/>
        <v>44422</v>
      </c>
      <c r="D653" s="209">
        <v>757</v>
      </c>
      <c r="E653" s="217">
        <f t="shared" si="118"/>
        <v>5.54</v>
      </c>
      <c r="F653" s="218">
        <f t="shared" si="119"/>
        <v>6.54</v>
      </c>
      <c r="G653" s="219">
        <f t="shared" si="120"/>
        <v>6.54</v>
      </c>
      <c r="H653" s="220">
        <f t="shared" si="121"/>
        <v>7.54</v>
      </c>
      <c r="I653" s="257" t="str">
        <f t="shared" si="122"/>
        <v>6-7 years</v>
      </c>
      <c r="J653" s="211">
        <f t="shared" si="123"/>
        <v>0.83835616438356164</v>
      </c>
      <c r="K653" s="258">
        <f>$D653*J653*_xlfn.XLOOKUP($I653,'Sample Size cal and results'!$B$24:$B$25,'Sample Size cal and results'!$H$24:$H$25)</f>
        <v>520.34052288095415</v>
      </c>
      <c r="L653" s="211">
        <f t="shared" si="124"/>
        <v>0.16164383561643836</v>
      </c>
      <c r="M653" s="211">
        <f>$D653*L653*_xlfn.XLOOKUP($I653,'Sample Size cal and results'!$B$24:$B$25,'Sample Size cal and results'!$I$24:$I$25)</f>
        <v>102.936627814396</v>
      </c>
      <c r="N653" s="214">
        <f t="shared" si="125"/>
        <v>623.2771506953502</v>
      </c>
      <c r="O653" s="225" t="str">
        <f t="shared" si="126"/>
        <v>7-8 years</v>
      </c>
      <c r="P653" s="226">
        <f t="shared" si="127"/>
        <v>0.45753424657534247</v>
      </c>
      <c r="Q653" s="227">
        <f>$D653*P653*_xlfn.XLOOKUP($O653,'Sample Size cal and results'!$B$26:$B$27,'Sample Size cal and results'!$I$26:$I$27)</f>
        <v>225.05057523852133</v>
      </c>
      <c r="R653" s="330"/>
    </row>
    <row r="654" spans="1:18" ht="12.75">
      <c r="A654" s="99" t="s">
        <v>149</v>
      </c>
      <c r="B654" s="100">
        <v>41866</v>
      </c>
      <c r="C654" s="100">
        <f t="shared" si="117"/>
        <v>44422</v>
      </c>
      <c r="D654" s="209">
        <v>421</v>
      </c>
      <c r="E654" s="217">
        <f t="shared" si="118"/>
        <v>5.54</v>
      </c>
      <c r="F654" s="218">
        <f t="shared" si="119"/>
        <v>6.54</v>
      </c>
      <c r="G654" s="219">
        <f t="shared" si="120"/>
        <v>6.54</v>
      </c>
      <c r="H654" s="220">
        <f t="shared" si="121"/>
        <v>7.54</v>
      </c>
      <c r="I654" s="257" t="str">
        <f t="shared" si="122"/>
        <v>6-7 years</v>
      </c>
      <c r="J654" s="211">
        <f t="shared" si="123"/>
        <v>0.83835616438356164</v>
      </c>
      <c r="K654" s="258">
        <f>$D654*J654*_xlfn.XLOOKUP($I654,'Sample Size cal and results'!$B$24:$B$25,'Sample Size cal and results'!$H$24:$H$25)</f>
        <v>289.38356688623742</v>
      </c>
      <c r="L654" s="211">
        <f t="shared" si="124"/>
        <v>0.16164383561643836</v>
      </c>
      <c r="M654" s="211">
        <f>$D654*L654*_xlfn.XLOOKUP($I654,'Sample Size cal and results'!$B$24:$B$25,'Sample Size cal and results'!$I$24:$I$25)</f>
        <v>57.247450871678623</v>
      </c>
      <c r="N654" s="214">
        <f t="shared" si="125"/>
        <v>346.63101775791603</v>
      </c>
      <c r="O654" s="225" t="str">
        <f t="shared" si="126"/>
        <v>7-8 years</v>
      </c>
      <c r="P654" s="226">
        <f t="shared" si="127"/>
        <v>0.45753424657534247</v>
      </c>
      <c r="Q654" s="227">
        <f>$D654*P654*_xlfn.XLOOKUP($O654,'Sample Size cal and results'!$B$26:$B$27,'Sample Size cal and results'!$I$26:$I$27)</f>
        <v>125.16022744440883</v>
      </c>
      <c r="R654" s="330"/>
    </row>
    <row r="655" spans="1:18" ht="12.75">
      <c r="A655" s="99" t="s">
        <v>145</v>
      </c>
      <c r="B655" s="100">
        <v>41866</v>
      </c>
      <c r="C655" s="100">
        <f t="shared" si="117"/>
        <v>44422</v>
      </c>
      <c r="D655" s="209">
        <v>66</v>
      </c>
      <c r="E655" s="217">
        <f t="shared" si="118"/>
        <v>5.54</v>
      </c>
      <c r="F655" s="218">
        <f t="shared" si="119"/>
        <v>6.54</v>
      </c>
      <c r="G655" s="219">
        <f t="shared" si="120"/>
        <v>6.54</v>
      </c>
      <c r="H655" s="220">
        <f t="shared" si="121"/>
        <v>7.54</v>
      </c>
      <c r="I655" s="257" t="str">
        <f t="shared" si="122"/>
        <v>6-7 years</v>
      </c>
      <c r="J655" s="211">
        <f t="shared" si="123"/>
        <v>0.83835616438356164</v>
      </c>
      <c r="K655" s="258">
        <f>$D655*J655*_xlfn.XLOOKUP($I655,'Sample Size cal and results'!$B$24:$B$25,'Sample Size cal and results'!$H$24:$H$25)</f>
        <v>45.366544927533653</v>
      </c>
      <c r="L655" s="211">
        <f t="shared" si="124"/>
        <v>0.16164383561643836</v>
      </c>
      <c r="M655" s="211">
        <f>$D655*L655*_xlfn.XLOOKUP($I655,'Sample Size cal and results'!$B$24:$B$25,'Sample Size cal and results'!$I$24:$I$25)</f>
        <v>8.9746597566052007</v>
      </c>
      <c r="N655" s="214">
        <f t="shared" si="125"/>
        <v>54.341204684138852</v>
      </c>
      <c r="O655" s="225" t="str">
        <f t="shared" si="126"/>
        <v>7-8 years</v>
      </c>
      <c r="P655" s="226">
        <f t="shared" si="127"/>
        <v>0.45753424657534247</v>
      </c>
      <c r="Q655" s="227">
        <f>$D655*P655*_xlfn.XLOOKUP($O655,'Sample Size cal and results'!$B$26:$B$27,'Sample Size cal and results'!$I$26:$I$27)</f>
        <v>19.62131831670067</v>
      </c>
      <c r="R655" s="330"/>
    </row>
    <row r="656" spans="1:18" ht="12.75">
      <c r="A656" s="99" t="s">
        <v>149</v>
      </c>
      <c r="B656" s="100">
        <v>41865</v>
      </c>
      <c r="C656" s="100">
        <f t="shared" si="117"/>
        <v>44421</v>
      </c>
      <c r="D656" s="209">
        <v>250</v>
      </c>
      <c r="E656" s="217">
        <f t="shared" si="118"/>
        <v>5.54</v>
      </c>
      <c r="F656" s="218">
        <f t="shared" si="119"/>
        <v>6.54</v>
      </c>
      <c r="G656" s="219">
        <f t="shared" si="120"/>
        <v>6.54</v>
      </c>
      <c r="H656" s="220">
        <f t="shared" si="121"/>
        <v>7.54</v>
      </c>
      <c r="I656" s="257" t="str">
        <f t="shared" si="122"/>
        <v>6-7 years</v>
      </c>
      <c r="J656" s="211">
        <f t="shared" si="123"/>
        <v>0.83835616438356164</v>
      </c>
      <c r="K656" s="258">
        <f>$D656*J656*_xlfn.XLOOKUP($I656,'Sample Size cal and results'!$B$24:$B$25,'Sample Size cal and results'!$H$24:$H$25)</f>
        <v>171.84297321035476</v>
      </c>
      <c r="L656" s="211">
        <f t="shared" si="124"/>
        <v>0.16164383561643836</v>
      </c>
      <c r="M656" s="211">
        <f>$D656*L656*_xlfn.XLOOKUP($I656,'Sample Size cal and results'!$B$24:$B$25,'Sample Size cal and results'!$I$24:$I$25)</f>
        <v>33.994923320474243</v>
      </c>
      <c r="N656" s="214">
        <f t="shared" si="125"/>
        <v>205.837896530829</v>
      </c>
      <c r="O656" s="225" t="str">
        <f t="shared" si="126"/>
        <v>7-8 years</v>
      </c>
      <c r="P656" s="226">
        <f t="shared" si="127"/>
        <v>0.45479452054794522</v>
      </c>
      <c r="Q656" s="227">
        <f>$D656*P656*_xlfn.XLOOKUP($O656,'Sample Size cal and results'!$B$26:$B$27,'Sample Size cal and results'!$I$26:$I$27)</f>
        <v>73.878126487305195</v>
      </c>
      <c r="R656" s="330"/>
    </row>
    <row r="657" spans="1:18" ht="12.75">
      <c r="A657" s="99" t="s">
        <v>145</v>
      </c>
      <c r="B657" s="100">
        <v>41865</v>
      </c>
      <c r="C657" s="100">
        <f t="shared" si="117"/>
        <v>44421</v>
      </c>
      <c r="D657" s="209">
        <v>62</v>
      </c>
      <c r="E657" s="217">
        <f t="shared" si="118"/>
        <v>5.54</v>
      </c>
      <c r="F657" s="218">
        <f t="shared" si="119"/>
        <v>6.54</v>
      </c>
      <c r="G657" s="219">
        <f t="shared" si="120"/>
        <v>6.54</v>
      </c>
      <c r="H657" s="220">
        <f t="shared" si="121"/>
        <v>7.54</v>
      </c>
      <c r="I657" s="257" t="str">
        <f t="shared" si="122"/>
        <v>6-7 years</v>
      </c>
      <c r="J657" s="211">
        <f t="shared" si="123"/>
        <v>0.83835616438356164</v>
      </c>
      <c r="K657" s="258">
        <f>$D657*J657*_xlfn.XLOOKUP($I657,'Sample Size cal and results'!$B$24:$B$25,'Sample Size cal and results'!$H$24:$H$25)</f>
        <v>42.617057356167976</v>
      </c>
      <c r="L657" s="211">
        <f t="shared" si="124"/>
        <v>0.16164383561643836</v>
      </c>
      <c r="M657" s="211">
        <f>$D657*L657*_xlfn.XLOOKUP($I657,'Sample Size cal and results'!$B$24:$B$25,'Sample Size cal and results'!$I$24:$I$25)</f>
        <v>8.4307409834776124</v>
      </c>
      <c r="N657" s="214">
        <f t="shared" si="125"/>
        <v>51.047798339645588</v>
      </c>
      <c r="O657" s="225" t="str">
        <f t="shared" si="126"/>
        <v>7-8 years</v>
      </c>
      <c r="P657" s="226">
        <f t="shared" si="127"/>
        <v>0.45479452054794522</v>
      </c>
      <c r="Q657" s="227">
        <f>$D657*P657*_xlfn.XLOOKUP($O657,'Sample Size cal and results'!$B$26:$B$27,'Sample Size cal and results'!$I$26:$I$27)</f>
        <v>18.321775368851686</v>
      </c>
      <c r="R657" s="330"/>
    </row>
    <row r="658" spans="1:18" ht="12.75">
      <c r="A658" s="99" t="s">
        <v>143</v>
      </c>
      <c r="B658" s="100">
        <v>41865</v>
      </c>
      <c r="C658" s="100">
        <f t="shared" si="117"/>
        <v>44421</v>
      </c>
      <c r="D658" s="209">
        <v>14</v>
      </c>
      <c r="E658" s="217">
        <f t="shared" si="118"/>
        <v>5.54</v>
      </c>
      <c r="F658" s="218">
        <f t="shared" si="119"/>
        <v>6.54</v>
      </c>
      <c r="G658" s="219">
        <f t="shared" si="120"/>
        <v>6.54</v>
      </c>
      <c r="H658" s="220">
        <f t="shared" si="121"/>
        <v>7.54</v>
      </c>
      <c r="I658" s="257" t="str">
        <f t="shared" si="122"/>
        <v>6-7 years</v>
      </c>
      <c r="J658" s="211">
        <f t="shared" si="123"/>
        <v>0.83835616438356164</v>
      </c>
      <c r="K658" s="258">
        <f>$D658*J658*_xlfn.XLOOKUP($I658,'Sample Size cal and results'!$B$24:$B$25,'Sample Size cal and results'!$H$24:$H$25)</f>
        <v>9.6232064997798652</v>
      </c>
      <c r="L658" s="211">
        <f t="shared" si="124"/>
        <v>0.16164383561643836</v>
      </c>
      <c r="M658" s="211">
        <f>$D658*L658*_xlfn.XLOOKUP($I658,'Sample Size cal and results'!$B$24:$B$25,'Sample Size cal and results'!$I$24:$I$25)</f>
        <v>1.9037157059465575</v>
      </c>
      <c r="N658" s="214">
        <f t="shared" si="125"/>
        <v>11.526922205726423</v>
      </c>
      <c r="O658" s="225" t="str">
        <f t="shared" si="126"/>
        <v>7-8 years</v>
      </c>
      <c r="P658" s="226">
        <f t="shared" si="127"/>
        <v>0.45479452054794522</v>
      </c>
      <c r="Q658" s="227">
        <f>$D658*P658*_xlfn.XLOOKUP($O658,'Sample Size cal and results'!$B$26:$B$27,'Sample Size cal and results'!$I$26:$I$27)</f>
        <v>4.1371750832890903</v>
      </c>
      <c r="R658" s="330"/>
    </row>
    <row r="659" spans="1:18" ht="12.75">
      <c r="A659" s="99" t="s">
        <v>149</v>
      </c>
      <c r="B659" s="100">
        <v>41864</v>
      </c>
      <c r="C659" s="100">
        <f t="shared" si="117"/>
        <v>44420</v>
      </c>
      <c r="D659" s="209">
        <v>246</v>
      </c>
      <c r="E659" s="217">
        <f t="shared" si="118"/>
        <v>5.54</v>
      </c>
      <c r="F659" s="218">
        <f t="shared" si="119"/>
        <v>6.54</v>
      </c>
      <c r="G659" s="219">
        <f t="shared" si="120"/>
        <v>6.54</v>
      </c>
      <c r="H659" s="220">
        <f t="shared" si="121"/>
        <v>7.54</v>
      </c>
      <c r="I659" s="257" t="str">
        <f t="shared" si="122"/>
        <v>6-7 years</v>
      </c>
      <c r="J659" s="211">
        <f t="shared" si="123"/>
        <v>0.83835616438356164</v>
      </c>
      <c r="K659" s="258">
        <f>$D659*J659*_xlfn.XLOOKUP($I659,'Sample Size cal and results'!$B$24:$B$25,'Sample Size cal and results'!$H$24:$H$25)</f>
        <v>169.09348563898908</v>
      </c>
      <c r="L659" s="211">
        <f t="shared" si="124"/>
        <v>0.16164383561643836</v>
      </c>
      <c r="M659" s="211">
        <f>$D659*L659*_xlfn.XLOOKUP($I659,'Sample Size cal and results'!$B$24:$B$25,'Sample Size cal and results'!$I$24:$I$25)</f>
        <v>33.451004547346656</v>
      </c>
      <c r="N659" s="214">
        <f t="shared" si="125"/>
        <v>202.54449018633574</v>
      </c>
      <c r="O659" s="225" t="str">
        <f t="shared" si="126"/>
        <v>7-8 years</v>
      </c>
      <c r="P659" s="226">
        <f t="shared" si="127"/>
        <v>0.45205479452054792</v>
      </c>
      <c r="Q659" s="227">
        <f>$D659*P659*_xlfn.XLOOKUP($O659,'Sample Size cal and results'!$B$26:$B$27,'Sample Size cal and results'!$I$26:$I$27)</f>
        <v>72.258148292041383</v>
      </c>
      <c r="R659" s="330"/>
    </row>
    <row r="660" spans="1:18" ht="12.75">
      <c r="A660" s="99" t="s">
        <v>145</v>
      </c>
      <c r="B660" s="100">
        <v>41864</v>
      </c>
      <c r="C660" s="100">
        <f t="shared" si="117"/>
        <v>44420</v>
      </c>
      <c r="D660" s="209">
        <v>45</v>
      </c>
      <c r="E660" s="217">
        <f t="shared" si="118"/>
        <v>5.54</v>
      </c>
      <c r="F660" s="218">
        <f t="shared" si="119"/>
        <v>6.54</v>
      </c>
      <c r="G660" s="219">
        <f t="shared" si="120"/>
        <v>6.54</v>
      </c>
      <c r="H660" s="220">
        <f t="shared" si="121"/>
        <v>7.54</v>
      </c>
      <c r="I660" s="257" t="str">
        <f t="shared" si="122"/>
        <v>6-7 years</v>
      </c>
      <c r="J660" s="211">
        <f t="shared" si="123"/>
        <v>0.83835616438356164</v>
      </c>
      <c r="K660" s="258">
        <f>$D660*J660*_xlfn.XLOOKUP($I660,'Sample Size cal and results'!$B$24:$B$25,'Sample Size cal and results'!$H$24:$H$25)</f>
        <v>30.931735177863853</v>
      </c>
      <c r="L660" s="211">
        <f t="shared" si="124"/>
        <v>0.16164383561643836</v>
      </c>
      <c r="M660" s="211">
        <f>$D660*L660*_xlfn.XLOOKUP($I660,'Sample Size cal and results'!$B$24:$B$25,'Sample Size cal and results'!$I$24:$I$25)</f>
        <v>6.1190861976853643</v>
      </c>
      <c r="N660" s="214">
        <f t="shared" si="125"/>
        <v>37.050821375549219</v>
      </c>
      <c r="O660" s="225" t="str">
        <f t="shared" si="126"/>
        <v>7-8 years</v>
      </c>
      <c r="P660" s="226">
        <f t="shared" si="127"/>
        <v>0.45205479452054792</v>
      </c>
      <c r="Q660" s="227">
        <f>$D660*P660*_xlfn.XLOOKUP($O660,'Sample Size cal and results'!$B$26:$B$27,'Sample Size cal and results'!$I$26:$I$27)</f>
        <v>13.217953955861228</v>
      </c>
      <c r="R660" s="330"/>
    </row>
    <row r="661" spans="1:18" ht="12.75">
      <c r="A661" s="99" t="s">
        <v>143</v>
      </c>
      <c r="B661" s="100">
        <v>41864</v>
      </c>
      <c r="C661" s="100">
        <f t="shared" si="117"/>
        <v>44420</v>
      </c>
      <c r="D661" s="209">
        <v>18</v>
      </c>
      <c r="E661" s="217">
        <f t="shared" si="118"/>
        <v>5.54</v>
      </c>
      <c r="F661" s="218">
        <f t="shared" si="119"/>
        <v>6.54</v>
      </c>
      <c r="G661" s="219">
        <f t="shared" si="120"/>
        <v>6.54</v>
      </c>
      <c r="H661" s="220">
        <f t="shared" si="121"/>
        <v>7.54</v>
      </c>
      <c r="I661" s="257" t="str">
        <f t="shared" si="122"/>
        <v>6-7 years</v>
      </c>
      <c r="J661" s="211">
        <f t="shared" si="123"/>
        <v>0.83835616438356164</v>
      </c>
      <c r="K661" s="258">
        <f>$D661*J661*_xlfn.XLOOKUP($I661,'Sample Size cal and results'!$B$24:$B$25,'Sample Size cal and results'!$H$24:$H$25)</f>
        <v>12.372694071145542</v>
      </c>
      <c r="L661" s="211">
        <f t="shared" si="124"/>
        <v>0.16164383561643836</v>
      </c>
      <c r="M661" s="211">
        <f>$D661*L661*_xlfn.XLOOKUP($I661,'Sample Size cal and results'!$B$24:$B$25,'Sample Size cal and results'!$I$24:$I$25)</f>
        <v>2.447634479074146</v>
      </c>
      <c r="N661" s="214">
        <f t="shared" si="125"/>
        <v>14.820328550219688</v>
      </c>
      <c r="O661" s="225" t="str">
        <f t="shared" si="126"/>
        <v>7-8 years</v>
      </c>
      <c r="P661" s="226">
        <f t="shared" si="127"/>
        <v>0.45205479452054792</v>
      </c>
      <c r="Q661" s="227">
        <f>$D661*P661*_xlfn.XLOOKUP($O661,'Sample Size cal and results'!$B$26:$B$27,'Sample Size cal and results'!$I$26:$I$27)</f>
        <v>5.2871815823444912</v>
      </c>
      <c r="R661" s="330"/>
    </row>
    <row r="662" spans="1:18" ht="12.75">
      <c r="A662" s="99" t="s">
        <v>149</v>
      </c>
      <c r="B662" s="100">
        <v>41863</v>
      </c>
      <c r="C662" s="100">
        <f t="shared" si="117"/>
        <v>44419</v>
      </c>
      <c r="D662" s="209">
        <v>335</v>
      </c>
      <c r="E662" s="217">
        <f t="shared" si="118"/>
        <v>5.55</v>
      </c>
      <c r="F662" s="218">
        <f t="shared" si="119"/>
        <v>6.54</v>
      </c>
      <c r="G662" s="219">
        <f t="shared" si="120"/>
        <v>6.55</v>
      </c>
      <c r="H662" s="220">
        <f t="shared" si="121"/>
        <v>7.54</v>
      </c>
      <c r="I662" s="257" t="str">
        <f t="shared" si="122"/>
        <v>6-7 years</v>
      </c>
      <c r="J662" s="211">
        <f t="shared" si="123"/>
        <v>0.83835616438356164</v>
      </c>
      <c r="K662" s="258">
        <f>$D662*J662*_xlfn.XLOOKUP($I662,'Sample Size cal and results'!$B$24:$B$25,'Sample Size cal and results'!$H$24:$H$25)</f>
        <v>230.26958410187532</v>
      </c>
      <c r="L662" s="211">
        <f t="shared" si="124"/>
        <v>0.16164383561643836</v>
      </c>
      <c r="M662" s="211">
        <f>$D662*L662*_xlfn.XLOOKUP($I662,'Sample Size cal and results'!$B$24:$B$25,'Sample Size cal and results'!$I$24:$I$25)</f>
        <v>45.553197249435492</v>
      </c>
      <c r="N662" s="214">
        <f t="shared" si="125"/>
        <v>275.82278135131082</v>
      </c>
      <c r="O662" s="225" t="str">
        <f t="shared" si="126"/>
        <v>7-8 years</v>
      </c>
      <c r="P662" s="226">
        <f t="shared" si="127"/>
        <v>0.44931506849315067</v>
      </c>
      <c r="Q662" s="227">
        <f>$D662*P662*_xlfn.XLOOKUP($O662,'Sample Size cal and results'!$B$26:$B$27,'Sample Size cal and results'!$I$26:$I$27)</f>
        <v>97.803958294278232</v>
      </c>
      <c r="R662" s="330"/>
    </row>
    <row r="663" spans="1:18" ht="12.75">
      <c r="A663" s="99" t="s">
        <v>145</v>
      </c>
      <c r="B663" s="100">
        <v>41863</v>
      </c>
      <c r="C663" s="100">
        <f t="shared" si="117"/>
        <v>44419</v>
      </c>
      <c r="D663" s="209">
        <v>49</v>
      </c>
      <c r="E663" s="217">
        <f t="shared" si="118"/>
        <v>5.55</v>
      </c>
      <c r="F663" s="218">
        <f t="shared" si="119"/>
        <v>6.54</v>
      </c>
      <c r="G663" s="219">
        <f t="shared" si="120"/>
        <v>6.55</v>
      </c>
      <c r="H663" s="220">
        <f t="shared" si="121"/>
        <v>7.54</v>
      </c>
      <c r="I663" s="257" t="str">
        <f t="shared" si="122"/>
        <v>6-7 years</v>
      </c>
      <c r="J663" s="211">
        <f t="shared" si="123"/>
        <v>0.83835616438356164</v>
      </c>
      <c r="K663" s="258">
        <f>$D663*J663*_xlfn.XLOOKUP($I663,'Sample Size cal and results'!$B$24:$B$25,'Sample Size cal and results'!$H$24:$H$25)</f>
        <v>33.681222749229526</v>
      </c>
      <c r="L663" s="211">
        <f t="shared" si="124"/>
        <v>0.16164383561643836</v>
      </c>
      <c r="M663" s="211">
        <f>$D663*L663*_xlfn.XLOOKUP($I663,'Sample Size cal and results'!$B$24:$B$25,'Sample Size cal and results'!$I$24:$I$25)</f>
        <v>6.6630049708129517</v>
      </c>
      <c r="N663" s="214">
        <f t="shared" si="125"/>
        <v>40.344227720042475</v>
      </c>
      <c r="O663" s="225" t="str">
        <f t="shared" si="126"/>
        <v>7-8 years</v>
      </c>
      <c r="P663" s="226">
        <f t="shared" si="127"/>
        <v>0.44931506849315067</v>
      </c>
      <c r="Q663" s="227">
        <f>$D663*P663*_xlfn.XLOOKUP($O663,'Sample Size cal and results'!$B$26:$B$27,'Sample Size cal and results'!$I$26:$I$27)</f>
        <v>14.305653601252638</v>
      </c>
      <c r="R663" s="330"/>
    </row>
    <row r="664" spans="1:18" ht="12.75">
      <c r="A664" s="99" t="s">
        <v>143</v>
      </c>
      <c r="B664" s="100">
        <v>41863</v>
      </c>
      <c r="C664" s="100">
        <f t="shared" si="117"/>
        <v>44419</v>
      </c>
      <c r="D664" s="209">
        <v>26</v>
      </c>
      <c r="E664" s="217">
        <f t="shared" si="118"/>
        <v>5.55</v>
      </c>
      <c r="F664" s="218">
        <f t="shared" si="119"/>
        <v>6.54</v>
      </c>
      <c r="G664" s="219">
        <f t="shared" si="120"/>
        <v>6.55</v>
      </c>
      <c r="H664" s="220">
        <f t="shared" si="121"/>
        <v>7.54</v>
      </c>
      <c r="I664" s="257" t="str">
        <f t="shared" si="122"/>
        <v>6-7 years</v>
      </c>
      <c r="J664" s="211">
        <f t="shared" si="123"/>
        <v>0.83835616438356164</v>
      </c>
      <c r="K664" s="258">
        <f>$D664*J664*_xlfn.XLOOKUP($I664,'Sample Size cal and results'!$B$24:$B$25,'Sample Size cal and results'!$H$24:$H$25)</f>
        <v>17.871669213876892</v>
      </c>
      <c r="L664" s="211">
        <f t="shared" si="124"/>
        <v>0.16164383561643836</v>
      </c>
      <c r="M664" s="211">
        <f>$D664*L664*_xlfn.XLOOKUP($I664,'Sample Size cal and results'!$B$24:$B$25,'Sample Size cal and results'!$I$24:$I$25)</f>
        <v>3.5354720253293217</v>
      </c>
      <c r="N664" s="214">
        <f t="shared" si="125"/>
        <v>21.407141239206215</v>
      </c>
      <c r="O664" s="225" t="str">
        <f t="shared" si="126"/>
        <v>7-8 years</v>
      </c>
      <c r="P664" s="226">
        <f t="shared" si="127"/>
        <v>0.44931506849315067</v>
      </c>
      <c r="Q664" s="227">
        <f>$D664*P664*_xlfn.XLOOKUP($O664,'Sample Size cal and results'!$B$26:$B$27,'Sample Size cal and results'!$I$26:$I$27)</f>
        <v>7.5907549720932357</v>
      </c>
      <c r="R664" s="330"/>
    </row>
    <row r="665" spans="1:18" ht="12.75">
      <c r="A665" s="99" t="s">
        <v>149</v>
      </c>
      <c r="B665" s="100">
        <v>41862</v>
      </c>
      <c r="C665" s="100">
        <f t="shared" si="117"/>
        <v>44418</v>
      </c>
      <c r="D665" s="209">
        <v>245</v>
      </c>
      <c r="E665" s="217">
        <f t="shared" si="118"/>
        <v>5.55</v>
      </c>
      <c r="F665" s="218">
        <f t="shared" si="119"/>
        <v>6.55</v>
      </c>
      <c r="G665" s="219">
        <f t="shared" si="120"/>
        <v>6.55</v>
      </c>
      <c r="H665" s="220">
        <f t="shared" si="121"/>
        <v>7.55</v>
      </c>
      <c r="I665" s="257" t="str">
        <f t="shared" si="122"/>
        <v>6-7 years</v>
      </c>
      <c r="J665" s="211">
        <f t="shared" si="123"/>
        <v>0.83835616438356164</v>
      </c>
      <c r="K665" s="258">
        <f>$D665*J665*_xlfn.XLOOKUP($I665,'Sample Size cal and results'!$B$24:$B$25,'Sample Size cal and results'!$H$24:$H$25)</f>
        <v>168.40611374614764</v>
      </c>
      <c r="L665" s="211">
        <f t="shared" si="124"/>
        <v>0.16164383561643836</v>
      </c>
      <c r="M665" s="211">
        <f>$D665*L665*_xlfn.XLOOKUP($I665,'Sample Size cal and results'!$B$24:$B$25,'Sample Size cal and results'!$I$24:$I$25)</f>
        <v>33.31502485406476</v>
      </c>
      <c r="N665" s="214">
        <f t="shared" si="125"/>
        <v>201.72113860021238</v>
      </c>
      <c r="O665" s="225" t="str">
        <f t="shared" si="126"/>
        <v>7-8 years</v>
      </c>
      <c r="P665" s="226">
        <f t="shared" si="127"/>
        <v>0.44657534246575342</v>
      </c>
      <c r="Q665" s="227">
        <f>$D665*P665*_xlfn.XLOOKUP($O665,'Sample Size cal and results'!$B$26:$B$27,'Sample Size cal and results'!$I$26:$I$27)</f>
        <v>71.092120030615249</v>
      </c>
      <c r="R665" s="330"/>
    </row>
    <row r="666" spans="1:18" ht="12.75">
      <c r="A666" s="99" t="s">
        <v>145</v>
      </c>
      <c r="B666" s="100">
        <v>41862</v>
      </c>
      <c r="C666" s="100">
        <f t="shared" si="117"/>
        <v>44418</v>
      </c>
      <c r="D666" s="209">
        <v>33</v>
      </c>
      <c r="E666" s="217">
        <f t="shared" si="118"/>
        <v>5.55</v>
      </c>
      <c r="F666" s="218">
        <f t="shared" si="119"/>
        <v>6.55</v>
      </c>
      <c r="G666" s="219">
        <f t="shared" si="120"/>
        <v>6.55</v>
      </c>
      <c r="H666" s="220">
        <f t="shared" si="121"/>
        <v>7.55</v>
      </c>
      <c r="I666" s="257" t="str">
        <f t="shared" si="122"/>
        <v>6-7 years</v>
      </c>
      <c r="J666" s="211">
        <f t="shared" si="123"/>
        <v>0.83835616438356164</v>
      </c>
      <c r="K666" s="258">
        <f>$D666*J666*_xlfn.XLOOKUP($I666,'Sample Size cal and results'!$B$24:$B$25,'Sample Size cal and results'!$H$24:$H$25)</f>
        <v>22.683272463766826</v>
      </c>
      <c r="L666" s="211">
        <f t="shared" si="124"/>
        <v>0.16164383561643836</v>
      </c>
      <c r="M666" s="211">
        <f>$D666*L666*_xlfn.XLOOKUP($I666,'Sample Size cal and results'!$B$24:$B$25,'Sample Size cal and results'!$I$24:$I$25)</f>
        <v>4.4873298783026003</v>
      </c>
      <c r="N666" s="214">
        <f t="shared" si="125"/>
        <v>27.170602342069426</v>
      </c>
      <c r="O666" s="225" t="str">
        <f t="shared" si="126"/>
        <v>7-8 years</v>
      </c>
      <c r="P666" s="226">
        <f t="shared" si="127"/>
        <v>0.44657534246575342</v>
      </c>
      <c r="Q666" s="227">
        <f>$D666*P666*_xlfn.XLOOKUP($O666,'Sample Size cal and results'!$B$26:$B$27,'Sample Size cal and results'!$I$26:$I$27)</f>
        <v>9.5756733102461347</v>
      </c>
      <c r="R666" s="330"/>
    </row>
    <row r="667" spans="1:18" ht="12.75">
      <c r="A667" s="99" t="s">
        <v>143</v>
      </c>
      <c r="B667" s="100">
        <v>41862</v>
      </c>
      <c r="C667" s="100">
        <f t="shared" si="117"/>
        <v>44418</v>
      </c>
      <c r="D667" s="209">
        <v>23</v>
      </c>
      <c r="E667" s="217">
        <f t="shared" si="118"/>
        <v>5.55</v>
      </c>
      <c r="F667" s="218">
        <f t="shared" si="119"/>
        <v>6.55</v>
      </c>
      <c r="G667" s="219">
        <f t="shared" si="120"/>
        <v>6.55</v>
      </c>
      <c r="H667" s="220">
        <f t="shared" si="121"/>
        <v>7.55</v>
      </c>
      <c r="I667" s="257" t="str">
        <f t="shared" si="122"/>
        <v>6-7 years</v>
      </c>
      <c r="J667" s="211">
        <f t="shared" si="123"/>
        <v>0.83835616438356164</v>
      </c>
      <c r="K667" s="258">
        <f>$D667*J667*_xlfn.XLOOKUP($I667,'Sample Size cal and results'!$B$24:$B$25,'Sample Size cal and results'!$H$24:$H$25)</f>
        <v>15.809553535352636</v>
      </c>
      <c r="L667" s="211">
        <f t="shared" si="124"/>
        <v>0.16164383561643836</v>
      </c>
      <c r="M667" s="211">
        <f>$D667*L667*_xlfn.XLOOKUP($I667,'Sample Size cal and results'!$B$24:$B$25,'Sample Size cal and results'!$I$24:$I$25)</f>
        <v>3.1275329454836305</v>
      </c>
      <c r="N667" s="214">
        <f t="shared" si="125"/>
        <v>18.937086480836268</v>
      </c>
      <c r="O667" s="225" t="str">
        <f t="shared" si="126"/>
        <v>7-8 years</v>
      </c>
      <c r="P667" s="226">
        <f t="shared" si="127"/>
        <v>0.44657534246575342</v>
      </c>
      <c r="Q667" s="227">
        <f>$D667*P667*_xlfn.XLOOKUP($O667,'Sample Size cal and results'!$B$26:$B$27,'Sample Size cal and results'!$I$26:$I$27)</f>
        <v>6.6739541253230641</v>
      </c>
      <c r="R667" s="330"/>
    </row>
    <row r="668" spans="1:18" ht="12.75">
      <c r="A668" s="99" t="s">
        <v>149</v>
      </c>
      <c r="B668" s="100">
        <v>41861</v>
      </c>
      <c r="C668" s="100">
        <f t="shared" si="117"/>
        <v>44417</v>
      </c>
      <c r="D668" s="209">
        <v>260</v>
      </c>
      <c r="E668" s="217">
        <f t="shared" si="118"/>
        <v>5.55</v>
      </c>
      <c r="F668" s="218">
        <f t="shared" si="119"/>
        <v>6.55</v>
      </c>
      <c r="G668" s="219">
        <f t="shared" si="120"/>
        <v>6.55</v>
      </c>
      <c r="H668" s="220">
        <f t="shared" si="121"/>
        <v>7.55</v>
      </c>
      <c r="I668" s="257" t="str">
        <f t="shared" si="122"/>
        <v>6-7 years</v>
      </c>
      <c r="J668" s="211">
        <f t="shared" si="123"/>
        <v>0.83835616438356164</v>
      </c>
      <c r="K668" s="258">
        <f>$D668*J668*_xlfn.XLOOKUP($I668,'Sample Size cal and results'!$B$24:$B$25,'Sample Size cal and results'!$H$24:$H$25)</f>
        <v>178.71669213876893</v>
      </c>
      <c r="L668" s="211">
        <f t="shared" si="124"/>
        <v>0.16164383561643836</v>
      </c>
      <c r="M668" s="211">
        <f>$D668*L668*_xlfn.XLOOKUP($I668,'Sample Size cal and results'!$B$24:$B$25,'Sample Size cal and results'!$I$24:$I$25)</f>
        <v>35.354720253293216</v>
      </c>
      <c r="N668" s="214">
        <f t="shared" si="125"/>
        <v>214.07141239206214</v>
      </c>
      <c r="O668" s="225" t="str">
        <f t="shared" si="126"/>
        <v>7-8 years</v>
      </c>
      <c r="P668" s="226">
        <f t="shared" si="127"/>
        <v>0.44383561643835617</v>
      </c>
      <c r="Q668" s="227">
        <f>$D668*P668*_xlfn.XLOOKUP($O668,'Sample Size cal and results'!$B$26:$B$27,'Sample Size cal and results'!$I$26:$I$27)</f>
        <v>74.981847895067347</v>
      </c>
      <c r="R668" s="330"/>
    </row>
    <row r="669" spans="1:18" ht="12.75">
      <c r="A669" s="99" t="s">
        <v>145</v>
      </c>
      <c r="B669" s="100">
        <v>41861</v>
      </c>
      <c r="C669" s="100">
        <f t="shared" si="117"/>
        <v>44417</v>
      </c>
      <c r="D669" s="209">
        <v>26</v>
      </c>
      <c r="E669" s="217">
        <f t="shared" si="118"/>
        <v>5.55</v>
      </c>
      <c r="F669" s="218">
        <f t="shared" si="119"/>
        <v>6.55</v>
      </c>
      <c r="G669" s="219">
        <f t="shared" si="120"/>
        <v>6.55</v>
      </c>
      <c r="H669" s="220">
        <f t="shared" si="121"/>
        <v>7.55</v>
      </c>
      <c r="I669" s="257" t="str">
        <f t="shared" si="122"/>
        <v>6-7 years</v>
      </c>
      <c r="J669" s="211">
        <f t="shared" si="123"/>
        <v>0.83835616438356164</v>
      </c>
      <c r="K669" s="258">
        <f>$D669*J669*_xlfn.XLOOKUP($I669,'Sample Size cal and results'!$B$24:$B$25,'Sample Size cal and results'!$H$24:$H$25)</f>
        <v>17.871669213876892</v>
      </c>
      <c r="L669" s="211">
        <f t="shared" si="124"/>
        <v>0.16164383561643836</v>
      </c>
      <c r="M669" s="211">
        <f>$D669*L669*_xlfn.XLOOKUP($I669,'Sample Size cal and results'!$B$24:$B$25,'Sample Size cal and results'!$I$24:$I$25)</f>
        <v>3.5354720253293217</v>
      </c>
      <c r="N669" s="214">
        <f t="shared" si="125"/>
        <v>21.407141239206215</v>
      </c>
      <c r="O669" s="225" t="str">
        <f t="shared" si="126"/>
        <v>7-8 years</v>
      </c>
      <c r="P669" s="226">
        <f t="shared" si="127"/>
        <v>0.44383561643835617</v>
      </c>
      <c r="Q669" s="227">
        <f>$D669*P669*_xlfn.XLOOKUP($O669,'Sample Size cal and results'!$B$26:$B$27,'Sample Size cal and results'!$I$26:$I$27)</f>
        <v>7.4981847895067348</v>
      </c>
      <c r="R669" s="330"/>
    </row>
    <row r="670" spans="1:18" ht="12.75">
      <c r="A670" s="99" t="s">
        <v>143</v>
      </c>
      <c r="B670" s="100">
        <v>41861</v>
      </c>
      <c r="C670" s="100">
        <f t="shared" si="117"/>
        <v>44417</v>
      </c>
      <c r="D670" s="209">
        <v>25</v>
      </c>
      <c r="E670" s="217">
        <f t="shared" si="118"/>
        <v>5.55</v>
      </c>
      <c r="F670" s="218">
        <f t="shared" si="119"/>
        <v>6.55</v>
      </c>
      <c r="G670" s="219">
        <f t="shared" si="120"/>
        <v>6.55</v>
      </c>
      <c r="H670" s="220">
        <f t="shared" si="121"/>
        <v>7.55</v>
      </c>
      <c r="I670" s="257" t="str">
        <f t="shared" si="122"/>
        <v>6-7 years</v>
      </c>
      <c r="J670" s="211">
        <f t="shared" si="123"/>
        <v>0.83835616438356164</v>
      </c>
      <c r="K670" s="258">
        <f>$D670*J670*_xlfn.XLOOKUP($I670,'Sample Size cal and results'!$B$24:$B$25,'Sample Size cal and results'!$H$24:$H$25)</f>
        <v>17.184297321035473</v>
      </c>
      <c r="L670" s="211">
        <f t="shared" si="124"/>
        <v>0.16164383561643836</v>
      </c>
      <c r="M670" s="211">
        <f>$D670*L670*_xlfn.XLOOKUP($I670,'Sample Size cal and results'!$B$24:$B$25,'Sample Size cal and results'!$I$24:$I$25)</f>
        <v>3.3994923320474242</v>
      </c>
      <c r="N670" s="214">
        <f t="shared" si="125"/>
        <v>20.583789653082896</v>
      </c>
      <c r="O670" s="225" t="str">
        <f t="shared" si="126"/>
        <v>7-8 years</v>
      </c>
      <c r="P670" s="226">
        <f t="shared" si="127"/>
        <v>0.44383561643835617</v>
      </c>
      <c r="Q670" s="227">
        <f>$D670*P670*_xlfn.XLOOKUP($O670,'Sample Size cal and results'!$B$26:$B$27,'Sample Size cal and results'!$I$26:$I$27)</f>
        <v>7.2097930668333987</v>
      </c>
      <c r="R670" s="330"/>
    </row>
    <row r="671" spans="1:18" ht="12.75">
      <c r="A671" s="99" t="s">
        <v>149</v>
      </c>
      <c r="B671" s="100">
        <v>41860</v>
      </c>
      <c r="C671" s="100">
        <f t="shared" si="117"/>
        <v>44416</v>
      </c>
      <c r="D671" s="209">
        <v>212</v>
      </c>
      <c r="E671" s="217">
        <f t="shared" si="118"/>
        <v>5.56</v>
      </c>
      <c r="F671" s="218">
        <f t="shared" si="119"/>
        <v>6.55</v>
      </c>
      <c r="G671" s="219">
        <f t="shared" si="120"/>
        <v>6.55</v>
      </c>
      <c r="H671" s="220">
        <f t="shared" si="121"/>
        <v>7.55</v>
      </c>
      <c r="I671" s="257" t="str">
        <f t="shared" si="122"/>
        <v>6-7 years</v>
      </c>
      <c r="J671" s="211">
        <f t="shared" si="123"/>
        <v>0.83835616438356164</v>
      </c>
      <c r="K671" s="258">
        <f>$D671*J671*_xlfn.XLOOKUP($I671,'Sample Size cal and results'!$B$24:$B$25,'Sample Size cal and results'!$H$24:$H$25)</f>
        <v>145.72284128238081</v>
      </c>
      <c r="L671" s="211">
        <f t="shared" si="124"/>
        <v>0.16164383561643836</v>
      </c>
      <c r="M671" s="211">
        <f>$D671*L671*_xlfn.XLOOKUP($I671,'Sample Size cal and results'!$B$24:$B$25,'Sample Size cal and results'!$I$24:$I$25)</f>
        <v>28.82769497576216</v>
      </c>
      <c r="N671" s="214">
        <f t="shared" si="125"/>
        <v>174.55053625814298</v>
      </c>
      <c r="O671" s="225" t="str">
        <f t="shared" si="126"/>
        <v>7-8 years</v>
      </c>
      <c r="P671" s="226">
        <f t="shared" si="127"/>
        <v>0.44109589041095892</v>
      </c>
      <c r="Q671" s="227">
        <f>$D671*P671*_xlfn.XLOOKUP($O671,'Sample Size cal and results'!$B$26:$B$27,'Sample Size cal and results'!$I$26:$I$27)</f>
        <v>60.761643693125322</v>
      </c>
      <c r="R671" s="330"/>
    </row>
    <row r="672" spans="1:18" ht="12.75">
      <c r="A672" s="99" t="s">
        <v>145</v>
      </c>
      <c r="B672" s="100">
        <v>41860</v>
      </c>
      <c r="C672" s="100">
        <f t="shared" si="117"/>
        <v>44416</v>
      </c>
      <c r="D672" s="209">
        <v>27</v>
      </c>
      <c r="E672" s="217">
        <f t="shared" si="118"/>
        <v>5.56</v>
      </c>
      <c r="F672" s="218">
        <f t="shared" si="119"/>
        <v>6.55</v>
      </c>
      <c r="G672" s="219">
        <f t="shared" si="120"/>
        <v>6.55</v>
      </c>
      <c r="H672" s="220">
        <f t="shared" si="121"/>
        <v>7.55</v>
      </c>
      <c r="I672" s="257" t="str">
        <f t="shared" si="122"/>
        <v>6-7 years</v>
      </c>
      <c r="J672" s="211">
        <f t="shared" si="123"/>
        <v>0.83835616438356164</v>
      </c>
      <c r="K672" s="258">
        <f>$D672*J672*_xlfn.XLOOKUP($I672,'Sample Size cal and results'!$B$24:$B$25,'Sample Size cal and results'!$H$24:$H$25)</f>
        <v>18.559041106718311</v>
      </c>
      <c r="L672" s="211">
        <f t="shared" si="124"/>
        <v>0.16164383561643836</v>
      </c>
      <c r="M672" s="211">
        <f>$D672*L672*_xlfn.XLOOKUP($I672,'Sample Size cal and results'!$B$24:$B$25,'Sample Size cal and results'!$I$24:$I$25)</f>
        <v>3.6714517186112183</v>
      </c>
      <c r="N672" s="214">
        <f t="shared" si="125"/>
        <v>22.230492825329531</v>
      </c>
      <c r="O672" s="225" t="str">
        <f t="shared" si="126"/>
        <v>7-8 years</v>
      </c>
      <c r="P672" s="226">
        <f t="shared" si="127"/>
        <v>0.44109589041095892</v>
      </c>
      <c r="Q672" s="227">
        <f>$D672*P672*_xlfn.XLOOKUP($O672,'Sample Size cal and results'!$B$26:$B$27,'Sample Size cal and results'!$I$26:$I$27)</f>
        <v>7.7385112250678478</v>
      </c>
      <c r="R672" s="330"/>
    </row>
    <row r="673" spans="1:18" ht="12.75">
      <c r="A673" s="99" t="s">
        <v>143</v>
      </c>
      <c r="B673" s="100">
        <v>41860</v>
      </c>
      <c r="C673" s="100">
        <f t="shared" si="117"/>
        <v>44416</v>
      </c>
      <c r="D673" s="209">
        <v>15</v>
      </c>
      <c r="E673" s="217">
        <f t="shared" si="118"/>
        <v>5.56</v>
      </c>
      <c r="F673" s="218">
        <f t="shared" si="119"/>
        <v>6.55</v>
      </c>
      <c r="G673" s="219">
        <f t="shared" si="120"/>
        <v>6.55</v>
      </c>
      <c r="H673" s="220">
        <f t="shared" si="121"/>
        <v>7.55</v>
      </c>
      <c r="I673" s="257" t="str">
        <f t="shared" si="122"/>
        <v>6-7 years</v>
      </c>
      <c r="J673" s="211">
        <f t="shared" si="123"/>
        <v>0.83835616438356164</v>
      </c>
      <c r="K673" s="258">
        <f>$D673*J673*_xlfn.XLOOKUP($I673,'Sample Size cal and results'!$B$24:$B$25,'Sample Size cal and results'!$H$24:$H$25)</f>
        <v>10.310578392621284</v>
      </c>
      <c r="L673" s="211">
        <f t="shared" si="124"/>
        <v>0.16164383561643836</v>
      </c>
      <c r="M673" s="211">
        <f>$D673*L673*_xlfn.XLOOKUP($I673,'Sample Size cal and results'!$B$24:$B$25,'Sample Size cal and results'!$I$24:$I$25)</f>
        <v>2.0396953992284548</v>
      </c>
      <c r="N673" s="214">
        <f t="shared" si="125"/>
        <v>12.350273791849739</v>
      </c>
      <c r="O673" s="225" t="str">
        <f t="shared" si="126"/>
        <v>7-8 years</v>
      </c>
      <c r="P673" s="226">
        <f t="shared" si="127"/>
        <v>0.44109589041095892</v>
      </c>
      <c r="Q673" s="227">
        <f>$D673*P673*_xlfn.XLOOKUP($O673,'Sample Size cal and results'!$B$26:$B$27,'Sample Size cal and results'!$I$26:$I$27)</f>
        <v>4.2991729028154708</v>
      </c>
      <c r="R673" s="330"/>
    </row>
    <row r="674" spans="1:18" ht="12.75">
      <c r="A674" s="99" t="s">
        <v>149</v>
      </c>
      <c r="B674" s="100">
        <v>41859</v>
      </c>
      <c r="C674" s="100">
        <f t="shared" si="117"/>
        <v>44415</v>
      </c>
      <c r="D674" s="209">
        <v>204</v>
      </c>
      <c r="E674" s="217">
        <f t="shared" si="118"/>
        <v>5.56</v>
      </c>
      <c r="F674" s="218">
        <f t="shared" si="119"/>
        <v>6.55</v>
      </c>
      <c r="G674" s="219">
        <f t="shared" si="120"/>
        <v>6.56</v>
      </c>
      <c r="H674" s="220">
        <f t="shared" si="121"/>
        <v>7.55</v>
      </c>
      <c r="I674" s="257" t="str">
        <f t="shared" si="122"/>
        <v>6-7 years</v>
      </c>
      <c r="J674" s="211">
        <f t="shared" si="123"/>
        <v>0.83835616438356164</v>
      </c>
      <c r="K674" s="258">
        <f>$D674*J674*_xlfn.XLOOKUP($I674,'Sample Size cal and results'!$B$24:$B$25,'Sample Size cal and results'!$H$24:$H$25)</f>
        <v>140.22386613964946</v>
      </c>
      <c r="L674" s="211">
        <f t="shared" si="124"/>
        <v>0.16164383561643836</v>
      </c>
      <c r="M674" s="211">
        <f>$D674*L674*_xlfn.XLOOKUP($I674,'Sample Size cal and results'!$B$24:$B$25,'Sample Size cal and results'!$I$24:$I$25)</f>
        <v>27.739857429506987</v>
      </c>
      <c r="N674" s="214">
        <f t="shared" si="125"/>
        <v>167.96372356915646</v>
      </c>
      <c r="O674" s="225" t="str">
        <f t="shared" si="126"/>
        <v>7-8 years</v>
      </c>
      <c r="P674" s="226">
        <f t="shared" si="127"/>
        <v>0.43835616438356162</v>
      </c>
      <c r="Q674" s="227">
        <f>$D674*P674*_xlfn.XLOOKUP($O674,'Sample Size cal and results'!$B$26:$B$27,'Sample Size cal and results'!$I$26:$I$27)</f>
        <v>58.105591531220263</v>
      </c>
      <c r="R674" s="330"/>
    </row>
    <row r="675" spans="1:18" ht="12.75">
      <c r="A675" s="99" t="s">
        <v>143</v>
      </c>
      <c r="B675" s="100">
        <v>41859</v>
      </c>
      <c r="C675" s="100">
        <f t="shared" si="117"/>
        <v>44415</v>
      </c>
      <c r="D675" s="209">
        <v>20</v>
      </c>
      <c r="E675" s="217">
        <f t="shared" si="118"/>
        <v>5.56</v>
      </c>
      <c r="F675" s="218">
        <f t="shared" si="119"/>
        <v>6.55</v>
      </c>
      <c r="G675" s="219">
        <f t="shared" si="120"/>
        <v>6.56</v>
      </c>
      <c r="H675" s="220">
        <f t="shared" si="121"/>
        <v>7.55</v>
      </c>
      <c r="I675" s="257" t="str">
        <f t="shared" si="122"/>
        <v>6-7 years</v>
      </c>
      <c r="J675" s="211">
        <f t="shared" si="123"/>
        <v>0.83835616438356164</v>
      </c>
      <c r="K675" s="258">
        <f>$D675*J675*_xlfn.XLOOKUP($I675,'Sample Size cal and results'!$B$24:$B$25,'Sample Size cal and results'!$H$24:$H$25)</f>
        <v>13.747437856828379</v>
      </c>
      <c r="L675" s="211">
        <f t="shared" si="124"/>
        <v>0.16164383561643836</v>
      </c>
      <c r="M675" s="211">
        <f>$D675*L675*_xlfn.XLOOKUP($I675,'Sample Size cal and results'!$B$24:$B$25,'Sample Size cal and results'!$I$24:$I$25)</f>
        <v>2.7195938656379397</v>
      </c>
      <c r="N675" s="214">
        <f t="shared" si="125"/>
        <v>16.467031722466317</v>
      </c>
      <c r="O675" s="225" t="str">
        <f t="shared" si="126"/>
        <v>7-8 years</v>
      </c>
      <c r="P675" s="226">
        <f t="shared" si="127"/>
        <v>0.43835616438356162</v>
      </c>
      <c r="Q675" s="227">
        <f>$D675*P675*_xlfn.XLOOKUP($O675,'Sample Size cal and results'!$B$26:$B$27,'Sample Size cal and results'!$I$26:$I$27)</f>
        <v>5.6966266207078693</v>
      </c>
      <c r="R675" s="330"/>
    </row>
    <row r="676" spans="1:18" ht="12.75">
      <c r="A676" s="99" t="s">
        <v>145</v>
      </c>
      <c r="B676" s="100">
        <v>41859</v>
      </c>
      <c r="C676" s="100">
        <f t="shared" si="117"/>
        <v>44415</v>
      </c>
      <c r="D676" s="209">
        <v>19</v>
      </c>
      <c r="E676" s="217">
        <f t="shared" si="118"/>
        <v>5.56</v>
      </c>
      <c r="F676" s="218">
        <f t="shared" si="119"/>
        <v>6.55</v>
      </c>
      <c r="G676" s="219">
        <f t="shared" si="120"/>
        <v>6.56</v>
      </c>
      <c r="H676" s="220">
        <f t="shared" si="121"/>
        <v>7.55</v>
      </c>
      <c r="I676" s="257" t="str">
        <f t="shared" si="122"/>
        <v>6-7 years</v>
      </c>
      <c r="J676" s="211">
        <f t="shared" si="123"/>
        <v>0.83835616438356164</v>
      </c>
      <c r="K676" s="258">
        <f>$D676*J676*_xlfn.XLOOKUP($I676,'Sample Size cal and results'!$B$24:$B$25,'Sample Size cal and results'!$H$24:$H$25)</f>
        <v>13.060065963986959</v>
      </c>
      <c r="L676" s="211">
        <f t="shared" si="124"/>
        <v>0.16164383561643836</v>
      </c>
      <c r="M676" s="211">
        <f>$D676*L676*_xlfn.XLOOKUP($I676,'Sample Size cal and results'!$B$24:$B$25,'Sample Size cal and results'!$I$24:$I$25)</f>
        <v>2.5836141723560426</v>
      </c>
      <c r="N676" s="214">
        <f t="shared" si="125"/>
        <v>15.643680136343002</v>
      </c>
      <c r="O676" s="225" t="str">
        <f t="shared" si="126"/>
        <v>7-8 years</v>
      </c>
      <c r="P676" s="226">
        <f t="shared" si="127"/>
        <v>0.43835616438356162</v>
      </c>
      <c r="Q676" s="227">
        <f>$D676*P676*_xlfn.XLOOKUP($O676,'Sample Size cal and results'!$B$26:$B$27,'Sample Size cal and results'!$I$26:$I$27)</f>
        <v>5.4117952896724759</v>
      </c>
      <c r="R676" s="330"/>
    </row>
    <row r="677" spans="1:18" ht="12.75">
      <c r="A677" s="99" t="s">
        <v>149</v>
      </c>
      <c r="B677" s="100">
        <v>41858</v>
      </c>
      <c r="C677" s="100">
        <f t="shared" si="117"/>
        <v>44414</v>
      </c>
      <c r="D677" s="209">
        <v>217</v>
      </c>
      <c r="E677" s="217">
        <f t="shared" si="118"/>
        <v>5.56</v>
      </c>
      <c r="F677" s="218">
        <f t="shared" si="119"/>
        <v>6.56</v>
      </c>
      <c r="G677" s="219">
        <f t="shared" si="120"/>
        <v>6.56</v>
      </c>
      <c r="H677" s="220">
        <f t="shared" si="121"/>
        <v>7.56</v>
      </c>
      <c r="I677" s="257" t="str">
        <f t="shared" si="122"/>
        <v>6-7 years</v>
      </c>
      <c r="J677" s="211">
        <f t="shared" si="123"/>
        <v>0.83835616438356164</v>
      </c>
      <c r="K677" s="258">
        <f>$D677*J677*_xlfn.XLOOKUP($I677,'Sample Size cal and results'!$B$24:$B$25,'Sample Size cal and results'!$H$24:$H$25)</f>
        <v>149.15970074658793</v>
      </c>
      <c r="L677" s="211">
        <f t="shared" si="124"/>
        <v>0.16164383561643836</v>
      </c>
      <c r="M677" s="211">
        <f>$D677*L677*_xlfn.XLOOKUP($I677,'Sample Size cal and results'!$B$24:$B$25,'Sample Size cal and results'!$I$24:$I$25)</f>
        <v>29.507593442171643</v>
      </c>
      <c r="N677" s="214">
        <f t="shared" si="125"/>
        <v>178.66729418875957</v>
      </c>
      <c r="O677" s="225" t="str">
        <f t="shared" si="126"/>
        <v>7-8 years</v>
      </c>
      <c r="P677" s="226">
        <f t="shared" si="127"/>
        <v>0.43561643835616437</v>
      </c>
      <c r="Q677" s="227">
        <f>$D677*P677*_xlfn.XLOOKUP($O677,'Sample Size cal and results'!$B$26:$B$27,'Sample Size cal and results'!$I$26:$I$27)</f>
        <v>61.422096341963631</v>
      </c>
      <c r="R677" s="330"/>
    </row>
    <row r="678" spans="1:18" ht="12.75">
      <c r="A678" s="99" t="s">
        <v>143</v>
      </c>
      <c r="B678" s="100">
        <v>41858</v>
      </c>
      <c r="C678" s="100">
        <f t="shared" si="117"/>
        <v>44414</v>
      </c>
      <c r="D678" s="209">
        <v>22</v>
      </c>
      <c r="E678" s="217">
        <f t="shared" si="118"/>
        <v>5.56</v>
      </c>
      <c r="F678" s="218">
        <f t="shared" si="119"/>
        <v>6.56</v>
      </c>
      <c r="G678" s="219">
        <f t="shared" si="120"/>
        <v>6.56</v>
      </c>
      <c r="H678" s="220">
        <f t="shared" si="121"/>
        <v>7.56</v>
      </c>
      <c r="I678" s="257" t="str">
        <f t="shared" si="122"/>
        <v>6-7 years</v>
      </c>
      <c r="J678" s="211">
        <f t="shared" si="123"/>
        <v>0.83835616438356164</v>
      </c>
      <c r="K678" s="258">
        <f>$D678*J678*_xlfn.XLOOKUP($I678,'Sample Size cal and results'!$B$24:$B$25,'Sample Size cal and results'!$H$24:$H$25)</f>
        <v>15.122181642511217</v>
      </c>
      <c r="L678" s="211">
        <f t="shared" si="124"/>
        <v>0.16164383561643836</v>
      </c>
      <c r="M678" s="211">
        <f>$D678*L678*_xlfn.XLOOKUP($I678,'Sample Size cal and results'!$B$24:$B$25,'Sample Size cal and results'!$I$24:$I$25)</f>
        <v>2.9915532522017334</v>
      </c>
      <c r="N678" s="214">
        <f t="shared" si="125"/>
        <v>18.113734894712952</v>
      </c>
      <c r="O678" s="225" t="str">
        <f t="shared" si="126"/>
        <v>7-8 years</v>
      </c>
      <c r="P678" s="226">
        <f t="shared" si="127"/>
        <v>0.43561643835616437</v>
      </c>
      <c r="Q678" s="227">
        <f>$D678*P678*_xlfn.XLOOKUP($O678,'Sample Size cal and results'!$B$26:$B$27,'Sample Size cal and results'!$I$26:$I$27)</f>
        <v>6.2271249747612893</v>
      </c>
      <c r="R678" s="330"/>
    </row>
    <row r="679" spans="1:18" ht="12.75">
      <c r="A679" s="99" t="s">
        <v>145</v>
      </c>
      <c r="B679" s="100">
        <v>41858</v>
      </c>
      <c r="C679" s="100">
        <f t="shared" si="117"/>
        <v>44414</v>
      </c>
      <c r="D679" s="209">
        <v>20</v>
      </c>
      <c r="E679" s="217">
        <f t="shared" si="118"/>
        <v>5.56</v>
      </c>
      <c r="F679" s="218">
        <f t="shared" si="119"/>
        <v>6.56</v>
      </c>
      <c r="G679" s="219">
        <f t="shared" si="120"/>
        <v>6.56</v>
      </c>
      <c r="H679" s="220">
        <f t="shared" si="121"/>
        <v>7.56</v>
      </c>
      <c r="I679" s="257" t="str">
        <f t="shared" si="122"/>
        <v>6-7 years</v>
      </c>
      <c r="J679" s="211">
        <f t="shared" si="123"/>
        <v>0.83835616438356164</v>
      </c>
      <c r="K679" s="258">
        <f>$D679*J679*_xlfn.XLOOKUP($I679,'Sample Size cal and results'!$B$24:$B$25,'Sample Size cal and results'!$H$24:$H$25)</f>
        <v>13.747437856828379</v>
      </c>
      <c r="L679" s="211">
        <f t="shared" si="124"/>
        <v>0.16164383561643836</v>
      </c>
      <c r="M679" s="211">
        <f>$D679*L679*_xlfn.XLOOKUP($I679,'Sample Size cal and results'!$B$24:$B$25,'Sample Size cal and results'!$I$24:$I$25)</f>
        <v>2.7195938656379397</v>
      </c>
      <c r="N679" s="214">
        <f t="shared" si="125"/>
        <v>16.467031722466317</v>
      </c>
      <c r="O679" s="225" t="str">
        <f t="shared" si="126"/>
        <v>7-8 years</v>
      </c>
      <c r="P679" s="226">
        <f t="shared" si="127"/>
        <v>0.43561643835616437</v>
      </c>
      <c r="Q679" s="227">
        <f>$D679*P679*_xlfn.XLOOKUP($O679,'Sample Size cal and results'!$B$26:$B$27,'Sample Size cal and results'!$I$26:$I$27)</f>
        <v>5.6610227043284453</v>
      </c>
      <c r="R679" s="330"/>
    </row>
    <row r="680" spans="1:18" ht="12.75">
      <c r="A680" s="99" t="s">
        <v>149</v>
      </c>
      <c r="B680" s="100">
        <v>41857</v>
      </c>
      <c r="C680" s="100">
        <f t="shared" si="117"/>
        <v>44413</v>
      </c>
      <c r="D680" s="209">
        <v>167</v>
      </c>
      <c r="E680" s="217">
        <f t="shared" si="118"/>
        <v>5.56</v>
      </c>
      <c r="F680" s="218">
        <f t="shared" si="119"/>
        <v>6.56</v>
      </c>
      <c r="G680" s="219">
        <f t="shared" si="120"/>
        <v>6.56</v>
      </c>
      <c r="H680" s="220">
        <f t="shared" si="121"/>
        <v>7.56</v>
      </c>
      <c r="I680" s="257" t="str">
        <f t="shared" si="122"/>
        <v>6-7 years</v>
      </c>
      <c r="J680" s="211">
        <f t="shared" si="123"/>
        <v>0.83835616438356164</v>
      </c>
      <c r="K680" s="258">
        <f>$D680*J680*_xlfn.XLOOKUP($I680,'Sample Size cal and results'!$B$24:$B$25,'Sample Size cal and results'!$H$24:$H$25)</f>
        <v>114.79110610451697</v>
      </c>
      <c r="L680" s="211">
        <f t="shared" si="124"/>
        <v>0.16164383561643836</v>
      </c>
      <c r="M680" s="211">
        <f>$D680*L680*_xlfn.XLOOKUP($I680,'Sample Size cal and results'!$B$24:$B$25,'Sample Size cal and results'!$I$24:$I$25)</f>
        <v>22.708608778076798</v>
      </c>
      <c r="N680" s="214">
        <f t="shared" si="125"/>
        <v>137.49971488259376</v>
      </c>
      <c r="O680" s="225" t="str">
        <f t="shared" si="126"/>
        <v>7-8 years</v>
      </c>
      <c r="P680" s="226">
        <f t="shared" si="127"/>
        <v>0.43287671232876712</v>
      </c>
      <c r="Q680" s="227">
        <f>$D680*P680*_xlfn.XLOOKUP($O680,'Sample Size cal and results'!$B$26:$B$27,'Sample Size cal and results'!$I$26:$I$27)</f>
        <v>46.972246879374325</v>
      </c>
      <c r="R680" s="330"/>
    </row>
    <row r="681" spans="1:18" ht="12.75">
      <c r="A681" s="99" t="s">
        <v>145</v>
      </c>
      <c r="B681" s="100">
        <v>41857</v>
      </c>
      <c r="C681" s="100">
        <f t="shared" si="117"/>
        <v>44413</v>
      </c>
      <c r="D681" s="209">
        <v>21</v>
      </c>
      <c r="E681" s="217">
        <f t="shared" si="118"/>
        <v>5.56</v>
      </c>
      <c r="F681" s="218">
        <f t="shared" si="119"/>
        <v>6.56</v>
      </c>
      <c r="G681" s="219">
        <f t="shared" si="120"/>
        <v>6.56</v>
      </c>
      <c r="H681" s="220">
        <f t="shared" si="121"/>
        <v>7.56</v>
      </c>
      <c r="I681" s="257" t="str">
        <f t="shared" si="122"/>
        <v>6-7 years</v>
      </c>
      <c r="J681" s="211">
        <f t="shared" si="123"/>
        <v>0.83835616438356164</v>
      </c>
      <c r="K681" s="258">
        <f>$D681*J681*_xlfn.XLOOKUP($I681,'Sample Size cal and results'!$B$24:$B$25,'Sample Size cal and results'!$H$24:$H$25)</f>
        <v>14.434809749669798</v>
      </c>
      <c r="L681" s="211">
        <f t="shared" si="124"/>
        <v>0.16164383561643836</v>
      </c>
      <c r="M681" s="211">
        <f>$D681*L681*_xlfn.XLOOKUP($I681,'Sample Size cal and results'!$B$24:$B$25,'Sample Size cal and results'!$I$24:$I$25)</f>
        <v>2.8555735589198368</v>
      </c>
      <c r="N681" s="214">
        <f t="shared" si="125"/>
        <v>17.290383308589636</v>
      </c>
      <c r="O681" s="225" t="str">
        <f t="shared" si="126"/>
        <v>7-8 years</v>
      </c>
      <c r="P681" s="226">
        <f t="shared" si="127"/>
        <v>0.43287671232876712</v>
      </c>
      <c r="Q681" s="227">
        <f>$D681*P681*_xlfn.XLOOKUP($O681,'Sample Size cal and results'!$B$26:$B$27,'Sample Size cal and results'!$I$26:$I$27)</f>
        <v>5.9066897273464729</v>
      </c>
      <c r="R681" s="330"/>
    </row>
    <row r="682" spans="1:18" ht="12.75">
      <c r="A682" s="99" t="s">
        <v>143</v>
      </c>
      <c r="B682" s="100">
        <v>41857</v>
      </c>
      <c r="C682" s="100">
        <f t="shared" si="117"/>
        <v>44413</v>
      </c>
      <c r="D682" s="209">
        <v>9</v>
      </c>
      <c r="E682" s="217">
        <f t="shared" si="118"/>
        <v>5.56</v>
      </c>
      <c r="F682" s="218">
        <f t="shared" si="119"/>
        <v>6.56</v>
      </c>
      <c r="G682" s="219">
        <f t="shared" si="120"/>
        <v>6.56</v>
      </c>
      <c r="H682" s="220">
        <f t="shared" si="121"/>
        <v>7.56</v>
      </c>
      <c r="I682" s="257" t="str">
        <f t="shared" si="122"/>
        <v>6-7 years</v>
      </c>
      <c r="J682" s="211">
        <f t="shared" si="123"/>
        <v>0.83835616438356164</v>
      </c>
      <c r="K682" s="258">
        <f>$D682*J682*_xlfn.XLOOKUP($I682,'Sample Size cal and results'!$B$24:$B$25,'Sample Size cal and results'!$H$24:$H$25)</f>
        <v>6.186347035572771</v>
      </c>
      <c r="L682" s="211">
        <f t="shared" si="124"/>
        <v>0.16164383561643836</v>
      </c>
      <c r="M682" s="211">
        <f>$D682*L682*_xlfn.XLOOKUP($I682,'Sample Size cal and results'!$B$24:$B$25,'Sample Size cal and results'!$I$24:$I$25)</f>
        <v>1.223817239537073</v>
      </c>
      <c r="N682" s="214">
        <f t="shared" si="125"/>
        <v>7.4101642751098442</v>
      </c>
      <c r="O682" s="225" t="str">
        <f t="shared" si="126"/>
        <v>7-8 years</v>
      </c>
      <c r="P682" s="226">
        <f t="shared" si="127"/>
        <v>0.43287671232876712</v>
      </c>
      <c r="Q682" s="227">
        <f>$D682*P682*_xlfn.XLOOKUP($O682,'Sample Size cal and results'!$B$26:$B$27,'Sample Size cal and results'!$I$26:$I$27)</f>
        <v>2.5314384545770596</v>
      </c>
      <c r="R682" s="330"/>
    </row>
    <row r="683" spans="1:18" ht="12.75">
      <c r="A683" s="99" t="s">
        <v>149</v>
      </c>
      <c r="B683" s="100">
        <v>41856</v>
      </c>
      <c r="C683" s="100">
        <f t="shared" si="117"/>
        <v>44412</v>
      </c>
      <c r="D683" s="209">
        <v>201</v>
      </c>
      <c r="E683" s="217">
        <f t="shared" si="118"/>
        <v>5.57</v>
      </c>
      <c r="F683" s="218">
        <f t="shared" si="119"/>
        <v>6.56</v>
      </c>
      <c r="G683" s="219">
        <f t="shared" si="120"/>
        <v>6.57</v>
      </c>
      <c r="H683" s="220">
        <f t="shared" si="121"/>
        <v>7.56</v>
      </c>
      <c r="I683" s="257" t="str">
        <f t="shared" si="122"/>
        <v>6-7 years</v>
      </c>
      <c r="J683" s="211">
        <f t="shared" si="123"/>
        <v>0.83835616438356164</v>
      </c>
      <c r="K683" s="258">
        <f>$D683*J683*_xlfn.XLOOKUP($I683,'Sample Size cal and results'!$B$24:$B$25,'Sample Size cal and results'!$H$24:$H$25)</f>
        <v>138.16175046112522</v>
      </c>
      <c r="L683" s="211">
        <f t="shared" si="124"/>
        <v>0.16164383561643836</v>
      </c>
      <c r="M683" s="211">
        <f>$D683*L683*_xlfn.XLOOKUP($I683,'Sample Size cal and results'!$B$24:$B$25,'Sample Size cal and results'!$I$24:$I$25)</f>
        <v>27.33191834966129</v>
      </c>
      <c r="N683" s="214">
        <f t="shared" si="125"/>
        <v>165.49366881078652</v>
      </c>
      <c r="O683" s="225" t="str">
        <f t="shared" si="126"/>
        <v>7-8 years</v>
      </c>
      <c r="P683" s="226">
        <f t="shared" si="127"/>
        <v>0.43013698630136987</v>
      </c>
      <c r="Q683" s="227">
        <f>$D683*P683*_xlfn.XLOOKUP($O683,'Sample Size cal and results'!$B$26:$B$27,'Sample Size cal and results'!$I$26:$I$27)</f>
        <v>56.177639459274459</v>
      </c>
      <c r="R683" s="330"/>
    </row>
    <row r="684" spans="1:18" ht="12.75">
      <c r="A684" s="99" t="s">
        <v>145</v>
      </c>
      <c r="B684" s="100">
        <v>41856</v>
      </c>
      <c r="C684" s="100">
        <f t="shared" si="117"/>
        <v>44412</v>
      </c>
      <c r="D684" s="209">
        <v>36</v>
      </c>
      <c r="E684" s="217">
        <f t="shared" si="118"/>
        <v>5.57</v>
      </c>
      <c r="F684" s="218">
        <f t="shared" si="119"/>
        <v>6.56</v>
      </c>
      <c r="G684" s="219">
        <f t="shared" si="120"/>
        <v>6.57</v>
      </c>
      <c r="H684" s="220">
        <f t="shared" si="121"/>
        <v>7.56</v>
      </c>
      <c r="I684" s="257" t="str">
        <f t="shared" si="122"/>
        <v>6-7 years</v>
      </c>
      <c r="J684" s="211">
        <f t="shared" si="123"/>
        <v>0.83835616438356164</v>
      </c>
      <c r="K684" s="258">
        <f>$D684*J684*_xlfn.XLOOKUP($I684,'Sample Size cal and results'!$B$24:$B$25,'Sample Size cal and results'!$H$24:$H$25)</f>
        <v>24.745388142291084</v>
      </c>
      <c r="L684" s="211">
        <f t="shared" si="124"/>
        <v>0.16164383561643836</v>
      </c>
      <c r="M684" s="211">
        <f>$D684*L684*_xlfn.XLOOKUP($I684,'Sample Size cal and results'!$B$24:$B$25,'Sample Size cal and results'!$I$24:$I$25)</f>
        <v>4.895268958148292</v>
      </c>
      <c r="N684" s="214">
        <f t="shared" si="125"/>
        <v>29.640657100439377</v>
      </c>
      <c r="O684" s="225" t="str">
        <f t="shared" si="126"/>
        <v>7-8 years</v>
      </c>
      <c r="P684" s="226">
        <f t="shared" si="127"/>
        <v>0.43013698630136987</v>
      </c>
      <c r="Q684" s="227">
        <f>$D684*P684*_xlfn.XLOOKUP($O684,'Sample Size cal and results'!$B$26:$B$27,'Sample Size cal and results'!$I$26:$I$27)</f>
        <v>10.061666768825276</v>
      </c>
      <c r="R684" s="330"/>
    </row>
    <row r="685" spans="1:18" ht="12.75">
      <c r="A685" s="99" t="s">
        <v>143</v>
      </c>
      <c r="B685" s="100">
        <v>41856</v>
      </c>
      <c r="C685" s="100">
        <f t="shared" si="117"/>
        <v>44412</v>
      </c>
      <c r="D685" s="209">
        <v>22</v>
      </c>
      <c r="E685" s="217">
        <f t="shared" si="118"/>
        <v>5.57</v>
      </c>
      <c r="F685" s="218">
        <f t="shared" si="119"/>
        <v>6.56</v>
      </c>
      <c r="G685" s="219">
        <f t="shared" si="120"/>
        <v>6.57</v>
      </c>
      <c r="H685" s="220">
        <f t="shared" si="121"/>
        <v>7.56</v>
      </c>
      <c r="I685" s="257" t="str">
        <f t="shared" si="122"/>
        <v>6-7 years</v>
      </c>
      <c r="J685" s="211">
        <f t="shared" si="123"/>
        <v>0.83835616438356164</v>
      </c>
      <c r="K685" s="258">
        <f>$D685*J685*_xlfn.XLOOKUP($I685,'Sample Size cal and results'!$B$24:$B$25,'Sample Size cal and results'!$H$24:$H$25)</f>
        <v>15.122181642511217</v>
      </c>
      <c r="L685" s="211">
        <f t="shared" si="124"/>
        <v>0.16164383561643836</v>
      </c>
      <c r="M685" s="211">
        <f>$D685*L685*_xlfn.XLOOKUP($I685,'Sample Size cal and results'!$B$24:$B$25,'Sample Size cal and results'!$I$24:$I$25)</f>
        <v>2.9915532522017334</v>
      </c>
      <c r="N685" s="214">
        <f t="shared" si="125"/>
        <v>18.113734894712952</v>
      </c>
      <c r="O685" s="225" t="str">
        <f t="shared" si="126"/>
        <v>7-8 years</v>
      </c>
      <c r="P685" s="226">
        <f t="shared" si="127"/>
        <v>0.43013698630136987</v>
      </c>
      <c r="Q685" s="227">
        <f>$D685*P685*_xlfn.XLOOKUP($O685,'Sample Size cal and results'!$B$26:$B$27,'Sample Size cal and results'!$I$26:$I$27)</f>
        <v>6.1487963587265568</v>
      </c>
      <c r="R685" s="330"/>
    </row>
    <row r="686" spans="1:18" ht="12.75">
      <c r="A686" s="99" t="s">
        <v>149</v>
      </c>
      <c r="B686" s="100">
        <v>41855</v>
      </c>
      <c r="C686" s="100">
        <f t="shared" si="117"/>
        <v>44411</v>
      </c>
      <c r="D686" s="209">
        <v>129</v>
      </c>
      <c r="E686" s="217">
        <f t="shared" si="118"/>
        <v>5.57</v>
      </c>
      <c r="F686" s="218">
        <f t="shared" si="119"/>
        <v>6.57</v>
      </c>
      <c r="G686" s="219">
        <f t="shared" si="120"/>
        <v>6.57</v>
      </c>
      <c r="H686" s="220">
        <f t="shared" si="121"/>
        <v>7.57</v>
      </c>
      <c r="I686" s="257" t="str">
        <f t="shared" si="122"/>
        <v>6-7 years</v>
      </c>
      <c r="J686" s="211">
        <f t="shared" si="123"/>
        <v>0.83835616438356164</v>
      </c>
      <c r="K686" s="258">
        <f>$D686*J686*_xlfn.XLOOKUP($I686,'Sample Size cal and results'!$B$24:$B$25,'Sample Size cal and results'!$H$24:$H$25)</f>
        <v>88.670974176543041</v>
      </c>
      <c r="L686" s="211">
        <f t="shared" si="124"/>
        <v>0.16164383561643836</v>
      </c>
      <c r="M686" s="211">
        <f>$D686*L686*_xlfn.XLOOKUP($I686,'Sample Size cal and results'!$B$24:$B$25,'Sample Size cal and results'!$I$24:$I$25)</f>
        <v>17.541380433364711</v>
      </c>
      <c r="N686" s="214">
        <f t="shared" si="125"/>
        <v>106.21235460990775</v>
      </c>
      <c r="O686" s="225" t="str">
        <f t="shared" si="126"/>
        <v>7-8 years</v>
      </c>
      <c r="P686" s="226">
        <f t="shared" si="127"/>
        <v>0.42739726027397262</v>
      </c>
      <c r="Q686" s="227">
        <f>$D686*P686*_xlfn.XLOOKUP($O686,'Sample Size cal and results'!$B$26:$B$27,'Sample Size cal and results'!$I$26:$I$27)</f>
        <v>35.824660660976619</v>
      </c>
      <c r="R686" s="330"/>
    </row>
    <row r="687" spans="1:18" ht="12.75">
      <c r="A687" s="99" t="s">
        <v>145</v>
      </c>
      <c r="B687" s="100">
        <v>41855</v>
      </c>
      <c r="C687" s="100">
        <f t="shared" si="117"/>
        <v>44411</v>
      </c>
      <c r="D687" s="209">
        <v>21</v>
      </c>
      <c r="E687" s="217">
        <f t="shared" si="118"/>
        <v>5.57</v>
      </c>
      <c r="F687" s="218">
        <f t="shared" si="119"/>
        <v>6.57</v>
      </c>
      <c r="G687" s="219">
        <f t="shared" si="120"/>
        <v>6.57</v>
      </c>
      <c r="H687" s="220">
        <f t="shared" si="121"/>
        <v>7.57</v>
      </c>
      <c r="I687" s="257" t="str">
        <f t="shared" si="122"/>
        <v>6-7 years</v>
      </c>
      <c r="J687" s="211">
        <f t="shared" si="123"/>
        <v>0.83835616438356164</v>
      </c>
      <c r="K687" s="258">
        <f>$D687*J687*_xlfn.XLOOKUP($I687,'Sample Size cal and results'!$B$24:$B$25,'Sample Size cal and results'!$H$24:$H$25)</f>
        <v>14.434809749669798</v>
      </c>
      <c r="L687" s="211">
        <f t="shared" si="124"/>
        <v>0.16164383561643836</v>
      </c>
      <c r="M687" s="211">
        <f>$D687*L687*_xlfn.XLOOKUP($I687,'Sample Size cal and results'!$B$24:$B$25,'Sample Size cal and results'!$I$24:$I$25)</f>
        <v>2.8555735589198368</v>
      </c>
      <c r="N687" s="214">
        <f t="shared" si="125"/>
        <v>17.290383308589636</v>
      </c>
      <c r="O687" s="225" t="str">
        <f t="shared" si="126"/>
        <v>7-8 years</v>
      </c>
      <c r="P687" s="226">
        <f t="shared" si="127"/>
        <v>0.42739726027397262</v>
      </c>
      <c r="Q687" s="227">
        <f>$D687*P687*_xlfn.XLOOKUP($O687,'Sample Size cal and results'!$B$26:$B$27,'Sample Size cal and results'!$I$26:$I$27)</f>
        <v>5.8319215029496823</v>
      </c>
      <c r="R687" s="330"/>
    </row>
    <row r="688" spans="1:18" ht="12.75">
      <c r="A688" s="99" t="s">
        <v>143</v>
      </c>
      <c r="B688" s="100">
        <v>41855</v>
      </c>
      <c r="C688" s="100">
        <f t="shared" si="117"/>
        <v>44411</v>
      </c>
      <c r="D688" s="209">
        <v>8</v>
      </c>
      <c r="E688" s="217">
        <f t="shared" si="118"/>
        <v>5.57</v>
      </c>
      <c r="F688" s="218">
        <f t="shared" si="119"/>
        <v>6.57</v>
      </c>
      <c r="G688" s="219">
        <f t="shared" si="120"/>
        <v>6.57</v>
      </c>
      <c r="H688" s="220">
        <f t="shared" si="121"/>
        <v>7.57</v>
      </c>
      <c r="I688" s="257" t="str">
        <f t="shared" si="122"/>
        <v>6-7 years</v>
      </c>
      <c r="J688" s="211">
        <f t="shared" si="123"/>
        <v>0.83835616438356164</v>
      </c>
      <c r="K688" s="258">
        <f>$D688*J688*_xlfn.XLOOKUP($I688,'Sample Size cal and results'!$B$24:$B$25,'Sample Size cal and results'!$H$24:$H$25)</f>
        <v>5.4989751427313518</v>
      </c>
      <c r="L688" s="211">
        <f t="shared" si="124"/>
        <v>0.16164383561643836</v>
      </c>
      <c r="M688" s="211">
        <f>$D688*L688*_xlfn.XLOOKUP($I688,'Sample Size cal and results'!$B$24:$B$25,'Sample Size cal and results'!$I$24:$I$25)</f>
        <v>1.0878375462551759</v>
      </c>
      <c r="N688" s="214">
        <f t="shared" si="125"/>
        <v>6.5868126889865275</v>
      </c>
      <c r="O688" s="225" t="str">
        <f t="shared" si="126"/>
        <v>7-8 years</v>
      </c>
      <c r="P688" s="226">
        <f t="shared" si="127"/>
        <v>0.42739726027397262</v>
      </c>
      <c r="Q688" s="227">
        <f>$D688*P688*_xlfn.XLOOKUP($O688,'Sample Size cal and results'!$B$26:$B$27,'Sample Size cal and results'!$I$26:$I$27)</f>
        <v>2.2216843820760692</v>
      </c>
      <c r="R688" s="330"/>
    </row>
    <row r="689" spans="1:18" ht="12.75">
      <c r="A689" s="99" t="s">
        <v>149</v>
      </c>
      <c r="B689" s="100">
        <v>41854</v>
      </c>
      <c r="C689" s="100">
        <f t="shared" si="117"/>
        <v>44410</v>
      </c>
      <c r="D689" s="209">
        <v>219</v>
      </c>
      <c r="E689" s="217">
        <f t="shared" si="118"/>
        <v>5.57</v>
      </c>
      <c r="F689" s="218">
        <f t="shared" si="119"/>
        <v>6.57</v>
      </c>
      <c r="G689" s="219">
        <f t="shared" si="120"/>
        <v>6.57</v>
      </c>
      <c r="H689" s="220">
        <f t="shared" si="121"/>
        <v>7.57</v>
      </c>
      <c r="I689" s="257" t="str">
        <f t="shared" si="122"/>
        <v>6-7 years</v>
      </c>
      <c r="J689" s="211">
        <f t="shared" si="123"/>
        <v>0.83835616438356164</v>
      </c>
      <c r="K689" s="258">
        <f>$D689*J689*_xlfn.XLOOKUP($I689,'Sample Size cal and results'!$B$24:$B$25,'Sample Size cal and results'!$H$24:$H$25)</f>
        <v>150.53444453227075</v>
      </c>
      <c r="L689" s="211">
        <f t="shared" si="124"/>
        <v>0.16164383561643836</v>
      </c>
      <c r="M689" s="211">
        <f>$D689*L689*_xlfn.XLOOKUP($I689,'Sample Size cal and results'!$B$24:$B$25,'Sample Size cal and results'!$I$24:$I$25)</f>
        <v>29.779552828735437</v>
      </c>
      <c r="N689" s="214">
        <f t="shared" si="125"/>
        <v>180.31399736100619</v>
      </c>
      <c r="O689" s="225" t="str">
        <f t="shared" si="126"/>
        <v>7-8 years</v>
      </c>
      <c r="P689" s="226">
        <f t="shared" si="127"/>
        <v>0.42465753424657532</v>
      </c>
      <c r="Q689" s="227">
        <f>$D689*P689*_xlfn.XLOOKUP($O689,'Sample Size cal and results'!$B$26:$B$27,'Sample Size cal and results'!$I$26:$I$27)</f>
        <v>60.4287470749777</v>
      </c>
      <c r="R689" s="330"/>
    </row>
    <row r="690" spans="1:18" ht="12.75">
      <c r="A690" s="99" t="s">
        <v>145</v>
      </c>
      <c r="B690" s="100">
        <v>41854</v>
      </c>
      <c r="C690" s="100">
        <f t="shared" si="117"/>
        <v>44410</v>
      </c>
      <c r="D690" s="209">
        <v>18</v>
      </c>
      <c r="E690" s="217">
        <f t="shared" si="118"/>
        <v>5.57</v>
      </c>
      <c r="F690" s="218">
        <f t="shared" si="119"/>
        <v>6.57</v>
      </c>
      <c r="G690" s="219">
        <f t="shared" si="120"/>
        <v>6.57</v>
      </c>
      <c r="H690" s="220">
        <f t="shared" si="121"/>
        <v>7.57</v>
      </c>
      <c r="I690" s="257" t="str">
        <f t="shared" si="122"/>
        <v>6-7 years</v>
      </c>
      <c r="J690" s="211">
        <f t="shared" si="123"/>
        <v>0.83835616438356164</v>
      </c>
      <c r="K690" s="258">
        <f>$D690*J690*_xlfn.XLOOKUP($I690,'Sample Size cal and results'!$B$24:$B$25,'Sample Size cal and results'!$H$24:$H$25)</f>
        <v>12.372694071145542</v>
      </c>
      <c r="L690" s="211">
        <f t="shared" si="124"/>
        <v>0.16164383561643836</v>
      </c>
      <c r="M690" s="211">
        <f>$D690*L690*_xlfn.XLOOKUP($I690,'Sample Size cal and results'!$B$24:$B$25,'Sample Size cal and results'!$I$24:$I$25)</f>
        <v>2.447634479074146</v>
      </c>
      <c r="N690" s="214">
        <f t="shared" si="125"/>
        <v>14.820328550219688</v>
      </c>
      <c r="O690" s="225" t="str">
        <f t="shared" si="126"/>
        <v>7-8 years</v>
      </c>
      <c r="P690" s="226">
        <f t="shared" si="127"/>
        <v>0.42465753424657532</v>
      </c>
      <c r="Q690" s="227">
        <f>$D690*P690*_xlfn.XLOOKUP($O690,'Sample Size cal and results'!$B$26:$B$27,'Sample Size cal and results'!$I$26:$I$27)</f>
        <v>4.9667463349296739</v>
      </c>
      <c r="R690" s="330"/>
    </row>
    <row r="691" spans="1:18" ht="12.75">
      <c r="A691" s="99" t="s">
        <v>143</v>
      </c>
      <c r="B691" s="100">
        <v>41854</v>
      </c>
      <c r="C691" s="100">
        <f t="shared" si="117"/>
        <v>44410</v>
      </c>
      <c r="D691" s="209">
        <v>9</v>
      </c>
      <c r="E691" s="217">
        <f t="shared" si="118"/>
        <v>5.57</v>
      </c>
      <c r="F691" s="218">
        <f t="shared" si="119"/>
        <v>6.57</v>
      </c>
      <c r="G691" s="219">
        <f t="shared" si="120"/>
        <v>6.57</v>
      </c>
      <c r="H691" s="220">
        <f t="shared" si="121"/>
        <v>7.57</v>
      </c>
      <c r="I691" s="257" t="str">
        <f t="shared" si="122"/>
        <v>6-7 years</v>
      </c>
      <c r="J691" s="211">
        <f t="shared" si="123"/>
        <v>0.83835616438356164</v>
      </c>
      <c r="K691" s="258">
        <f>$D691*J691*_xlfn.XLOOKUP($I691,'Sample Size cal and results'!$B$24:$B$25,'Sample Size cal and results'!$H$24:$H$25)</f>
        <v>6.186347035572771</v>
      </c>
      <c r="L691" s="211">
        <f t="shared" si="124"/>
        <v>0.16164383561643836</v>
      </c>
      <c r="M691" s="211">
        <f>$D691*L691*_xlfn.XLOOKUP($I691,'Sample Size cal and results'!$B$24:$B$25,'Sample Size cal and results'!$I$24:$I$25)</f>
        <v>1.223817239537073</v>
      </c>
      <c r="N691" s="214">
        <f t="shared" si="125"/>
        <v>7.4101642751098442</v>
      </c>
      <c r="O691" s="225" t="str">
        <f t="shared" si="126"/>
        <v>7-8 years</v>
      </c>
      <c r="P691" s="226">
        <f t="shared" si="127"/>
        <v>0.42465753424657532</v>
      </c>
      <c r="Q691" s="227">
        <f>$D691*P691*_xlfn.XLOOKUP($O691,'Sample Size cal and results'!$B$26:$B$27,'Sample Size cal and results'!$I$26:$I$27)</f>
        <v>2.4833731674648369</v>
      </c>
      <c r="R691" s="330"/>
    </row>
    <row r="692" spans="1:18" ht="12.75">
      <c r="A692" s="99" t="s">
        <v>149</v>
      </c>
      <c r="B692" s="100">
        <v>41853</v>
      </c>
      <c r="C692" s="100">
        <f t="shared" si="117"/>
        <v>44409</v>
      </c>
      <c r="D692" s="209">
        <v>186</v>
      </c>
      <c r="E692" s="217">
        <f t="shared" si="118"/>
        <v>5.57</v>
      </c>
      <c r="F692" s="218">
        <f t="shared" si="119"/>
        <v>6.57</v>
      </c>
      <c r="G692" s="219">
        <f t="shared" si="120"/>
        <v>6.57</v>
      </c>
      <c r="H692" s="220">
        <f t="shared" si="121"/>
        <v>7.57</v>
      </c>
      <c r="I692" s="257" t="str">
        <f t="shared" si="122"/>
        <v>6-7 years</v>
      </c>
      <c r="J692" s="211">
        <f t="shared" si="123"/>
        <v>0.83835616438356164</v>
      </c>
      <c r="K692" s="258">
        <f>$D692*J692*_xlfn.XLOOKUP($I692,'Sample Size cal and results'!$B$24:$B$25,'Sample Size cal and results'!$H$24:$H$25)</f>
        <v>127.85117206850391</v>
      </c>
      <c r="L692" s="211">
        <f t="shared" si="124"/>
        <v>0.16164383561643836</v>
      </c>
      <c r="M692" s="211">
        <f>$D692*L692*_xlfn.XLOOKUP($I692,'Sample Size cal and results'!$B$24:$B$25,'Sample Size cal and results'!$I$24:$I$25)</f>
        <v>25.292222950432837</v>
      </c>
      <c r="N692" s="214">
        <f t="shared" si="125"/>
        <v>153.14339501893676</v>
      </c>
      <c r="O692" s="225" t="str">
        <f t="shared" si="126"/>
        <v>7-8 years</v>
      </c>
      <c r="P692" s="226">
        <f t="shared" si="127"/>
        <v>0.42191780821917807</v>
      </c>
      <c r="Q692" s="227">
        <f>$D692*P692*_xlfn.XLOOKUP($O692,'Sample Size cal and results'!$B$26:$B$27,'Sample Size cal and results'!$I$26:$I$27)</f>
        <v>50.991929038611318</v>
      </c>
      <c r="R692" s="330"/>
    </row>
    <row r="693" spans="1:18" ht="12.75">
      <c r="A693" s="99" t="s">
        <v>145</v>
      </c>
      <c r="B693" s="100">
        <v>41853</v>
      </c>
      <c r="C693" s="100">
        <f t="shared" si="117"/>
        <v>44409</v>
      </c>
      <c r="D693" s="209">
        <v>17</v>
      </c>
      <c r="E693" s="217">
        <f t="shared" si="118"/>
        <v>5.57</v>
      </c>
      <c r="F693" s="218">
        <f t="shared" si="119"/>
        <v>6.57</v>
      </c>
      <c r="G693" s="219">
        <f t="shared" si="120"/>
        <v>6.57</v>
      </c>
      <c r="H693" s="220">
        <f t="shared" si="121"/>
        <v>7.57</v>
      </c>
      <c r="I693" s="257" t="str">
        <f t="shared" si="122"/>
        <v>6-7 years</v>
      </c>
      <c r="J693" s="211">
        <f t="shared" si="123"/>
        <v>0.83835616438356164</v>
      </c>
      <c r="K693" s="258">
        <f>$D693*J693*_xlfn.XLOOKUP($I693,'Sample Size cal and results'!$B$24:$B$25,'Sample Size cal and results'!$H$24:$H$25)</f>
        <v>11.685322178304123</v>
      </c>
      <c r="L693" s="211">
        <f t="shared" si="124"/>
        <v>0.16164383561643836</v>
      </c>
      <c r="M693" s="211">
        <f>$D693*L693*_xlfn.XLOOKUP($I693,'Sample Size cal and results'!$B$24:$B$25,'Sample Size cal and results'!$I$24:$I$25)</f>
        <v>2.3116547857922489</v>
      </c>
      <c r="N693" s="214">
        <f t="shared" si="125"/>
        <v>13.996976964096373</v>
      </c>
      <c r="O693" s="225" t="str">
        <f t="shared" si="126"/>
        <v>7-8 years</v>
      </c>
      <c r="P693" s="226">
        <f t="shared" si="127"/>
        <v>0.42191780821917807</v>
      </c>
      <c r="Q693" s="227">
        <f>$D693*P693*_xlfn.XLOOKUP($O693,'Sample Size cal and results'!$B$26:$B$27,'Sample Size cal and results'!$I$26:$I$27)</f>
        <v>4.6605526540666258</v>
      </c>
      <c r="R693" s="330"/>
    </row>
    <row r="694" spans="1:18" ht="12.75">
      <c r="A694" s="99" t="s">
        <v>143</v>
      </c>
      <c r="B694" s="100">
        <v>41853</v>
      </c>
      <c r="C694" s="100">
        <f t="shared" si="117"/>
        <v>44409</v>
      </c>
      <c r="D694" s="209">
        <v>8</v>
      </c>
      <c r="E694" s="217">
        <f t="shared" si="118"/>
        <v>5.57</v>
      </c>
      <c r="F694" s="218">
        <f t="shared" si="119"/>
        <v>6.57</v>
      </c>
      <c r="G694" s="219">
        <f t="shared" si="120"/>
        <v>6.57</v>
      </c>
      <c r="H694" s="220">
        <f t="shared" si="121"/>
        <v>7.57</v>
      </c>
      <c r="I694" s="257" t="str">
        <f t="shared" si="122"/>
        <v>6-7 years</v>
      </c>
      <c r="J694" s="211">
        <f t="shared" si="123"/>
        <v>0.83835616438356164</v>
      </c>
      <c r="K694" s="258">
        <f>$D694*J694*_xlfn.XLOOKUP($I694,'Sample Size cal and results'!$B$24:$B$25,'Sample Size cal and results'!$H$24:$H$25)</f>
        <v>5.4989751427313518</v>
      </c>
      <c r="L694" s="211">
        <f t="shared" si="124"/>
        <v>0.16164383561643836</v>
      </c>
      <c r="M694" s="211">
        <f>$D694*L694*_xlfn.XLOOKUP($I694,'Sample Size cal and results'!$B$24:$B$25,'Sample Size cal and results'!$I$24:$I$25)</f>
        <v>1.0878375462551759</v>
      </c>
      <c r="N694" s="214">
        <f t="shared" si="125"/>
        <v>6.5868126889865275</v>
      </c>
      <c r="O694" s="225" t="str">
        <f t="shared" si="126"/>
        <v>7-8 years</v>
      </c>
      <c r="P694" s="226">
        <f t="shared" si="127"/>
        <v>0.42191780821917807</v>
      </c>
      <c r="Q694" s="227">
        <f>$D694*P694*_xlfn.XLOOKUP($O694,'Sample Size cal and results'!$B$26:$B$27,'Sample Size cal and results'!$I$26:$I$27)</f>
        <v>2.1932012489725299</v>
      </c>
      <c r="R694" s="330"/>
    </row>
    <row r="695" spans="1:18" ht="12.75">
      <c r="A695" s="99" t="s">
        <v>149</v>
      </c>
      <c r="B695" s="100">
        <v>41852</v>
      </c>
      <c r="C695" s="100">
        <f t="shared" si="117"/>
        <v>44408</v>
      </c>
      <c r="D695" s="209">
        <v>133</v>
      </c>
      <c r="E695" s="217">
        <f t="shared" si="118"/>
        <v>5.58</v>
      </c>
      <c r="F695" s="218">
        <f t="shared" si="119"/>
        <v>6.57</v>
      </c>
      <c r="G695" s="219">
        <f t="shared" si="120"/>
        <v>6.58</v>
      </c>
      <c r="H695" s="220">
        <f t="shared" si="121"/>
        <v>7.57</v>
      </c>
      <c r="I695" s="257" t="str">
        <f t="shared" si="122"/>
        <v>6-7 years</v>
      </c>
      <c r="J695" s="211">
        <f t="shared" si="123"/>
        <v>0.83835616438356164</v>
      </c>
      <c r="K695" s="258">
        <f>$D695*J695*_xlfn.XLOOKUP($I695,'Sample Size cal and results'!$B$24:$B$25,'Sample Size cal and results'!$H$24:$H$25)</f>
        <v>91.420461747908718</v>
      </c>
      <c r="L695" s="211">
        <f t="shared" si="124"/>
        <v>0.16164383561643836</v>
      </c>
      <c r="M695" s="211">
        <f>$D695*L695*_xlfn.XLOOKUP($I695,'Sample Size cal and results'!$B$24:$B$25,'Sample Size cal and results'!$I$24:$I$25)</f>
        <v>18.085299206492298</v>
      </c>
      <c r="N695" s="214">
        <f t="shared" si="125"/>
        <v>109.50576095440101</v>
      </c>
      <c r="O695" s="225" t="str">
        <f t="shared" si="126"/>
        <v>7-8 years</v>
      </c>
      <c r="P695" s="226">
        <f t="shared" si="127"/>
        <v>0.41917808219178082</v>
      </c>
      <c r="Q695" s="227">
        <f>$D695*P695*_xlfn.XLOOKUP($O695,'Sample Size cal and results'!$B$26:$B$27,'Sample Size cal and results'!$I$26:$I$27)</f>
        <v>36.225204720245138</v>
      </c>
      <c r="R695" s="330"/>
    </row>
    <row r="696" spans="1:18" ht="12.75">
      <c r="A696" s="99" t="s">
        <v>145</v>
      </c>
      <c r="B696" s="100">
        <v>41852</v>
      </c>
      <c r="C696" s="100">
        <f t="shared" si="117"/>
        <v>44408</v>
      </c>
      <c r="D696" s="209">
        <v>14</v>
      </c>
      <c r="E696" s="217">
        <f t="shared" si="118"/>
        <v>5.58</v>
      </c>
      <c r="F696" s="218">
        <f t="shared" si="119"/>
        <v>6.57</v>
      </c>
      <c r="G696" s="219">
        <f t="shared" si="120"/>
        <v>6.58</v>
      </c>
      <c r="H696" s="220">
        <f t="shared" si="121"/>
        <v>7.57</v>
      </c>
      <c r="I696" s="257" t="str">
        <f t="shared" si="122"/>
        <v>6-7 years</v>
      </c>
      <c r="J696" s="211">
        <f t="shared" si="123"/>
        <v>0.83835616438356164</v>
      </c>
      <c r="K696" s="258">
        <f>$D696*J696*_xlfn.XLOOKUP($I696,'Sample Size cal and results'!$B$24:$B$25,'Sample Size cal and results'!$H$24:$H$25)</f>
        <v>9.6232064997798652</v>
      </c>
      <c r="L696" s="211">
        <f t="shared" si="124"/>
        <v>0.16164383561643836</v>
      </c>
      <c r="M696" s="211">
        <f>$D696*L696*_xlfn.XLOOKUP($I696,'Sample Size cal and results'!$B$24:$B$25,'Sample Size cal and results'!$I$24:$I$25)</f>
        <v>1.9037157059465575</v>
      </c>
      <c r="N696" s="214">
        <f t="shared" si="125"/>
        <v>11.526922205726423</v>
      </c>
      <c r="O696" s="225" t="str">
        <f t="shared" si="126"/>
        <v>7-8 years</v>
      </c>
      <c r="P696" s="226">
        <f t="shared" si="127"/>
        <v>0.41917808219178082</v>
      </c>
      <c r="Q696" s="227">
        <f>$D696*P696*_xlfn.XLOOKUP($O696,'Sample Size cal and results'!$B$26:$B$27,'Sample Size cal and results'!$I$26:$I$27)</f>
        <v>3.8131794442363303</v>
      </c>
      <c r="R696" s="330"/>
    </row>
    <row r="697" spans="1:18" ht="12.75">
      <c r="A697" s="99" t="s">
        <v>143</v>
      </c>
      <c r="B697" s="100">
        <v>41852</v>
      </c>
      <c r="C697" s="100">
        <f t="shared" si="117"/>
        <v>44408</v>
      </c>
      <c r="D697" s="209">
        <v>4</v>
      </c>
      <c r="E697" s="217">
        <f t="shared" si="118"/>
        <v>5.58</v>
      </c>
      <c r="F697" s="218">
        <f t="shared" si="119"/>
        <v>6.57</v>
      </c>
      <c r="G697" s="219">
        <f t="shared" si="120"/>
        <v>6.58</v>
      </c>
      <c r="H697" s="220">
        <f t="shared" si="121"/>
        <v>7.57</v>
      </c>
      <c r="I697" s="257" t="str">
        <f t="shared" si="122"/>
        <v>6-7 years</v>
      </c>
      <c r="J697" s="211">
        <f t="shared" si="123"/>
        <v>0.83835616438356164</v>
      </c>
      <c r="K697" s="258">
        <f>$D697*J697*_xlfn.XLOOKUP($I697,'Sample Size cal and results'!$B$24:$B$25,'Sample Size cal and results'!$H$24:$H$25)</f>
        <v>2.7494875713656759</v>
      </c>
      <c r="L697" s="211">
        <f t="shared" si="124"/>
        <v>0.16164383561643836</v>
      </c>
      <c r="M697" s="211">
        <f>$D697*L697*_xlfn.XLOOKUP($I697,'Sample Size cal and results'!$B$24:$B$25,'Sample Size cal and results'!$I$24:$I$25)</f>
        <v>0.54391877312758796</v>
      </c>
      <c r="N697" s="214">
        <f t="shared" si="125"/>
        <v>3.2934063444932637</v>
      </c>
      <c r="O697" s="225" t="str">
        <f t="shared" si="126"/>
        <v>7-8 years</v>
      </c>
      <c r="P697" s="226">
        <f t="shared" si="127"/>
        <v>0.41917808219178082</v>
      </c>
      <c r="Q697" s="227">
        <f>$D697*P697*_xlfn.XLOOKUP($O697,'Sample Size cal and results'!$B$26:$B$27,'Sample Size cal and results'!$I$26:$I$27)</f>
        <v>1.0894798412103801</v>
      </c>
      <c r="R697" s="330"/>
    </row>
    <row r="698" spans="1:18" ht="12.75">
      <c r="A698" s="99" t="s">
        <v>145</v>
      </c>
      <c r="B698" s="100">
        <v>41851</v>
      </c>
      <c r="C698" s="100">
        <f t="shared" si="117"/>
        <v>44407</v>
      </c>
      <c r="D698" s="209">
        <v>18</v>
      </c>
      <c r="E698" s="217">
        <f t="shared" si="118"/>
        <v>5.58</v>
      </c>
      <c r="F698" s="218">
        <f t="shared" si="119"/>
        <v>6.58</v>
      </c>
      <c r="G698" s="219">
        <f t="shared" si="120"/>
        <v>6.58</v>
      </c>
      <c r="H698" s="220">
        <f t="shared" si="121"/>
        <v>7.58</v>
      </c>
      <c r="I698" s="257" t="str">
        <f t="shared" si="122"/>
        <v>6-7 years</v>
      </c>
      <c r="J698" s="211">
        <f t="shared" si="123"/>
        <v>0.83835616438356164</v>
      </c>
      <c r="K698" s="258">
        <f>$D698*J698*_xlfn.XLOOKUP($I698,'Sample Size cal and results'!$B$24:$B$25,'Sample Size cal and results'!$H$24:$H$25)</f>
        <v>12.372694071145542</v>
      </c>
      <c r="L698" s="211">
        <f t="shared" si="124"/>
        <v>0.16164383561643836</v>
      </c>
      <c r="M698" s="211">
        <f>$D698*L698*_xlfn.XLOOKUP($I698,'Sample Size cal and results'!$B$24:$B$25,'Sample Size cal and results'!$I$24:$I$25)</f>
        <v>2.447634479074146</v>
      </c>
      <c r="N698" s="214">
        <f t="shared" si="125"/>
        <v>14.820328550219688</v>
      </c>
      <c r="O698" s="225" t="str">
        <f t="shared" si="126"/>
        <v>7-8 years</v>
      </c>
      <c r="P698" s="226">
        <f t="shared" si="127"/>
        <v>0.41643835616438357</v>
      </c>
      <c r="Q698" s="227">
        <f>$D698*P698*_xlfn.XLOOKUP($O698,'Sample Size cal and results'!$B$26:$B$27,'Sample Size cal and results'!$I$26:$I$27)</f>
        <v>4.8706157607052294</v>
      </c>
      <c r="R698" s="330"/>
    </row>
    <row r="699" spans="1:18" ht="12.75">
      <c r="A699" s="99" t="s">
        <v>143</v>
      </c>
      <c r="B699" s="100">
        <v>41851</v>
      </c>
      <c r="C699" s="100">
        <f t="shared" si="117"/>
        <v>44407</v>
      </c>
      <c r="D699" s="209">
        <v>2</v>
      </c>
      <c r="E699" s="217">
        <f t="shared" si="118"/>
        <v>5.58</v>
      </c>
      <c r="F699" s="218">
        <f t="shared" si="119"/>
        <v>6.58</v>
      </c>
      <c r="G699" s="219">
        <f t="shared" si="120"/>
        <v>6.58</v>
      </c>
      <c r="H699" s="220">
        <f t="shared" si="121"/>
        <v>7.58</v>
      </c>
      <c r="I699" s="257" t="str">
        <f t="shared" si="122"/>
        <v>6-7 years</v>
      </c>
      <c r="J699" s="211">
        <f t="shared" si="123"/>
        <v>0.83835616438356164</v>
      </c>
      <c r="K699" s="258">
        <f>$D699*J699*_xlfn.XLOOKUP($I699,'Sample Size cal and results'!$B$24:$B$25,'Sample Size cal and results'!$H$24:$H$25)</f>
        <v>1.3747437856828379</v>
      </c>
      <c r="L699" s="211">
        <f t="shared" si="124"/>
        <v>0.16164383561643836</v>
      </c>
      <c r="M699" s="211">
        <f>$D699*L699*_xlfn.XLOOKUP($I699,'Sample Size cal and results'!$B$24:$B$25,'Sample Size cal and results'!$I$24:$I$25)</f>
        <v>0.27195938656379398</v>
      </c>
      <c r="N699" s="214">
        <f t="shared" si="125"/>
        <v>1.6467031722466319</v>
      </c>
      <c r="O699" s="225" t="str">
        <f t="shared" si="126"/>
        <v>7-8 years</v>
      </c>
      <c r="P699" s="226">
        <f t="shared" si="127"/>
        <v>0.41643835616438357</v>
      </c>
      <c r="Q699" s="227">
        <f>$D699*P699*_xlfn.XLOOKUP($O699,'Sample Size cal and results'!$B$26:$B$27,'Sample Size cal and results'!$I$26:$I$27)</f>
        <v>0.54117952896724764</v>
      </c>
      <c r="R699" s="330"/>
    </row>
    <row r="700" spans="1:18" ht="12.75">
      <c r="A700" s="99" t="s">
        <v>145</v>
      </c>
      <c r="B700" s="100">
        <v>41850</v>
      </c>
      <c r="C700" s="100">
        <f t="shared" si="117"/>
        <v>44406</v>
      </c>
      <c r="D700" s="209">
        <v>40</v>
      </c>
      <c r="E700" s="217">
        <f t="shared" si="118"/>
        <v>5.58</v>
      </c>
      <c r="F700" s="218">
        <f t="shared" si="119"/>
        <v>6.58</v>
      </c>
      <c r="G700" s="219">
        <f t="shared" si="120"/>
        <v>6.58</v>
      </c>
      <c r="H700" s="220">
        <f t="shared" si="121"/>
        <v>7.58</v>
      </c>
      <c r="I700" s="257" t="str">
        <f t="shared" si="122"/>
        <v>6-7 years</v>
      </c>
      <c r="J700" s="211">
        <f t="shared" si="123"/>
        <v>0.83835616438356164</v>
      </c>
      <c r="K700" s="258">
        <f>$D700*J700*_xlfn.XLOOKUP($I700,'Sample Size cal and results'!$B$24:$B$25,'Sample Size cal and results'!$H$24:$H$25)</f>
        <v>27.494875713656757</v>
      </c>
      <c r="L700" s="211">
        <f t="shared" si="124"/>
        <v>0.16164383561643836</v>
      </c>
      <c r="M700" s="211">
        <f>$D700*L700*_xlfn.XLOOKUP($I700,'Sample Size cal and results'!$B$24:$B$25,'Sample Size cal and results'!$I$24:$I$25)</f>
        <v>5.4391877312758794</v>
      </c>
      <c r="N700" s="214">
        <f t="shared" si="125"/>
        <v>32.934063444932633</v>
      </c>
      <c r="O700" s="225" t="str">
        <f t="shared" si="126"/>
        <v>7-8 years</v>
      </c>
      <c r="P700" s="226">
        <f t="shared" si="127"/>
        <v>0.41369863013698632</v>
      </c>
      <c r="Q700" s="227">
        <f>$D700*P700*_xlfn.XLOOKUP($O700,'Sample Size cal and results'!$B$26:$B$27,'Sample Size cal and results'!$I$26:$I$27)</f>
        <v>10.752382746586106</v>
      </c>
      <c r="R700" s="330"/>
    </row>
    <row r="701" spans="1:18" ht="12.75">
      <c r="A701" s="99" t="s">
        <v>143</v>
      </c>
      <c r="B701" s="100">
        <v>41850</v>
      </c>
      <c r="C701" s="100">
        <f t="shared" si="117"/>
        <v>44406</v>
      </c>
      <c r="D701" s="209">
        <v>15</v>
      </c>
      <c r="E701" s="217">
        <f t="shared" si="118"/>
        <v>5.58</v>
      </c>
      <c r="F701" s="218">
        <f t="shared" si="119"/>
        <v>6.58</v>
      </c>
      <c r="G701" s="219">
        <f t="shared" si="120"/>
        <v>6.58</v>
      </c>
      <c r="H701" s="220">
        <f t="shared" si="121"/>
        <v>7.58</v>
      </c>
      <c r="I701" s="257" t="str">
        <f t="shared" si="122"/>
        <v>6-7 years</v>
      </c>
      <c r="J701" s="211">
        <f t="shared" si="123"/>
        <v>0.83835616438356164</v>
      </c>
      <c r="K701" s="258">
        <f>$D701*J701*_xlfn.XLOOKUP($I701,'Sample Size cal and results'!$B$24:$B$25,'Sample Size cal and results'!$H$24:$H$25)</f>
        <v>10.310578392621284</v>
      </c>
      <c r="L701" s="211">
        <f t="shared" si="124"/>
        <v>0.16164383561643836</v>
      </c>
      <c r="M701" s="211">
        <f>$D701*L701*_xlfn.XLOOKUP($I701,'Sample Size cal and results'!$B$24:$B$25,'Sample Size cal and results'!$I$24:$I$25)</f>
        <v>2.0396953992284548</v>
      </c>
      <c r="N701" s="214">
        <f t="shared" si="125"/>
        <v>12.350273791849739</v>
      </c>
      <c r="O701" s="225" t="str">
        <f t="shared" si="126"/>
        <v>7-8 years</v>
      </c>
      <c r="P701" s="226">
        <f t="shared" si="127"/>
        <v>0.41369863013698632</v>
      </c>
      <c r="Q701" s="227">
        <f>$D701*P701*_xlfn.XLOOKUP($O701,'Sample Size cal and results'!$B$26:$B$27,'Sample Size cal and results'!$I$26:$I$27)</f>
        <v>4.0321435299697894</v>
      </c>
      <c r="R701" s="330"/>
    </row>
    <row r="702" spans="1:18" ht="12.75">
      <c r="A702" s="99" t="s">
        <v>145</v>
      </c>
      <c r="B702" s="100">
        <v>41849</v>
      </c>
      <c r="C702" s="100">
        <f t="shared" si="117"/>
        <v>44405</v>
      </c>
      <c r="D702" s="209">
        <v>36</v>
      </c>
      <c r="E702" s="217">
        <f t="shared" si="118"/>
        <v>5.59</v>
      </c>
      <c r="F702" s="218">
        <f t="shared" si="119"/>
        <v>6.58</v>
      </c>
      <c r="G702" s="219">
        <f t="shared" si="120"/>
        <v>6.59</v>
      </c>
      <c r="H702" s="220">
        <f t="shared" si="121"/>
        <v>7.58</v>
      </c>
      <c r="I702" s="257" t="str">
        <f t="shared" si="122"/>
        <v>6-7 years</v>
      </c>
      <c r="J702" s="211">
        <f t="shared" si="123"/>
        <v>0.83835616438356164</v>
      </c>
      <c r="K702" s="258">
        <f>$D702*J702*_xlfn.XLOOKUP($I702,'Sample Size cal and results'!$B$24:$B$25,'Sample Size cal and results'!$H$24:$H$25)</f>
        <v>24.745388142291084</v>
      </c>
      <c r="L702" s="211">
        <f t="shared" si="124"/>
        <v>0.16164383561643836</v>
      </c>
      <c r="M702" s="211">
        <f>$D702*L702*_xlfn.XLOOKUP($I702,'Sample Size cal and results'!$B$24:$B$25,'Sample Size cal and results'!$I$24:$I$25)</f>
        <v>4.895268958148292</v>
      </c>
      <c r="N702" s="214">
        <f t="shared" si="125"/>
        <v>29.640657100439377</v>
      </c>
      <c r="O702" s="225" t="str">
        <f t="shared" si="126"/>
        <v>7-8 years</v>
      </c>
      <c r="P702" s="226">
        <f t="shared" si="127"/>
        <v>0.41095890410958902</v>
      </c>
      <c r="Q702" s="227">
        <f>$D702*P702*_xlfn.XLOOKUP($O702,'Sample Size cal and results'!$B$26:$B$27,'Sample Size cal and results'!$I$26:$I$27)</f>
        <v>9.6130574224445304</v>
      </c>
      <c r="R702" s="330"/>
    </row>
    <row r="703" spans="1:18" ht="12.75">
      <c r="A703" s="99" t="s">
        <v>143</v>
      </c>
      <c r="B703" s="100">
        <v>41849</v>
      </c>
      <c r="C703" s="100">
        <f t="shared" si="117"/>
        <v>44405</v>
      </c>
      <c r="D703" s="209">
        <v>19</v>
      </c>
      <c r="E703" s="217">
        <f t="shared" si="118"/>
        <v>5.59</v>
      </c>
      <c r="F703" s="218">
        <f t="shared" si="119"/>
        <v>6.58</v>
      </c>
      <c r="G703" s="219">
        <f t="shared" si="120"/>
        <v>6.59</v>
      </c>
      <c r="H703" s="220">
        <f t="shared" si="121"/>
        <v>7.58</v>
      </c>
      <c r="I703" s="257" t="str">
        <f t="shared" si="122"/>
        <v>6-7 years</v>
      </c>
      <c r="J703" s="211">
        <f t="shared" si="123"/>
        <v>0.83835616438356164</v>
      </c>
      <c r="K703" s="258">
        <f>$D703*J703*_xlfn.XLOOKUP($I703,'Sample Size cal and results'!$B$24:$B$25,'Sample Size cal and results'!$H$24:$H$25)</f>
        <v>13.060065963986959</v>
      </c>
      <c r="L703" s="211">
        <f t="shared" si="124"/>
        <v>0.16164383561643836</v>
      </c>
      <c r="M703" s="211">
        <f>$D703*L703*_xlfn.XLOOKUP($I703,'Sample Size cal and results'!$B$24:$B$25,'Sample Size cal and results'!$I$24:$I$25)</f>
        <v>2.5836141723560426</v>
      </c>
      <c r="N703" s="214">
        <f t="shared" si="125"/>
        <v>15.643680136343002</v>
      </c>
      <c r="O703" s="225" t="str">
        <f t="shared" si="126"/>
        <v>7-8 years</v>
      </c>
      <c r="P703" s="226">
        <f t="shared" si="127"/>
        <v>0.41095890410958902</v>
      </c>
      <c r="Q703" s="227">
        <f>$D703*P703*_xlfn.XLOOKUP($O703,'Sample Size cal and results'!$B$26:$B$27,'Sample Size cal and results'!$I$26:$I$27)</f>
        <v>5.0735580840679466</v>
      </c>
      <c r="R703" s="330"/>
    </row>
    <row r="704" spans="1:18" ht="12.75">
      <c r="A704" s="99" t="s">
        <v>145</v>
      </c>
      <c r="B704" s="100">
        <v>41848</v>
      </c>
      <c r="C704" s="100">
        <f t="shared" si="117"/>
        <v>44404</v>
      </c>
      <c r="D704" s="209">
        <v>40</v>
      </c>
      <c r="E704" s="217">
        <f t="shared" si="118"/>
        <v>5.59</v>
      </c>
      <c r="F704" s="218">
        <f t="shared" si="119"/>
        <v>6.59</v>
      </c>
      <c r="G704" s="219">
        <f t="shared" si="120"/>
        <v>6.59</v>
      </c>
      <c r="H704" s="220">
        <f t="shared" si="121"/>
        <v>7.58</v>
      </c>
      <c r="I704" s="257" t="str">
        <f t="shared" si="122"/>
        <v>6-7 years</v>
      </c>
      <c r="J704" s="211">
        <f t="shared" si="123"/>
        <v>0.83835616438356164</v>
      </c>
      <c r="K704" s="258">
        <f>$D704*J704*_xlfn.XLOOKUP($I704,'Sample Size cal and results'!$B$24:$B$25,'Sample Size cal and results'!$H$24:$H$25)</f>
        <v>27.494875713656757</v>
      </c>
      <c r="L704" s="211">
        <f t="shared" si="124"/>
        <v>0.16164383561643836</v>
      </c>
      <c r="M704" s="211">
        <f>$D704*L704*_xlfn.XLOOKUP($I704,'Sample Size cal and results'!$B$24:$B$25,'Sample Size cal and results'!$I$24:$I$25)</f>
        <v>5.4391877312758794</v>
      </c>
      <c r="N704" s="214">
        <f t="shared" si="125"/>
        <v>32.934063444932633</v>
      </c>
      <c r="O704" s="225" t="str">
        <f t="shared" si="126"/>
        <v>7-8 years</v>
      </c>
      <c r="P704" s="226">
        <f t="shared" si="127"/>
        <v>0.40821917808219177</v>
      </c>
      <c r="Q704" s="227">
        <f>$D704*P704*_xlfn.XLOOKUP($O704,'Sample Size cal and results'!$B$26:$B$27,'Sample Size cal and results'!$I$26:$I$27)</f>
        <v>10.609967081068406</v>
      </c>
      <c r="R704" s="330"/>
    </row>
    <row r="705" spans="1:18" ht="12.75">
      <c r="A705" s="99" t="s">
        <v>143</v>
      </c>
      <c r="B705" s="100">
        <v>41848</v>
      </c>
      <c r="C705" s="100">
        <f t="shared" si="117"/>
        <v>44404</v>
      </c>
      <c r="D705" s="209">
        <v>19</v>
      </c>
      <c r="E705" s="217">
        <f t="shared" si="118"/>
        <v>5.59</v>
      </c>
      <c r="F705" s="218">
        <f t="shared" si="119"/>
        <v>6.59</v>
      </c>
      <c r="G705" s="219">
        <f t="shared" si="120"/>
        <v>6.59</v>
      </c>
      <c r="H705" s="220">
        <f t="shared" si="121"/>
        <v>7.58</v>
      </c>
      <c r="I705" s="257" t="str">
        <f t="shared" si="122"/>
        <v>6-7 years</v>
      </c>
      <c r="J705" s="211">
        <f t="shared" si="123"/>
        <v>0.83835616438356164</v>
      </c>
      <c r="K705" s="258">
        <f>$D705*J705*_xlfn.XLOOKUP($I705,'Sample Size cal and results'!$B$24:$B$25,'Sample Size cal and results'!$H$24:$H$25)</f>
        <v>13.060065963986959</v>
      </c>
      <c r="L705" s="211">
        <f t="shared" si="124"/>
        <v>0.16164383561643836</v>
      </c>
      <c r="M705" s="211">
        <f>$D705*L705*_xlfn.XLOOKUP($I705,'Sample Size cal and results'!$B$24:$B$25,'Sample Size cal and results'!$I$24:$I$25)</f>
        <v>2.5836141723560426</v>
      </c>
      <c r="N705" s="214">
        <f t="shared" si="125"/>
        <v>15.643680136343002</v>
      </c>
      <c r="O705" s="225" t="str">
        <f t="shared" si="126"/>
        <v>7-8 years</v>
      </c>
      <c r="P705" s="226">
        <f t="shared" si="127"/>
        <v>0.40821917808219177</v>
      </c>
      <c r="Q705" s="227">
        <f>$D705*P705*_xlfn.XLOOKUP($O705,'Sample Size cal and results'!$B$26:$B$27,'Sample Size cal and results'!$I$26:$I$27)</f>
        <v>5.0397343635074936</v>
      </c>
      <c r="R705" s="330"/>
    </row>
    <row r="706" spans="1:18" ht="12.75">
      <c r="A706" s="99" t="s">
        <v>145</v>
      </c>
      <c r="B706" s="100">
        <v>41847</v>
      </c>
      <c r="C706" s="100">
        <f t="shared" si="117"/>
        <v>44403</v>
      </c>
      <c r="D706" s="209">
        <v>36</v>
      </c>
      <c r="E706" s="217">
        <f t="shared" si="118"/>
        <v>5.59</v>
      </c>
      <c r="F706" s="218">
        <f t="shared" si="119"/>
        <v>6.59</v>
      </c>
      <c r="G706" s="219">
        <f t="shared" si="120"/>
        <v>6.59</v>
      </c>
      <c r="H706" s="220">
        <f t="shared" si="121"/>
        <v>7.59</v>
      </c>
      <c r="I706" s="257" t="str">
        <f t="shared" si="122"/>
        <v>6-7 years</v>
      </c>
      <c r="J706" s="211">
        <f t="shared" si="123"/>
        <v>0.83835616438356164</v>
      </c>
      <c r="K706" s="258">
        <f>$D706*J706*_xlfn.XLOOKUP($I706,'Sample Size cal and results'!$B$24:$B$25,'Sample Size cal and results'!$H$24:$H$25)</f>
        <v>24.745388142291084</v>
      </c>
      <c r="L706" s="211">
        <f t="shared" si="124"/>
        <v>0.16164383561643836</v>
      </c>
      <c r="M706" s="211">
        <f>$D706*L706*_xlfn.XLOOKUP($I706,'Sample Size cal and results'!$B$24:$B$25,'Sample Size cal and results'!$I$24:$I$25)</f>
        <v>4.895268958148292</v>
      </c>
      <c r="N706" s="214">
        <f t="shared" si="125"/>
        <v>29.640657100439377</v>
      </c>
      <c r="O706" s="225" t="str">
        <f t="shared" si="126"/>
        <v>7-8 years</v>
      </c>
      <c r="P706" s="226">
        <f t="shared" si="127"/>
        <v>0.40547945205479452</v>
      </c>
      <c r="Q706" s="227">
        <f>$D706*P706*_xlfn.XLOOKUP($O706,'Sample Size cal and results'!$B$26:$B$27,'Sample Size cal and results'!$I$26:$I$27)</f>
        <v>9.4848833234786039</v>
      </c>
      <c r="R706" s="330"/>
    </row>
    <row r="707" spans="1:18" ht="12.75">
      <c r="A707" s="99" t="s">
        <v>143</v>
      </c>
      <c r="B707" s="100">
        <v>41847</v>
      </c>
      <c r="C707" s="100">
        <f t="shared" ref="C707:C770" si="128">EDATE(B707,84)-1</f>
        <v>44403</v>
      </c>
      <c r="D707" s="209">
        <v>20</v>
      </c>
      <c r="E707" s="217">
        <f t="shared" ref="E707:E770" si="129">ROUNDDOWN(YEARFRAC($B707,$AB$4,1),2)</f>
        <v>5.59</v>
      </c>
      <c r="F707" s="218">
        <f t="shared" ref="F707:F770" si="130">ROUNDDOWN(YEARFRAC($B707,$AB$5,1),2)</f>
        <v>6.59</v>
      </c>
      <c r="G707" s="219">
        <f t="shared" ref="G707:G770" si="131">ROUNDDOWN(YEARFRAC($B707,$AC$4,1),2)</f>
        <v>6.59</v>
      </c>
      <c r="H707" s="220">
        <f t="shared" ref="H707:H770" si="132">ROUNDDOWN(YEARFRAC($B707,$AC$5,1),2)</f>
        <v>7.59</v>
      </c>
      <c r="I707" s="257" t="str">
        <f t="shared" ref="I707:I770" si="133">IF(DATEDIF($B707,$AB$5,"y")=5,"5-6 years","6-7 years")</f>
        <v>6-7 years</v>
      </c>
      <c r="J707" s="211">
        <f t="shared" ref="J707:J770" si="134">MAX(MIN($AC$7,C707)-MAX($AB$4,$B707,_xlfn.XLOOKUP($A707,$AE$3:$AE$37,$AF$3:$AF$37))+1,0)/365</f>
        <v>0.83835616438356164</v>
      </c>
      <c r="K707" s="258">
        <f>$D707*J707*_xlfn.XLOOKUP($I707,'Sample Size cal and results'!$B$24:$B$25,'Sample Size cal and results'!$H$24:$H$25)</f>
        <v>13.747437856828379</v>
      </c>
      <c r="L707" s="211">
        <f t="shared" ref="L707:L770" si="135">MAX(MIN($AB$5,C707)-MAX($AC$8,$B707,_xlfn.XLOOKUP($A707,$AE$3:$AE$37,$AF$3:$AF$37))+1,0)/365</f>
        <v>0.16164383561643836</v>
      </c>
      <c r="M707" s="211">
        <f>$D707*L707*_xlfn.XLOOKUP($I707,'Sample Size cal and results'!$B$24:$B$25,'Sample Size cal and results'!$I$24:$I$25)</f>
        <v>2.7195938656379397</v>
      </c>
      <c r="N707" s="214">
        <f t="shared" ref="N707:N770" si="136">M707+K707</f>
        <v>16.467031722466317</v>
      </c>
      <c r="O707" s="225" t="str">
        <f t="shared" ref="O707:O770" si="137">IF(DATEDIF($B707,$AC$5,"y")=6,"6-7 years","7-8 years")</f>
        <v>7-8 years</v>
      </c>
      <c r="P707" s="226">
        <f t="shared" ref="P707:P770" si="138">MAX(MIN($AC$5,C707)-MAX($AC$4,$B707,_xlfn.XLOOKUP($A707,$AE$3:$AE$37,$AF$3:$AF$37))+1,0)/365</f>
        <v>0.40547945205479452</v>
      </c>
      <c r="Q707" s="227">
        <f>$D707*P707*_xlfn.XLOOKUP($O707,'Sample Size cal and results'!$B$26:$B$27,'Sample Size cal and results'!$I$26:$I$27)</f>
        <v>5.2693796241547801</v>
      </c>
      <c r="R707" s="330"/>
    </row>
    <row r="708" spans="1:18" ht="12.75">
      <c r="A708" s="99" t="s">
        <v>145</v>
      </c>
      <c r="B708" s="100">
        <v>41846</v>
      </c>
      <c r="C708" s="100">
        <f t="shared" si="128"/>
        <v>44402</v>
      </c>
      <c r="D708" s="209">
        <v>50</v>
      </c>
      <c r="E708" s="217">
        <f t="shared" si="129"/>
        <v>5.59</v>
      </c>
      <c r="F708" s="218">
        <f t="shared" si="130"/>
        <v>6.59</v>
      </c>
      <c r="G708" s="219">
        <f t="shared" si="131"/>
        <v>6.59</v>
      </c>
      <c r="H708" s="220">
        <f t="shared" si="132"/>
        <v>7.59</v>
      </c>
      <c r="I708" s="257" t="str">
        <f t="shared" si="133"/>
        <v>6-7 years</v>
      </c>
      <c r="J708" s="211">
        <f t="shared" si="134"/>
        <v>0.83835616438356164</v>
      </c>
      <c r="K708" s="258">
        <f>$D708*J708*_xlfn.XLOOKUP($I708,'Sample Size cal and results'!$B$24:$B$25,'Sample Size cal and results'!$H$24:$H$25)</f>
        <v>34.368594642070946</v>
      </c>
      <c r="L708" s="211">
        <f t="shared" si="135"/>
        <v>0.16164383561643836</v>
      </c>
      <c r="M708" s="211">
        <f>$D708*L708*_xlfn.XLOOKUP($I708,'Sample Size cal and results'!$B$24:$B$25,'Sample Size cal and results'!$I$24:$I$25)</f>
        <v>6.7989846640948484</v>
      </c>
      <c r="N708" s="214">
        <f t="shared" si="136"/>
        <v>41.167579306165791</v>
      </c>
      <c r="O708" s="225" t="str">
        <f t="shared" si="137"/>
        <v>7-8 years</v>
      </c>
      <c r="P708" s="226">
        <f t="shared" si="138"/>
        <v>0.40273972602739727</v>
      </c>
      <c r="Q708" s="227">
        <f>$D708*P708*_xlfn.XLOOKUP($O708,'Sample Size cal and results'!$B$26:$B$27,'Sample Size cal and results'!$I$26:$I$27)</f>
        <v>13.084439269438388</v>
      </c>
      <c r="R708" s="330"/>
    </row>
    <row r="709" spans="1:18" ht="12.75">
      <c r="A709" s="99" t="s">
        <v>143</v>
      </c>
      <c r="B709" s="100">
        <v>41846</v>
      </c>
      <c r="C709" s="100">
        <f t="shared" si="128"/>
        <v>44402</v>
      </c>
      <c r="D709" s="209">
        <v>17</v>
      </c>
      <c r="E709" s="217">
        <f t="shared" si="129"/>
        <v>5.59</v>
      </c>
      <c r="F709" s="218">
        <f t="shared" si="130"/>
        <v>6.59</v>
      </c>
      <c r="G709" s="219">
        <f t="shared" si="131"/>
        <v>6.59</v>
      </c>
      <c r="H709" s="220">
        <f t="shared" si="132"/>
        <v>7.59</v>
      </c>
      <c r="I709" s="257" t="str">
        <f t="shared" si="133"/>
        <v>6-7 years</v>
      </c>
      <c r="J709" s="211">
        <f t="shared" si="134"/>
        <v>0.83835616438356164</v>
      </c>
      <c r="K709" s="258">
        <f>$D709*J709*_xlfn.XLOOKUP($I709,'Sample Size cal and results'!$B$24:$B$25,'Sample Size cal and results'!$H$24:$H$25)</f>
        <v>11.685322178304123</v>
      </c>
      <c r="L709" s="211">
        <f t="shared" si="135"/>
        <v>0.16164383561643836</v>
      </c>
      <c r="M709" s="211">
        <f>$D709*L709*_xlfn.XLOOKUP($I709,'Sample Size cal and results'!$B$24:$B$25,'Sample Size cal and results'!$I$24:$I$25)</f>
        <v>2.3116547857922489</v>
      </c>
      <c r="N709" s="214">
        <f t="shared" si="136"/>
        <v>13.996976964096373</v>
      </c>
      <c r="O709" s="225" t="str">
        <f t="shared" si="137"/>
        <v>7-8 years</v>
      </c>
      <c r="P709" s="226">
        <f t="shared" si="138"/>
        <v>0.40273972602739727</v>
      </c>
      <c r="Q709" s="227">
        <f>$D709*P709*_xlfn.XLOOKUP($O709,'Sample Size cal and results'!$B$26:$B$27,'Sample Size cal and results'!$I$26:$I$27)</f>
        <v>4.4487093516090521</v>
      </c>
      <c r="R709" s="330"/>
    </row>
    <row r="710" spans="1:18" ht="12.75">
      <c r="A710" s="99" t="s">
        <v>145</v>
      </c>
      <c r="B710" s="100">
        <v>41845</v>
      </c>
      <c r="C710" s="100">
        <f t="shared" si="128"/>
        <v>44401</v>
      </c>
      <c r="D710" s="209">
        <v>59</v>
      </c>
      <c r="E710" s="217">
        <f t="shared" si="129"/>
        <v>5.6</v>
      </c>
      <c r="F710" s="218">
        <f t="shared" si="130"/>
        <v>6.59</v>
      </c>
      <c r="G710" s="219">
        <f t="shared" si="131"/>
        <v>6.6</v>
      </c>
      <c r="H710" s="220">
        <f t="shared" si="132"/>
        <v>7.59</v>
      </c>
      <c r="I710" s="257" t="str">
        <f t="shared" si="133"/>
        <v>6-7 years</v>
      </c>
      <c r="J710" s="211">
        <f t="shared" si="134"/>
        <v>0.83835616438356164</v>
      </c>
      <c r="K710" s="258">
        <f>$D710*J710*_xlfn.XLOOKUP($I710,'Sample Size cal and results'!$B$24:$B$25,'Sample Size cal and results'!$H$24:$H$25)</f>
        <v>40.554941677643718</v>
      </c>
      <c r="L710" s="211">
        <f t="shared" si="135"/>
        <v>0.16164383561643836</v>
      </c>
      <c r="M710" s="211">
        <f>$D710*L710*_xlfn.XLOOKUP($I710,'Sample Size cal and results'!$B$24:$B$25,'Sample Size cal and results'!$I$24:$I$25)</f>
        <v>8.0228019036319207</v>
      </c>
      <c r="N710" s="214">
        <f t="shared" si="136"/>
        <v>48.577743581275641</v>
      </c>
      <c r="O710" s="225" t="str">
        <f t="shared" si="137"/>
        <v>7-8 years</v>
      </c>
      <c r="P710" s="226">
        <f t="shared" si="138"/>
        <v>0.4</v>
      </c>
      <c r="Q710" s="227">
        <f>$D710*P710*_xlfn.XLOOKUP($O710,'Sample Size cal and results'!$B$26:$B$27,'Sample Size cal and results'!$I$26:$I$27)</f>
        <v>15.334606784617998</v>
      </c>
      <c r="R710" s="330"/>
    </row>
    <row r="711" spans="1:18" ht="12.75">
      <c r="A711" s="99" t="s">
        <v>143</v>
      </c>
      <c r="B711" s="100">
        <v>41845</v>
      </c>
      <c r="C711" s="100">
        <f t="shared" si="128"/>
        <v>44401</v>
      </c>
      <c r="D711" s="209">
        <v>23</v>
      </c>
      <c r="E711" s="217">
        <f t="shared" si="129"/>
        <v>5.6</v>
      </c>
      <c r="F711" s="218">
        <f t="shared" si="130"/>
        <v>6.59</v>
      </c>
      <c r="G711" s="219">
        <f t="shared" si="131"/>
        <v>6.6</v>
      </c>
      <c r="H711" s="220">
        <f t="shared" si="132"/>
        <v>7.59</v>
      </c>
      <c r="I711" s="257" t="str">
        <f t="shared" si="133"/>
        <v>6-7 years</v>
      </c>
      <c r="J711" s="211">
        <f t="shared" si="134"/>
        <v>0.83835616438356164</v>
      </c>
      <c r="K711" s="258">
        <f>$D711*J711*_xlfn.XLOOKUP($I711,'Sample Size cal and results'!$B$24:$B$25,'Sample Size cal and results'!$H$24:$H$25)</f>
        <v>15.809553535352636</v>
      </c>
      <c r="L711" s="211">
        <f t="shared" si="135"/>
        <v>0.16164383561643836</v>
      </c>
      <c r="M711" s="211">
        <f>$D711*L711*_xlfn.XLOOKUP($I711,'Sample Size cal and results'!$B$24:$B$25,'Sample Size cal and results'!$I$24:$I$25)</f>
        <v>3.1275329454836305</v>
      </c>
      <c r="N711" s="214">
        <f t="shared" si="136"/>
        <v>18.937086480836268</v>
      </c>
      <c r="O711" s="225" t="str">
        <f t="shared" si="137"/>
        <v>7-8 years</v>
      </c>
      <c r="P711" s="226">
        <f t="shared" si="138"/>
        <v>0.4</v>
      </c>
      <c r="Q711" s="227">
        <f>$D711*P711*_xlfn.XLOOKUP($O711,'Sample Size cal and results'!$B$26:$B$27,'Sample Size cal and results'!$I$26:$I$27)</f>
        <v>5.9778975601053217</v>
      </c>
      <c r="R711" s="330"/>
    </row>
    <row r="712" spans="1:18" ht="12.75">
      <c r="A712" s="99" t="s">
        <v>145</v>
      </c>
      <c r="B712" s="100">
        <v>41844</v>
      </c>
      <c r="C712" s="100">
        <f t="shared" si="128"/>
        <v>44400</v>
      </c>
      <c r="D712" s="209">
        <v>62</v>
      </c>
      <c r="E712" s="217">
        <f t="shared" si="129"/>
        <v>5.6</v>
      </c>
      <c r="F712" s="218">
        <f t="shared" si="130"/>
        <v>6.6</v>
      </c>
      <c r="G712" s="219">
        <f t="shared" si="131"/>
        <v>6.6</v>
      </c>
      <c r="H712" s="220">
        <f t="shared" si="132"/>
        <v>7.6</v>
      </c>
      <c r="I712" s="257" t="str">
        <f t="shared" si="133"/>
        <v>6-7 years</v>
      </c>
      <c r="J712" s="211">
        <f t="shared" si="134"/>
        <v>0.83835616438356164</v>
      </c>
      <c r="K712" s="258">
        <f>$D712*J712*_xlfn.XLOOKUP($I712,'Sample Size cal and results'!$B$24:$B$25,'Sample Size cal and results'!$H$24:$H$25)</f>
        <v>42.617057356167976</v>
      </c>
      <c r="L712" s="211">
        <f t="shared" si="135"/>
        <v>0.16164383561643836</v>
      </c>
      <c r="M712" s="211">
        <f>$D712*L712*_xlfn.XLOOKUP($I712,'Sample Size cal and results'!$B$24:$B$25,'Sample Size cal and results'!$I$24:$I$25)</f>
        <v>8.4307409834776124</v>
      </c>
      <c r="N712" s="214">
        <f t="shared" si="136"/>
        <v>51.047798339645588</v>
      </c>
      <c r="O712" s="225" t="str">
        <f t="shared" si="137"/>
        <v>7-8 years</v>
      </c>
      <c r="P712" s="226">
        <f t="shared" si="138"/>
        <v>0.39726027397260272</v>
      </c>
      <c r="Q712" s="227">
        <f>$D712*P712*_xlfn.XLOOKUP($O712,'Sample Size cal and results'!$B$26:$B$27,'Sample Size cal and results'!$I$26:$I$27)</f>
        <v>16.003960412551173</v>
      </c>
      <c r="R712" s="330"/>
    </row>
    <row r="713" spans="1:18" ht="12.75">
      <c r="A713" s="99" t="s">
        <v>143</v>
      </c>
      <c r="B713" s="100">
        <v>41844</v>
      </c>
      <c r="C713" s="100">
        <f t="shared" si="128"/>
        <v>44400</v>
      </c>
      <c r="D713" s="209">
        <v>23</v>
      </c>
      <c r="E713" s="217">
        <f t="shared" si="129"/>
        <v>5.6</v>
      </c>
      <c r="F713" s="218">
        <f t="shared" si="130"/>
        <v>6.6</v>
      </c>
      <c r="G713" s="219">
        <f t="shared" si="131"/>
        <v>6.6</v>
      </c>
      <c r="H713" s="220">
        <f t="shared" si="132"/>
        <v>7.6</v>
      </c>
      <c r="I713" s="257" t="str">
        <f t="shared" si="133"/>
        <v>6-7 years</v>
      </c>
      <c r="J713" s="211">
        <f t="shared" si="134"/>
        <v>0.83835616438356164</v>
      </c>
      <c r="K713" s="258">
        <f>$D713*J713*_xlfn.XLOOKUP($I713,'Sample Size cal and results'!$B$24:$B$25,'Sample Size cal and results'!$H$24:$H$25)</f>
        <v>15.809553535352636</v>
      </c>
      <c r="L713" s="211">
        <f t="shared" si="135"/>
        <v>0.16164383561643836</v>
      </c>
      <c r="M713" s="211">
        <f>$D713*L713*_xlfn.XLOOKUP($I713,'Sample Size cal and results'!$B$24:$B$25,'Sample Size cal and results'!$I$24:$I$25)</f>
        <v>3.1275329454836305</v>
      </c>
      <c r="N713" s="214">
        <f t="shared" si="136"/>
        <v>18.937086480836268</v>
      </c>
      <c r="O713" s="225" t="str">
        <f t="shared" si="137"/>
        <v>7-8 years</v>
      </c>
      <c r="P713" s="226">
        <f t="shared" si="138"/>
        <v>0.39726027397260272</v>
      </c>
      <c r="Q713" s="227">
        <f>$D713*P713*_xlfn.XLOOKUP($O713,'Sample Size cal and results'!$B$26:$B$27,'Sample Size cal and results'!$I$26:$I$27)</f>
        <v>5.9369530562689832</v>
      </c>
      <c r="R713" s="330"/>
    </row>
    <row r="714" spans="1:18" ht="12.75">
      <c r="A714" s="99" t="s">
        <v>145</v>
      </c>
      <c r="B714" s="100">
        <v>41843</v>
      </c>
      <c r="C714" s="100">
        <f t="shared" si="128"/>
        <v>44399</v>
      </c>
      <c r="D714" s="209">
        <v>58</v>
      </c>
      <c r="E714" s="217">
        <f t="shared" si="129"/>
        <v>5.6</v>
      </c>
      <c r="F714" s="218">
        <f t="shared" si="130"/>
        <v>6.6</v>
      </c>
      <c r="G714" s="219">
        <f t="shared" si="131"/>
        <v>6.6</v>
      </c>
      <c r="H714" s="220">
        <f t="shared" si="132"/>
        <v>7.6</v>
      </c>
      <c r="I714" s="257" t="str">
        <f t="shared" si="133"/>
        <v>6-7 years</v>
      </c>
      <c r="J714" s="211">
        <f t="shared" si="134"/>
        <v>0.83835616438356164</v>
      </c>
      <c r="K714" s="258">
        <f>$D714*J714*_xlfn.XLOOKUP($I714,'Sample Size cal and results'!$B$24:$B$25,'Sample Size cal and results'!$H$24:$H$25)</f>
        <v>39.867569784802299</v>
      </c>
      <c r="L714" s="211">
        <f t="shared" si="135"/>
        <v>0.16164383561643836</v>
      </c>
      <c r="M714" s="211">
        <f>$D714*L714*_xlfn.XLOOKUP($I714,'Sample Size cal and results'!$B$24:$B$25,'Sample Size cal and results'!$I$24:$I$25)</f>
        <v>7.886822210350025</v>
      </c>
      <c r="N714" s="214">
        <f t="shared" si="136"/>
        <v>47.754391995152325</v>
      </c>
      <c r="O714" s="225" t="str">
        <f t="shared" si="137"/>
        <v>7-8 years</v>
      </c>
      <c r="P714" s="226">
        <f t="shared" si="138"/>
        <v>0.39452054794520547</v>
      </c>
      <c r="Q714" s="227">
        <f>$D714*P714*_xlfn.XLOOKUP($O714,'Sample Size cal and results'!$B$26:$B$27,'Sample Size cal and results'!$I$26:$I$27)</f>
        <v>14.86819548004754</v>
      </c>
      <c r="R714" s="330"/>
    </row>
    <row r="715" spans="1:18" ht="12.75">
      <c r="A715" s="99" t="s">
        <v>143</v>
      </c>
      <c r="B715" s="100">
        <v>41843</v>
      </c>
      <c r="C715" s="100">
        <f t="shared" si="128"/>
        <v>44399</v>
      </c>
      <c r="D715" s="209">
        <v>18</v>
      </c>
      <c r="E715" s="217">
        <f t="shared" si="129"/>
        <v>5.6</v>
      </c>
      <c r="F715" s="218">
        <f t="shared" si="130"/>
        <v>6.6</v>
      </c>
      <c r="G715" s="219">
        <f t="shared" si="131"/>
        <v>6.6</v>
      </c>
      <c r="H715" s="220">
        <f t="shared" si="132"/>
        <v>7.6</v>
      </c>
      <c r="I715" s="257" t="str">
        <f t="shared" si="133"/>
        <v>6-7 years</v>
      </c>
      <c r="J715" s="211">
        <f t="shared" si="134"/>
        <v>0.83835616438356164</v>
      </c>
      <c r="K715" s="258">
        <f>$D715*J715*_xlfn.XLOOKUP($I715,'Sample Size cal and results'!$B$24:$B$25,'Sample Size cal and results'!$H$24:$H$25)</f>
        <v>12.372694071145542</v>
      </c>
      <c r="L715" s="211">
        <f t="shared" si="135"/>
        <v>0.16164383561643836</v>
      </c>
      <c r="M715" s="211">
        <f>$D715*L715*_xlfn.XLOOKUP($I715,'Sample Size cal and results'!$B$24:$B$25,'Sample Size cal and results'!$I$24:$I$25)</f>
        <v>2.447634479074146</v>
      </c>
      <c r="N715" s="214">
        <f t="shared" si="136"/>
        <v>14.820328550219688</v>
      </c>
      <c r="O715" s="225" t="str">
        <f t="shared" si="137"/>
        <v>7-8 years</v>
      </c>
      <c r="P715" s="226">
        <f t="shared" si="138"/>
        <v>0.39452054794520547</v>
      </c>
      <c r="Q715" s="227">
        <f>$D715*P715*_xlfn.XLOOKUP($O715,'Sample Size cal and results'!$B$26:$B$27,'Sample Size cal and results'!$I$26:$I$27)</f>
        <v>4.6142675627733745</v>
      </c>
      <c r="R715" s="330"/>
    </row>
    <row r="716" spans="1:18" ht="12.75">
      <c r="A716" s="99" t="s">
        <v>145</v>
      </c>
      <c r="B716" s="100">
        <v>41842</v>
      </c>
      <c r="C716" s="100">
        <f t="shared" si="128"/>
        <v>44398</v>
      </c>
      <c r="D716" s="209">
        <v>59</v>
      </c>
      <c r="E716" s="217">
        <f t="shared" si="129"/>
        <v>5.6</v>
      </c>
      <c r="F716" s="218">
        <f t="shared" si="130"/>
        <v>6.6</v>
      </c>
      <c r="G716" s="219">
        <f t="shared" si="131"/>
        <v>6.6</v>
      </c>
      <c r="H716" s="220">
        <f t="shared" si="132"/>
        <v>7.6</v>
      </c>
      <c r="I716" s="257" t="str">
        <f t="shared" si="133"/>
        <v>6-7 years</v>
      </c>
      <c r="J716" s="211">
        <f t="shared" si="134"/>
        <v>0.83835616438356164</v>
      </c>
      <c r="K716" s="258">
        <f>$D716*J716*_xlfn.XLOOKUP($I716,'Sample Size cal and results'!$B$24:$B$25,'Sample Size cal and results'!$H$24:$H$25)</f>
        <v>40.554941677643718</v>
      </c>
      <c r="L716" s="211">
        <f t="shared" si="135"/>
        <v>0.16164383561643836</v>
      </c>
      <c r="M716" s="211">
        <f>$D716*L716*_xlfn.XLOOKUP($I716,'Sample Size cal and results'!$B$24:$B$25,'Sample Size cal and results'!$I$24:$I$25)</f>
        <v>8.0228019036319207</v>
      </c>
      <c r="N716" s="214">
        <f t="shared" si="136"/>
        <v>48.577743581275641</v>
      </c>
      <c r="O716" s="225" t="str">
        <f t="shared" si="137"/>
        <v>7-8 years</v>
      </c>
      <c r="P716" s="226">
        <f t="shared" si="138"/>
        <v>0.39178082191780822</v>
      </c>
      <c r="Q716" s="227">
        <f>$D716*P716*_xlfn.XLOOKUP($O716,'Sample Size cal and results'!$B$26:$B$27,'Sample Size cal and results'!$I$26:$I$27)</f>
        <v>15.019512124660093</v>
      </c>
      <c r="R716" s="330"/>
    </row>
    <row r="717" spans="1:18" ht="12.75">
      <c r="A717" s="99" t="s">
        <v>143</v>
      </c>
      <c r="B717" s="100">
        <v>41842</v>
      </c>
      <c r="C717" s="100">
        <f t="shared" si="128"/>
        <v>44398</v>
      </c>
      <c r="D717" s="209">
        <v>41</v>
      </c>
      <c r="E717" s="217">
        <f t="shared" si="129"/>
        <v>5.6</v>
      </c>
      <c r="F717" s="218">
        <f t="shared" si="130"/>
        <v>6.6</v>
      </c>
      <c r="G717" s="219">
        <f t="shared" si="131"/>
        <v>6.6</v>
      </c>
      <c r="H717" s="220">
        <f t="shared" si="132"/>
        <v>7.6</v>
      </c>
      <c r="I717" s="257" t="str">
        <f t="shared" si="133"/>
        <v>6-7 years</v>
      </c>
      <c r="J717" s="211">
        <f t="shared" si="134"/>
        <v>0.83835616438356164</v>
      </c>
      <c r="K717" s="258">
        <f>$D717*J717*_xlfn.XLOOKUP($I717,'Sample Size cal and results'!$B$24:$B$25,'Sample Size cal and results'!$H$24:$H$25)</f>
        <v>28.182247606498176</v>
      </c>
      <c r="L717" s="211">
        <f t="shared" si="135"/>
        <v>0.16164383561643836</v>
      </c>
      <c r="M717" s="211">
        <f>$D717*L717*_xlfn.XLOOKUP($I717,'Sample Size cal and results'!$B$24:$B$25,'Sample Size cal and results'!$I$24:$I$25)</f>
        <v>5.575167424557776</v>
      </c>
      <c r="N717" s="214">
        <f t="shared" si="136"/>
        <v>33.757415031055956</v>
      </c>
      <c r="O717" s="225" t="str">
        <f t="shared" si="137"/>
        <v>7-8 years</v>
      </c>
      <c r="P717" s="226">
        <f t="shared" si="138"/>
        <v>0.39178082191780822</v>
      </c>
      <c r="Q717" s="227">
        <f>$D717*P717*_xlfn.XLOOKUP($O717,'Sample Size cal and results'!$B$26:$B$27,'Sample Size cal and results'!$I$26:$I$27)</f>
        <v>10.4372880866282</v>
      </c>
      <c r="R717" s="330"/>
    </row>
    <row r="718" spans="1:18" ht="12.75">
      <c r="A718" s="99" t="s">
        <v>145</v>
      </c>
      <c r="B718" s="100">
        <v>41841</v>
      </c>
      <c r="C718" s="100">
        <f t="shared" si="128"/>
        <v>44397</v>
      </c>
      <c r="D718" s="209">
        <v>56</v>
      </c>
      <c r="E718" s="217">
        <f t="shared" si="129"/>
        <v>5.61</v>
      </c>
      <c r="F718" s="218">
        <f t="shared" si="130"/>
        <v>6.6</v>
      </c>
      <c r="G718" s="219">
        <f t="shared" si="131"/>
        <v>6.61</v>
      </c>
      <c r="H718" s="220">
        <f t="shared" si="132"/>
        <v>7.6</v>
      </c>
      <c r="I718" s="257" t="str">
        <f t="shared" si="133"/>
        <v>6-7 years</v>
      </c>
      <c r="J718" s="211">
        <f t="shared" si="134"/>
        <v>0.83835616438356164</v>
      </c>
      <c r="K718" s="258">
        <f>$D718*J718*_xlfn.XLOOKUP($I718,'Sample Size cal and results'!$B$24:$B$25,'Sample Size cal and results'!$H$24:$H$25)</f>
        <v>38.492825999119461</v>
      </c>
      <c r="L718" s="211">
        <f t="shared" si="135"/>
        <v>0.16164383561643836</v>
      </c>
      <c r="M718" s="211">
        <f>$D718*L718*_xlfn.XLOOKUP($I718,'Sample Size cal and results'!$B$24:$B$25,'Sample Size cal and results'!$I$24:$I$25)</f>
        <v>7.6148628237862299</v>
      </c>
      <c r="N718" s="214">
        <f t="shared" si="136"/>
        <v>46.107688822905693</v>
      </c>
      <c r="O718" s="225" t="str">
        <f t="shared" si="137"/>
        <v>7-8 years</v>
      </c>
      <c r="P718" s="226">
        <f t="shared" si="138"/>
        <v>0.38904109589041097</v>
      </c>
      <c r="Q718" s="227">
        <f>$D718*P718*_xlfn.XLOOKUP($O718,'Sample Size cal and results'!$B$26:$B$27,'Sample Size cal and results'!$I$26:$I$27)</f>
        <v>14.156117152459057</v>
      </c>
      <c r="R718" s="330"/>
    </row>
    <row r="719" spans="1:18" ht="12.75">
      <c r="A719" s="99" t="s">
        <v>143</v>
      </c>
      <c r="B719" s="100">
        <v>41841</v>
      </c>
      <c r="C719" s="100">
        <f t="shared" si="128"/>
        <v>44397</v>
      </c>
      <c r="D719" s="209">
        <v>23</v>
      </c>
      <c r="E719" s="217">
        <f t="shared" si="129"/>
        <v>5.61</v>
      </c>
      <c r="F719" s="218">
        <f t="shared" si="130"/>
        <v>6.6</v>
      </c>
      <c r="G719" s="219">
        <f t="shared" si="131"/>
        <v>6.61</v>
      </c>
      <c r="H719" s="220">
        <f t="shared" si="132"/>
        <v>7.6</v>
      </c>
      <c r="I719" s="257" t="str">
        <f t="shared" si="133"/>
        <v>6-7 years</v>
      </c>
      <c r="J719" s="211">
        <f t="shared" si="134"/>
        <v>0.83835616438356164</v>
      </c>
      <c r="K719" s="258">
        <f>$D719*J719*_xlfn.XLOOKUP($I719,'Sample Size cal and results'!$B$24:$B$25,'Sample Size cal and results'!$H$24:$H$25)</f>
        <v>15.809553535352636</v>
      </c>
      <c r="L719" s="211">
        <f t="shared" si="135"/>
        <v>0.16164383561643836</v>
      </c>
      <c r="M719" s="211">
        <f>$D719*L719*_xlfn.XLOOKUP($I719,'Sample Size cal and results'!$B$24:$B$25,'Sample Size cal and results'!$I$24:$I$25)</f>
        <v>3.1275329454836305</v>
      </c>
      <c r="N719" s="214">
        <f t="shared" si="136"/>
        <v>18.937086480836268</v>
      </c>
      <c r="O719" s="225" t="str">
        <f t="shared" si="137"/>
        <v>7-8 years</v>
      </c>
      <c r="P719" s="226">
        <f t="shared" si="138"/>
        <v>0.38904109589041097</v>
      </c>
      <c r="Q719" s="227">
        <f>$D719*P719*_xlfn.XLOOKUP($O719,'Sample Size cal and results'!$B$26:$B$27,'Sample Size cal and results'!$I$26:$I$27)</f>
        <v>5.8141195447599703</v>
      </c>
      <c r="R719" s="330"/>
    </row>
    <row r="720" spans="1:18" ht="12.75">
      <c r="A720" s="99" t="s">
        <v>145</v>
      </c>
      <c r="B720" s="100">
        <v>41840</v>
      </c>
      <c r="C720" s="100">
        <f t="shared" si="128"/>
        <v>44396</v>
      </c>
      <c r="D720" s="209">
        <v>64</v>
      </c>
      <c r="E720" s="217">
        <f t="shared" si="129"/>
        <v>5.61</v>
      </c>
      <c r="F720" s="218">
        <f t="shared" si="130"/>
        <v>6.61</v>
      </c>
      <c r="G720" s="219">
        <f t="shared" si="131"/>
        <v>6.61</v>
      </c>
      <c r="H720" s="220">
        <f t="shared" si="132"/>
        <v>7.61</v>
      </c>
      <c r="I720" s="257" t="str">
        <f t="shared" si="133"/>
        <v>6-7 years</v>
      </c>
      <c r="J720" s="211">
        <f t="shared" si="134"/>
        <v>0.83835616438356164</v>
      </c>
      <c r="K720" s="258">
        <f>$D720*J720*_xlfn.XLOOKUP($I720,'Sample Size cal and results'!$B$24:$B$25,'Sample Size cal and results'!$H$24:$H$25)</f>
        <v>43.991801141850814</v>
      </c>
      <c r="L720" s="211">
        <f t="shared" si="135"/>
        <v>0.16164383561643836</v>
      </c>
      <c r="M720" s="211">
        <f>$D720*L720*_xlfn.XLOOKUP($I720,'Sample Size cal and results'!$B$24:$B$25,'Sample Size cal and results'!$I$24:$I$25)</f>
        <v>8.7027003700414074</v>
      </c>
      <c r="N720" s="214">
        <f t="shared" si="136"/>
        <v>52.69450151189222</v>
      </c>
      <c r="O720" s="225" t="str">
        <f t="shared" si="137"/>
        <v>7-8 years</v>
      </c>
      <c r="P720" s="226">
        <f t="shared" si="138"/>
        <v>0.38630136986301372</v>
      </c>
      <c r="Q720" s="227">
        <f>$D720*P720*_xlfn.XLOOKUP($O720,'Sample Size cal and results'!$B$26:$B$27,'Sample Size cal and results'!$I$26:$I$27)</f>
        <v>16.064487070396194</v>
      </c>
      <c r="R720" s="330"/>
    </row>
    <row r="721" spans="1:18" ht="12.75">
      <c r="A721" s="99" t="s">
        <v>143</v>
      </c>
      <c r="B721" s="100">
        <v>41840</v>
      </c>
      <c r="C721" s="100">
        <f t="shared" si="128"/>
        <v>44396</v>
      </c>
      <c r="D721" s="209">
        <v>34</v>
      </c>
      <c r="E721" s="217">
        <f t="shared" si="129"/>
        <v>5.61</v>
      </c>
      <c r="F721" s="218">
        <f t="shared" si="130"/>
        <v>6.61</v>
      </c>
      <c r="G721" s="219">
        <f t="shared" si="131"/>
        <v>6.61</v>
      </c>
      <c r="H721" s="220">
        <f t="shared" si="132"/>
        <v>7.61</v>
      </c>
      <c r="I721" s="257" t="str">
        <f t="shared" si="133"/>
        <v>6-7 years</v>
      </c>
      <c r="J721" s="211">
        <f t="shared" si="134"/>
        <v>0.83835616438356164</v>
      </c>
      <c r="K721" s="258">
        <f>$D721*J721*_xlfn.XLOOKUP($I721,'Sample Size cal and results'!$B$24:$B$25,'Sample Size cal and results'!$H$24:$H$25)</f>
        <v>23.370644356608246</v>
      </c>
      <c r="L721" s="211">
        <f t="shared" si="135"/>
        <v>0.16164383561643836</v>
      </c>
      <c r="M721" s="211">
        <f>$D721*L721*_xlfn.XLOOKUP($I721,'Sample Size cal and results'!$B$24:$B$25,'Sample Size cal and results'!$I$24:$I$25)</f>
        <v>4.6233095715844978</v>
      </c>
      <c r="N721" s="214">
        <f t="shared" si="136"/>
        <v>27.993953928192745</v>
      </c>
      <c r="O721" s="225" t="str">
        <f t="shared" si="137"/>
        <v>7-8 years</v>
      </c>
      <c r="P721" s="226">
        <f t="shared" si="138"/>
        <v>0.38630136986301372</v>
      </c>
      <c r="Q721" s="227">
        <f>$D721*P721*_xlfn.XLOOKUP($O721,'Sample Size cal and results'!$B$26:$B$27,'Sample Size cal and results'!$I$26:$I$27)</f>
        <v>8.5342587561479775</v>
      </c>
      <c r="R721" s="330"/>
    </row>
    <row r="722" spans="1:18" ht="12.75">
      <c r="A722" s="99" t="s">
        <v>145</v>
      </c>
      <c r="B722" s="100">
        <v>41839</v>
      </c>
      <c r="C722" s="100">
        <f t="shared" si="128"/>
        <v>44395</v>
      </c>
      <c r="D722" s="209">
        <v>56</v>
      </c>
      <c r="E722" s="217">
        <f t="shared" si="129"/>
        <v>5.61</v>
      </c>
      <c r="F722" s="218">
        <f t="shared" si="130"/>
        <v>6.61</v>
      </c>
      <c r="G722" s="219">
        <f t="shared" si="131"/>
        <v>6.61</v>
      </c>
      <c r="H722" s="220">
        <f t="shared" si="132"/>
        <v>7.61</v>
      </c>
      <c r="I722" s="257" t="str">
        <f t="shared" si="133"/>
        <v>6-7 years</v>
      </c>
      <c r="J722" s="211">
        <f t="shared" si="134"/>
        <v>0.83835616438356164</v>
      </c>
      <c r="K722" s="258">
        <f>$D722*J722*_xlfn.XLOOKUP($I722,'Sample Size cal and results'!$B$24:$B$25,'Sample Size cal and results'!$H$24:$H$25)</f>
        <v>38.492825999119461</v>
      </c>
      <c r="L722" s="211">
        <f t="shared" si="135"/>
        <v>0.16164383561643836</v>
      </c>
      <c r="M722" s="211">
        <f>$D722*L722*_xlfn.XLOOKUP($I722,'Sample Size cal and results'!$B$24:$B$25,'Sample Size cal and results'!$I$24:$I$25)</f>
        <v>7.6148628237862299</v>
      </c>
      <c r="N722" s="214">
        <f t="shared" si="136"/>
        <v>46.107688822905693</v>
      </c>
      <c r="O722" s="225" t="str">
        <f t="shared" si="137"/>
        <v>7-8 years</v>
      </c>
      <c r="P722" s="226">
        <f t="shared" si="138"/>
        <v>0.38356164383561642</v>
      </c>
      <c r="Q722" s="227">
        <f>$D722*P722*_xlfn.XLOOKUP($O722,'Sample Size cal and results'!$B$26:$B$27,'Sample Size cal and results'!$I$26:$I$27)</f>
        <v>13.956735220734283</v>
      </c>
      <c r="R722" s="330"/>
    </row>
    <row r="723" spans="1:18" ht="12.75">
      <c r="A723" s="99" t="s">
        <v>143</v>
      </c>
      <c r="B723" s="100">
        <v>41839</v>
      </c>
      <c r="C723" s="100">
        <f t="shared" si="128"/>
        <v>44395</v>
      </c>
      <c r="D723" s="209">
        <v>18</v>
      </c>
      <c r="E723" s="217">
        <f t="shared" si="129"/>
        <v>5.61</v>
      </c>
      <c r="F723" s="218">
        <f t="shared" si="130"/>
        <v>6.61</v>
      </c>
      <c r="G723" s="219">
        <f t="shared" si="131"/>
        <v>6.61</v>
      </c>
      <c r="H723" s="220">
        <f t="shared" si="132"/>
        <v>7.61</v>
      </c>
      <c r="I723" s="257" t="str">
        <f t="shared" si="133"/>
        <v>6-7 years</v>
      </c>
      <c r="J723" s="211">
        <f t="shared" si="134"/>
        <v>0.83835616438356164</v>
      </c>
      <c r="K723" s="258">
        <f>$D723*J723*_xlfn.XLOOKUP($I723,'Sample Size cal and results'!$B$24:$B$25,'Sample Size cal and results'!$H$24:$H$25)</f>
        <v>12.372694071145542</v>
      </c>
      <c r="L723" s="211">
        <f t="shared" si="135"/>
        <v>0.16164383561643836</v>
      </c>
      <c r="M723" s="211">
        <f>$D723*L723*_xlfn.XLOOKUP($I723,'Sample Size cal and results'!$B$24:$B$25,'Sample Size cal and results'!$I$24:$I$25)</f>
        <v>2.447634479074146</v>
      </c>
      <c r="N723" s="214">
        <f t="shared" si="136"/>
        <v>14.820328550219688</v>
      </c>
      <c r="O723" s="225" t="str">
        <f t="shared" si="137"/>
        <v>7-8 years</v>
      </c>
      <c r="P723" s="226">
        <f t="shared" si="138"/>
        <v>0.38356164383561642</v>
      </c>
      <c r="Q723" s="227">
        <f>$D723*P723*_xlfn.XLOOKUP($O723,'Sample Size cal and results'!$B$26:$B$27,'Sample Size cal and results'!$I$26:$I$27)</f>
        <v>4.486093463807447</v>
      </c>
      <c r="R723" s="330"/>
    </row>
    <row r="724" spans="1:18" ht="12.75">
      <c r="A724" s="99" t="s">
        <v>145</v>
      </c>
      <c r="B724" s="100">
        <v>41838</v>
      </c>
      <c r="C724" s="100">
        <f t="shared" si="128"/>
        <v>44394</v>
      </c>
      <c r="D724" s="209">
        <v>70</v>
      </c>
      <c r="E724" s="217">
        <f t="shared" si="129"/>
        <v>5.62</v>
      </c>
      <c r="F724" s="218">
        <f t="shared" si="130"/>
        <v>6.61</v>
      </c>
      <c r="G724" s="219">
        <f t="shared" si="131"/>
        <v>6.62</v>
      </c>
      <c r="H724" s="220">
        <f t="shared" si="132"/>
        <v>7.61</v>
      </c>
      <c r="I724" s="257" t="str">
        <f t="shared" si="133"/>
        <v>6-7 years</v>
      </c>
      <c r="J724" s="211">
        <f t="shared" si="134"/>
        <v>0.83835616438356164</v>
      </c>
      <c r="K724" s="258">
        <f>$D724*J724*_xlfn.XLOOKUP($I724,'Sample Size cal and results'!$B$24:$B$25,'Sample Size cal and results'!$H$24:$H$25)</f>
        <v>48.11603249889933</v>
      </c>
      <c r="L724" s="211">
        <f t="shared" si="135"/>
        <v>0.16164383561643836</v>
      </c>
      <c r="M724" s="211">
        <f>$D724*L724*_xlfn.XLOOKUP($I724,'Sample Size cal and results'!$B$24:$B$25,'Sample Size cal and results'!$I$24:$I$25)</f>
        <v>9.518578529732789</v>
      </c>
      <c r="N724" s="214">
        <f t="shared" si="136"/>
        <v>57.634611028632122</v>
      </c>
      <c r="O724" s="225" t="str">
        <f t="shared" si="137"/>
        <v>7-8 years</v>
      </c>
      <c r="P724" s="226">
        <f t="shared" si="138"/>
        <v>0.38082191780821917</v>
      </c>
      <c r="Q724" s="227">
        <f>$D724*P724*_xlfn.XLOOKUP($O724,'Sample Size cal and results'!$B$26:$B$27,'Sample Size cal and results'!$I$26:$I$27)</f>
        <v>17.321305318589868</v>
      </c>
      <c r="R724" s="330"/>
    </row>
    <row r="725" spans="1:18" ht="12.75">
      <c r="A725" s="99" t="s">
        <v>143</v>
      </c>
      <c r="B725" s="100">
        <v>41838</v>
      </c>
      <c r="C725" s="100">
        <f t="shared" si="128"/>
        <v>44394</v>
      </c>
      <c r="D725" s="209">
        <v>35</v>
      </c>
      <c r="E725" s="217">
        <f t="shared" si="129"/>
        <v>5.62</v>
      </c>
      <c r="F725" s="218">
        <f t="shared" si="130"/>
        <v>6.61</v>
      </c>
      <c r="G725" s="219">
        <f t="shared" si="131"/>
        <v>6.62</v>
      </c>
      <c r="H725" s="220">
        <f t="shared" si="132"/>
        <v>7.61</v>
      </c>
      <c r="I725" s="257" t="str">
        <f t="shared" si="133"/>
        <v>6-7 years</v>
      </c>
      <c r="J725" s="211">
        <f t="shared" si="134"/>
        <v>0.83835616438356164</v>
      </c>
      <c r="K725" s="258">
        <f>$D725*J725*_xlfn.XLOOKUP($I725,'Sample Size cal and results'!$B$24:$B$25,'Sample Size cal and results'!$H$24:$H$25)</f>
        <v>24.058016249449665</v>
      </c>
      <c r="L725" s="211">
        <f t="shared" si="135"/>
        <v>0.16164383561643836</v>
      </c>
      <c r="M725" s="211">
        <f>$D725*L725*_xlfn.XLOOKUP($I725,'Sample Size cal and results'!$B$24:$B$25,'Sample Size cal and results'!$I$24:$I$25)</f>
        <v>4.7592892648663945</v>
      </c>
      <c r="N725" s="214">
        <f t="shared" si="136"/>
        <v>28.817305514316061</v>
      </c>
      <c r="O725" s="225" t="str">
        <f t="shared" si="137"/>
        <v>7-8 years</v>
      </c>
      <c r="P725" s="226">
        <f t="shared" si="138"/>
        <v>0.38082191780821917</v>
      </c>
      <c r="Q725" s="227">
        <f>$D725*P725*_xlfn.XLOOKUP($O725,'Sample Size cal and results'!$B$26:$B$27,'Sample Size cal and results'!$I$26:$I$27)</f>
        <v>8.660652659294934</v>
      </c>
      <c r="R725" s="330"/>
    </row>
    <row r="726" spans="1:18" ht="12.75">
      <c r="A726" s="99" t="s">
        <v>145</v>
      </c>
      <c r="B726" s="100">
        <v>41837</v>
      </c>
      <c r="C726" s="100">
        <f t="shared" si="128"/>
        <v>44393</v>
      </c>
      <c r="D726" s="209">
        <v>58</v>
      </c>
      <c r="E726" s="217">
        <f t="shared" si="129"/>
        <v>5.62</v>
      </c>
      <c r="F726" s="218">
        <f t="shared" si="130"/>
        <v>6.62</v>
      </c>
      <c r="G726" s="219">
        <f t="shared" si="131"/>
        <v>6.62</v>
      </c>
      <c r="H726" s="220">
        <f t="shared" si="132"/>
        <v>7.62</v>
      </c>
      <c r="I726" s="257" t="str">
        <f t="shared" si="133"/>
        <v>6-7 years</v>
      </c>
      <c r="J726" s="211">
        <f t="shared" si="134"/>
        <v>0.83835616438356164</v>
      </c>
      <c r="K726" s="258">
        <f>$D726*J726*_xlfn.XLOOKUP($I726,'Sample Size cal and results'!$B$24:$B$25,'Sample Size cal and results'!$H$24:$H$25)</f>
        <v>39.867569784802299</v>
      </c>
      <c r="L726" s="211">
        <f t="shared" si="135"/>
        <v>0.16164383561643836</v>
      </c>
      <c r="M726" s="211">
        <f>$D726*L726*_xlfn.XLOOKUP($I726,'Sample Size cal and results'!$B$24:$B$25,'Sample Size cal and results'!$I$24:$I$25)</f>
        <v>7.886822210350025</v>
      </c>
      <c r="N726" s="214">
        <f t="shared" si="136"/>
        <v>47.754391995152325</v>
      </c>
      <c r="O726" s="225" t="str">
        <f t="shared" si="137"/>
        <v>7-8 years</v>
      </c>
      <c r="P726" s="226">
        <f t="shared" si="138"/>
        <v>0.37808219178082192</v>
      </c>
      <c r="Q726" s="227">
        <f>$D726*P726*_xlfn.XLOOKUP($O726,'Sample Size cal and results'!$B$26:$B$27,'Sample Size cal and results'!$I$26:$I$27)</f>
        <v>14.24868733504556</v>
      </c>
      <c r="R726" s="330"/>
    </row>
    <row r="727" spans="1:18" ht="12.75">
      <c r="A727" s="99" t="s">
        <v>143</v>
      </c>
      <c r="B727" s="100">
        <v>41837</v>
      </c>
      <c r="C727" s="100">
        <f t="shared" si="128"/>
        <v>44393</v>
      </c>
      <c r="D727" s="209">
        <v>19</v>
      </c>
      <c r="E727" s="217">
        <f t="shared" si="129"/>
        <v>5.62</v>
      </c>
      <c r="F727" s="218">
        <f t="shared" si="130"/>
        <v>6.62</v>
      </c>
      <c r="G727" s="219">
        <f t="shared" si="131"/>
        <v>6.62</v>
      </c>
      <c r="H727" s="220">
        <f t="shared" si="132"/>
        <v>7.62</v>
      </c>
      <c r="I727" s="257" t="str">
        <f t="shared" si="133"/>
        <v>6-7 years</v>
      </c>
      <c r="J727" s="211">
        <f t="shared" si="134"/>
        <v>0.83835616438356164</v>
      </c>
      <c r="K727" s="258">
        <f>$D727*J727*_xlfn.XLOOKUP($I727,'Sample Size cal and results'!$B$24:$B$25,'Sample Size cal and results'!$H$24:$H$25)</f>
        <v>13.060065963986959</v>
      </c>
      <c r="L727" s="211">
        <f t="shared" si="135"/>
        <v>0.16164383561643836</v>
      </c>
      <c r="M727" s="211">
        <f>$D727*L727*_xlfn.XLOOKUP($I727,'Sample Size cal and results'!$B$24:$B$25,'Sample Size cal and results'!$I$24:$I$25)</f>
        <v>2.5836141723560426</v>
      </c>
      <c r="N727" s="214">
        <f t="shared" si="136"/>
        <v>15.643680136343002</v>
      </c>
      <c r="O727" s="225" t="str">
        <f t="shared" si="137"/>
        <v>7-8 years</v>
      </c>
      <c r="P727" s="226">
        <f t="shared" si="138"/>
        <v>0.37808219178082192</v>
      </c>
      <c r="Q727" s="227">
        <f>$D727*P727*_xlfn.XLOOKUP($O727,'Sample Size cal and results'!$B$26:$B$27,'Sample Size cal and results'!$I$26:$I$27)</f>
        <v>4.6676734373425113</v>
      </c>
      <c r="R727" s="330"/>
    </row>
    <row r="728" spans="1:18" ht="12.75">
      <c r="A728" s="99" t="s">
        <v>145</v>
      </c>
      <c r="B728" s="100">
        <v>41836</v>
      </c>
      <c r="C728" s="100">
        <f t="shared" si="128"/>
        <v>44392</v>
      </c>
      <c r="D728" s="209">
        <v>49</v>
      </c>
      <c r="E728" s="217">
        <f t="shared" si="129"/>
        <v>5.62</v>
      </c>
      <c r="F728" s="218">
        <f t="shared" si="130"/>
        <v>6.62</v>
      </c>
      <c r="G728" s="219">
        <f t="shared" si="131"/>
        <v>6.62</v>
      </c>
      <c r="H728" s="220">
        <f t="shared" si="132"/>
        <v>7.62</v>
      </c>
      <c r="I728" s="257" t="str">
        <f t="shared" si="133"/>
        <v>6-7 years</v>
      </c>
      <c r="J728" s="211">
        <f t="shared" si="134"/>
        <v>0.83835616438356164</v>
      </c>
      <c r="K728" s="258">
        <f>$D728*J728*_xlfn.XLOOKUP($I728,'Sample Size cal and results'!$B$24:$B$25,'Sample Size cal and results'!$H$24:$H$25)</f>
        <v>33.681222749229526</v>
      </c>
      <c r="L728" s="211">
        <f t="shared" si="135"/>
        <v>0.16164383561643836</v>
      </c>
      <c r="M728" s="211">
        <f>$D728*L728*_xlfn.XLOOKUP($I728,'Sample Size cal and results'!$B$24:$B$25,'Sample Size cal and results'!$I$24:$I$25)</f>
        <v>6.6630049708129517</v>
      </c>
      <c r="N728" s="214">
        <f t="shared" si="136"/>
        <v>40.344227720042475</v>
      </c>
      <c r="O728" s="225" t="str">
        <f t="shared" si="137"/>
        <v>7-8 years</v>
      </c>
      <c r="P728" s="226">
        <f t="shared" si="138"/>
        <v>0.37534246575342467</v>
      </c>
      <c r="Q728" s="227">
        <f>$D728*P728*_xlfn.XLOOKUP($O728,'Sample Size cal and results'!$B$26:$B$27,'Sample Size cal and results'!$I$26:$I$27)</f>
        <v>11.95045453275373</v>
      </c>
      <c r="R728" s="330"/>
    </row>
    <row r="729" spans="1:18" ht="12.75">
      <c r="A729" s="99" t="s">
        <v>143</v>
      </c>
      <c r="B729" s="100">
        <v>41836</v>
      </c>
      <c r="C729" s="100">
        <f t="shared" si="128"/>
        <v>44392</v>
      </c>
      <c r="D729" s="209">
        <v>20</v>
      </c>
      <c r="E729" s="217">
        <f t="shared" si="129"/>
        <v>5.62</v>
      </c>
      <c r="F729" s="218">
        <f t="shared" si="130"/>
        <v>6.62</v>
      </c>
      <c r="G729" s="219">
        <f t="shared" si="131"/>
        <v>6.62</v>
      </c>
      <c r="H729" s="220">
        <f t="shared" si="132"/>
        <v>7.62</v>
      </c>
      <c r="I729" s="257" t="str">
        <f t="shared" si="133"/>
        <v>6-7 years</v>
      </c>
      <c r="J729" s="211">
        <f t="shared" si="134"/>
        <v>0.83835616438356164</v>
      </c>
      <c r="K729" s="258">
        <f>$D729*J729*_xlfn.XLOOKUP($I729,'Sample Size cal and results'!$B$24:$B$25,'Sample Size cal and results'!$H$24:$H$25)</f>
        <v>13.747437856828379</v>
      </c>
      <c r="L729" s="211">
        <f t="shared" si="135"/>
        <v>0.16164383561643836</v>
      </c>
      <c r="M729" s="211">
        <f>$D729*L729*_xlfn.XLOOKUP($I729,'Sample Size cal and results'!$B$24:$B$25,'Sample Size cal and results'!$I$24:$I$25)</f>
        <v>2.7195938656379397</v>
      </c>
      <c r="N729" s="214">
        <f t="shared" si="136"/>
        <v>16.467031722466317</v>
      </c>
      <c r="O729" s="225" t="str">
        <f t="shared" si="137"/>
        <v>7-8 years</v>
      </c>
      <c r="P729" s="226">
        <f t="shared" si="138"/>
        <v>0.37534246575342467</v>
      </c>
      <c r="Q729" s="227">
        <f>$D729*P729*_xlfn.XLOOKUP($O729,'Sample Size cal and results'!$B$26:$B$27,'Sample Size cal and results'!$I$26:$I$27)</f>
        <v>4.8777365439811131</v>
      </c>
      <c r="R729" s="330"/>
    </row>
    <row r="730" spans="1:18" ht="12.75">
      <c r="A730" s="99" t="s">
        <v>143</v>
      </c>
      <c r="B730" s="100">
        <v>41835</v>
      </c>
      <c r="C730" s="100">
        <f t="shared" si="128"/>
        <v>44391</v>
      </c>
      <c r="D730" s="209">
        <v>648</v>
      </c>
      <c r="E730" s="217">
        <f t="shared" si="129"/>
        <v>5.62</v>
      </c>
      <c r="F730" s="218">
        <f t="shared" si="130"/>
        <v>6.62</v>
      </c>
      <c r="G730" s="219">
        <f t="shared" si="131"/>
        <v>6.62</v>
      </c>
      <c r="H730" s="220">
        <f t="shared" si="132"/>
        <v>7.62</v>
      </c>
      <c r="I730" s="257" t="str">
        <f t="shared" si="133"/>
        <v>6-7 years</v>
      </c>
      <c r="J730" s="211">
        <f t="shared" si="134"/>
        <v>0.83835616438356164</v>
      </c>
      <c r="K730" s="258">
        <f>$D730*J730*_xlfn.XLOOKUP($I730,'Sample Size cal and results'!$B$24:$B$25,'Sample Size cal and results'!$H$24:$H$25)</f>
        <v>445.41698656123953</v>
      </c>
      <c r="L730" s="211">
        <f t="shared" si="135"/>
        <v>0.16164383561643836</v>
      </c>
      <c r="M730" s="211">
        <f>$D730*L730*_xlfn.XLOOKUP($I730,'Sample Size cal and results'!$B$24:$B$25,'Sample Size cal and results'!$I$24:$I$25)</f>
        <v>88.114841246669243</v>
      </c>
      <c r="N730" s="214">
        <f t="shared" si="136"/>
        <v>533.53182780790871</v>
      </c>
      <c r="O730" s="225" t="str">
        <f t="shared" si="137"/>
        <v>7-8 years</v>
      </c>
      <c r="P730" s="226">
        <f t="shared" si="138"/>
        <v>0.37260273972602742</v>
      </c>
      <c r="Q730" s="227">
        <f>$D730*P730*_xlfn.XLOOKUP($O730,'Sample Size cal and results'!$B$26:$B$27,'Sample Size cal and results'!$I$26:$I$27)</f>
        <v>156.88509713429474</v>
      </c>
      <c r="R730" s="330"/>
    </row>
    <row r="731" spans="1:18" ht="12.75">
      <c r="A731" s="99" t="s">
        <v>145</v>
      </c>
      <c r="B731" s="100">
        <v>41835</v>
      </c>
      <c r="C731" s="100">
        <f t="shared" si="128"/>
        <v>44391</v>
      </c>
      <c r="D731" s="209">
        <v>62</v>
      </c>
      <c r="E731" s="217">
        <f t="shared" si="129"/>
        <v>5.62</v>
      </c>
      <c r="F731" s="218">
        <f t="shared" si="130"/>
        <v>6.62</v>
      </c>
      <c r="G731" s="219">
        <f t="shared" si="131"/>
        <v>6.62</v>
      </c>
      <c r="H731" s="220">
        <f t="shared" si="132"/>
        <v>7.62</v>
      </c>
      <c r="I731" s="257" t="str">
        <f t="shared" si="133"/>
        <v>6-7 years</v>
      </c>
      <c r="J731" s="211">
        <f t="shared" si="134"/>
        <v>0.83835616438356164</v>
      </c>
      <c r="K731" s="258">
        <f>$D731*J731*_xlfn.XLOOKUP($I731,'Sample Size cal and results'!$B$24:$B$25,'Sample Size cal and results'!$H$24:$H$25)</f>
        <v>42.617057356167976</v>
      </c>
      <c r="L731" s="211">
        <f t="shared" si="135"/>
        <v>0.16164383561643836</v>
      </c>
      <c r="M731" s="211">
        <f>$D731*L731*_xlfn.XLOOKUP($I731,'Sample Size cal and results'!$B$24:$B$25,'Sample Size cal and results'!$I$24:$I$25)</f>
        <v>8.4307409834776124</v>
      </c>
      <c r="N731" s="214">
        <f t="shared" si="136"/>
        <v>51.047798339645588</v>
      </c>
      <c r="O731" s="225" t="str">
        <f t="shared" si="137"/>
        <v>7-8 years</v>
      </c>
      <c r="P731" s="226">
        <f t="shared" si="138"/>
        <v>0.37260273972602742</v>
      </c>
      <c r="Q731" s="227">
        <f>$D731*P731*_xlfn.XLOOKUP($O731,'Sample Size cal and results'!$B$26:$B$27,'Sample Size cal and results'!$I$26:$I$27)</f>
        <v>15.010611145565239</v>
      </c>
      <c r="R731" s="330"/>
    </row>
    <row r="732" spans="1:18" ht="12.75">
      <c r="A732" s="99" t="s">
        <v>145</v>
      </c>
      <c r="B732" s="100">
        <v>41834</v>
      </c>
      <c r="C732" s="100">
        <f t="shared" si="128"/>
        <v>44390</v>
      </c>
      <c r="D732" s="209">
        <v>63</v>
      </c>
      <c r="E732" s="217">
        <f t="shared" si="129"/>
        <v>5.63</v>
      </c>
      <c r="F732" s="218">
        <f t="shared" si="130"/>
        <v>6.62</v>
      </c>
      <c r="G732" s="219">
        <f t="shared" si="131"/>
        <v>6.63</v>
      </c>
      <c r="H732" s="220">
        <f t="shared" si="132"/>
        <v>7.62</v>
      </c>
      <c r="I732" s="257" t="str">
        <f t="shared" si="133"/>
        <v>6-7 years</v>
      </c>
      <c r="J732" s="211">
        <f t="shared" si="134"/>
        <v>0.83835616438356164</v>
      </c>
      <c r="K732" s="258">
        <f>$D732*J732*_xlfn.XLOOKUP($I732,'Sample Size cal and results'!$B$24:$B$25,'Sample Size cal and results'!$H$24:$H$25)</f>
        <v>43.304429249009395</v>
      </c>
      <c r="L732" s="211">
        <f t="shared" si="135"/>
        <v>0.16164383561643836</v>
      </c>
      <c r="M732" s="211">
        <f>$D732*L732*_xlfn.XLOOKUP($I732,'Sample Size cal and results'!$B$24:$B$25,'Sample Size cal and results'!$I$24:$I$25)</f>
        <v>8.566720676759509</v>
      </c>
      <c r="N732" s="214">
        <f t="shared" si="136"/>
        <v>51.871149925768904</v>
      </c>
      <c r="O732" s="225" t="str">
        <f t="shared" si="137"/>
        <v>7-8 years</v>
      </c>
      <c r="P732" s="226">
        <f t="shared" si="138"/>
        <v>0.36986301369863012</v>
      </c>
      <c r="Q732" s="227">
        <f>$D732*P732*_xlfn.XLOOKUP($O732,'Sample Size cal and results'!$B$26:$B$27,'Sample Size cal and results'!$I$26:$I$27)</f>
        <v>15.140565440350136</v>
      </c>
      <c r="R732" s="330"/>
    </row>
    <row r="733" spans="1:18" ht="12.75">
      <c r="A733" s="99" t="s">
        <v>143</v>
      </c>
      <c r="B733" s="100">
        <v>41834</v>
      </c>
      <c r="C733" s="100">
        <f t="shared" si="128"/>
        <v>44390</v>
      </c>
      <c r="D733" s="209">
        <v>24</v>
      </c>
      <c r="E733" s="217">
        <f t="shared" si="129"/>
        <v>5.63</v>
      </c>
      <c r="F733" s="218">
        <f t="shared" si="130"/>
        <v>6.62</v>
      </c>
      <c r="G733" s="219">
        <f t="shared" si="131"/>
        <v>6.63</v>
      </c>
      <c r="H733" s="220">
        <f t="shared" si="132"/>
        <v>7.62</v>
      </c>
      <c r="I733" s="257" t="str">
        <f t="shared" si="133"/>
        <v>6-7 years</v>
      </c>
      <c r="J733" s="211">
        <f t="shared" si="134"/>
        <v>0.83835616438356164</v>
      </c>
      <c r="K733" s="258">
        <f>$D733*J733*_xlfn.XLOOKUP($I733,'Sample Size cal and results'!$B$24:$B$25,'Sample Size cal and results'!$H$24:$H$25)</f>
        <v>16.496925428194054</v>
      </c>
      <c r="L733" s="211">
        <f t="shared" si="135"/>
        <v>0.16164383561643836</v>
      </c>
      <c r="M733" s="211">
        <f>$D733*L733*_xlfn.XLOOKUP($I733,'Sample Size cal and results'!$B$24:$B$25,'Sample Size cal and results'!$I$24:$I$25)</f>
        <v>3.2635126387655276</v>
      </c>
      <c r="N733" s="214">
        <f t="shared" si="136"/>
        <v>19.76043806695958</v>
      </c>
      <c r="O733" s="225" t="str">
        <f t="shared" si="137"/>
        <v>7-8 years</v>
      </c>
      <c r="P733" s="226">
        <f t="shared" si="138"/>
        <v>0.36986301369863012</v>
      </c>
      <c r="Q733" s="227">
        <f>$D733*P733*_xlfn.XLOOKUP($O733,'Sample Size cal and results'!$B$26:$B$27,'Sample Size cal and results'!$I$26:$I$27)</f>
        <v>5.7678344534667181</v>
      </c>
      <c r="R733" s="330"/>
    </row>
    <row r="734" spans="1:18" ht="12.75">
      <c r="A734" s="99" t="s">
        <v>145</v>
      </c>
      <c r="B734" s="100">
        <v>41833</v>
      </c>
      <c r="C734" s="100">
        <f t="shared" si="128"/>
        <v>44389</v>
      </c>
      <c r="D734" s="209">
        <v>41</v>
      </c>
      <c r="E734" s="217">
        <f t="shared" si="129"/>
        <v>5.63</v>
      </c>
      <c r="F734" s="218">
        <f t="shared" si="130"/>
        <v>6.63</v>
      </c>
      <c r="G734" s="219">
        <f t="shared" si="131"/>
        <v>6.63</v>
      </c>
      <c r="H734" s="220">
        <f t="shared" si="132"/>
        <v>7.63</v>
      </c>
      <c r="I734" s="257" t="str">
        <f t="shared" si="133"/>
        <v>6-7 years</v>
      </c>
      <c r="J734" s="211">
        <f t="shared" si="134"/>
        <v>0.83835616438356164</v>
      </c>
      <c r="K734" s="258">
        <f>$D734*J734*_xlfn.XLOOKUP($I734,'Sample Size cal and results'!$B$24:$B$25,'Sample Size cal and results'!$H$24:$H$25)</f>
        <v>28.182247606498176</v>
      </c>
      <c r="L734" s="211">
        <f t="shared" si="135"/>
        <v>0.16164383561643836</v>
      </c>
      <c r="M734" s="211">
        <f>$D734*L734*_xlfn.XLOOKUP($I734,'Sample Size cal and results'!$B$24:$B$25,'Sample Size cal and results'!$I$24:$I$25)</f>
        <v>5.575167424557776</v>
      </c>
      <c r="N734" s="214">
        <f t="shared" si="136"/>
        <v>33.757415031055956</v>
      </c>
      <c r="O734" s="225" t="str">
        <f t="shared" si="137"/>
        <v>7-8 years</v>
      </c>
      <c r="P734" s="226">
        <f t="shared" si="138"/>
        <v>0.36712328767123287</v>
      </c>
      <c r="Q734" s="227">
        <f>$D734*P734*_xlfn.XLOOKUP($O734,'Sample Size cal and results'!$B$26:$B$27,'Sample Size cal and results'!$I$26:$I$27)</f>
        <v>9.7803958294278246</v>
      </c>
      <c r="R734" s="330"/>
    </row>
    <row r="735" spans="1:18" ht="12.75">
      <c r="A735" s="99" t="s">
        <v>143</v>
      </c>
      <c r="B735" s="100">
        <v>41833</v>
      </c>
      <c r="C735" s="100">
        <f t="shared" si="128"/>
        <v>44389</v>
      </c>
      <c r="D735" s="209">
        <v>16</v>
      </c>
      <c r="E735" s="217">
        <f t="shared" si="129"/>
        <v>5.63</v>
      </c>
      <c r="F735" s="218">
        <f t="shared" si="130"/>
        <v>6.63</v>
      </c>
      <c r="G735" s="219">
        <f t="shared" si="131"/>
        <v>6.63</v>
      </c>
      <c r="H735" s="220">
        <f t="shared" si="132"/>
        <v>7.63</v>
      </c>
      <c r="I735" s="257" t="str">
        <f t="shared" si="133"/>
        <v>6-7 years</v>
      </c>
      <c r="J735" s="211">
        <f t="shared" si="134"/>
        <v>0.83835616438356164</v>
      </c>
      <c r="K735" s="258">
        <f>$D735*J735*_xlfn.XLOOKUP($I735,'Sample Size cal and results'!$B$24:$B$25,'Sample Size cal and results'!$H$24:$H$25)</f>
        <v>10.997950285462704</v>
      </c>
      <c r="L735" s="211">
        <f t="shared" si="135"/>
        <v>0.16164383561643836</v>
      </c>
      <c r="M735" s="211">
        <f>$D735*L735*_xlfn.XLOOKUP($I735,'Sample Size cal and results'!$B$24:$B$25,'Sample Size cal and results'!$I$24:$I$25)</f>
        <v>2.1756750925103518</v>
      </c>
      <c r="N735" s="214">
        <f t="shared" si="136"/>
        <v>13.173625377973055</v>
      </c>
      <c r="O735" s="225" t="str">
        <f t="shared" si="137"/>
        <v>7-8 years</v>
      </c>
      <c r="P735" s="226">
        <f t="shared" si="138"/>
        <v>0.36712328767123287</v>
      </c>
      <c r="Q735" s="227">
        <f>$D735*P735*_xlfn.XLOOKUP($O735,'Sample Size cal and results'!$B$26:$B$27,'Sample Size cal and results'!$I$26:$I$27)</f>
        <v>3.8167398358742726</v>
      </c>
      <c r="R735" s="330"/>
    </row>
    <row r="736" spans="1:18" ht="12.75">
      <c r="A736" s="99" t="s">
        <v>145</v>
      </c>
      <c r="B736" s="100">
        <v>41832</v>
      </c>
      <c r="C736" s="100">
        <f t="shared" si="128"/>
        <v>44388</v>
      </c>
      <c r="D736" s="209">
        <v>37</v>
      </c>
      <c r="E736" s="217">
        <f t="shared" si="129"/>
        <v>5.63</v>
      </c>
      <c r="F736" s="218">
        <f t="shared" si="130"/>
        <v>6.63</v>
      </c>
      <c r="G736" s="219">
        <f t="shared" si="131"/>
        <v>6.63</v>
      </c>
      <c r="H736" s="220">
        <f t="shared" si="132"/>
        <v>7.63</v>
      </c>
      <c r="I736" s="257" t="str">
        <f t="shared" si="133"/>
        <v>6-7 years</v>
      </c>
      <c r="J736" s="211">
        <f t="shared" si="134"/>
        <v>0.83835616438356164</v>
      </c>
      <c r="K736" s="258">
        <f>$D736*J736*_xlfn.XLOOKUP($I736,'Sample Size cal and results'!$B$24:$B$25,'Sample Size cal and results'!$H$24:$H$25)</f>
        <v>25.432760035132503</v>
      </c>
      <c r="L736" s="211">
        <f t="shared" si="135"/>
        <v>0.16164383561643836</v>
      </c>
      <c r="M736" s="211">
        <f>$D736*L736*_xlfn.XLOOKUP($I736,'Sample Size cal and results'!$B$24:$B$25,'Sample Size cal and results'!$I$24:$I$25)</f>
        <v>5.0312486514301886</v>
      </c>
      <c r="N736" s="214">
        <f t="shared" si="136"/>
        <v>30.464008686562693</v>
      </c>
      <c r="O736" s="225" t="str">
        <f t="shared" si="137"/>
        <v>7-8 years</v>
      </c>
      <c r="P736" s="226">
        <f t="shared" si="138"/>
        <v>0.36438356164383562</v>
      </c>
      <c r="Q736" s="227">
        <f>$D736*P736*_xlfn.XLOOKUP($O736,'Sample Size cal and results'!$B$26:$B$27,'Sample Size cal and results'!$I$26:$I$27)</f>
        <v>8.7603436251573203</v>
      </c>
      <c r="R736" s="330"/>
    </row>
    <row r="737" spans="1:18" ht="12.75">
      <c r="A737" s="99" t="s">
        <v>143</v>
      </c>
      <c r="B737" s="100">
        <v>41832</v>
      </c>
      <c r="C737" s="100">
        <f t="shared" si="128"/>
        <v>44388</v>
      </c>
      <c r="D737" s="209">
        <v>26</v>
      </c>
      <c r="E737" s="217">
        <f t="shared" si="129"/>
        <v>5.63</v>
      </c>
      <c r="F737" s="218">
        <f t="shared" si="130"/>
        <v>6.63</v>
      </c>
      <c r="G737" s="219">
        <f t="shared" si="131"/>
        <v>6.63</v>
      </c>
      <c r="H737" s="220">
        <f t="shared" si="132"/>
        <v>7.63</v>
      </c>
      <c r="I737" s="257" t="str">
        <f t="shared" si="133"/>
        <v>6-7 years</v>
      </c>
      <c r="J737" s="211">
        <f t="shared" si="134"/>
        <v>0.83835616438356164</v>
      </c>
      <c r="K737" s="258">
        <f>$D737*J737*_xlfn.XLOOKUP($I737,'Sample Size cal and results'!$B$24:$B$25,'Sample Size cal and results'!$H$24:$H$25)</f>
        <v>17.871669213876892</v>
      </c>
      <c r="L737" s="211">
        <f t="shared" si="135"/>
        <v>0.16164383561643836</v>
      </c>
      <c r="M737" s="211">
        <f>$D737*L737*_xlfn.XLOOKUP($I737,'Sample Size cal and results'!$B$24:$B$25,'Sample Size cal and results'!$I$24:$I$25)</f>
        <v>3.5354720253293217</v>
      </c>
      <c r="N737" s="214">
        <f t="shared" si="136"/>
        <v>21.407141239206215</v>
      </c>
      <c r="O737" s="225" t="str">
        <f t="shared" si="137"/>
        <v>7-8 years</v>
      </c>
      <c r="P737" s="226">
        <f t="shared" si="138"/>
        <v>0.36438356164383562</v>
      </c>
      <c r="Q737" s="227">
        <f>$D737*P737*_xlfn.XLOOKUP($O737,'Sample Size cal and results'!$B$26:$B$27,'Sample Size cal and results'!$I$26:$I$27)</f>
        <v>6.1559171420024423</v>
      </c>
      <c r="R737" s="330"/>
    </row>
    <row r="738" spans="1:18" ht="12.75">
      <c r="A738" s="99" t="s">
        <v>145</v>
      </c>
      <c r="B738" s="100">
        <v>41831</v>
      </c>
      <c r="C738" s="100">
        <f t="shared" si="128"/>
        <v>44387</v>
      </c>
      <c r="D738" s="209">
        <v>37</v>
      </c>
      <c r="E738" s="217">
        <f t="shared" si="129"/>
        <v>5.63</v>
      </c>
      <c r="F738" s="218">
        <f t="shared" si="130"/>
        <v>6.63</v>
      </c>
      <c r="G738" s="219">
        <f t="shared" si="131"/>
        <v>6.63</v>
      </c>
      <c r="H738" s="220">
        <f t="shared" si="132"/>
        <v>7.63</v>
      </c>
      <c r="I738" s="257" t="str">
        <f t="shared" si="133"/>
        <v>6-7 years</v>
      </c>
      <c r="J738" s="211">
        <f t="shared" si="134"/>
        <v>0.83835616438356164</v>
      </c>
      <c r="K738" s="258">
        <f>$D738*J738*_xlfn.XLOOKUP($I738,'Sample Size cal and results'!$B$24:$B$25,'Sample Size cal and results'!$H$24:$H$25)</f>
        <v>25.432760035132503</v>
      </c>
      <c r="L738" s="211">
        <f t="shared" si="135"/>
        <v>0.16164383561643836</v>
      </c>
      <c r="M738" s="211">
        <f>$D738*L738*_xlfn.XLOOKUP($I738,'Sample Size cal and results'!$B$24:$B$25,'Sample Size cal and results'!$I$24:$I$25)</f>
        <v>5.0312486514301886</v>
      </c>
      <c r="N738" s="214">
        <f t="shared" si="136"/>
        <v>30.464008686562693</v>
      </c>
      <c r="O738" s="225" t="str">
        <f t="shared" si="137"/>
        <v>7-8 years</v>
      </c>
      <c r="P738" s="226">
        <f t="shared" si="138"/>
        <v>0.36164383561643837</v>
      </c>
      <c r="Q738" s="227">
        <f>$D738*P738*_xlfn.XLOOKUP($O738,'Sample Size cal and results'!$B$26:$B$27,'Sample Size cal and results'!$I$26:$I$27)</f>
        <v>8.6944763798553861</v>
      </c>
      <c r="R738" s="330"/>
    </row>
    <row r="739" spans="1:18" ht="12.75">
      <c r="A739" s="99" t="s">
        <v>143</v>
      </c>
      <c r="B739" s="100">
        <v>41831</v>
      </c>
      <c r="C739" s="100">
        <f t="shared" si="128"/>
        <v>44387</v>
      </c>
      <c r="D739" s="209">
        <v>20</v>
      </c>
      <c r="E739" s="217">
        <f t="shared" si="129"/>
        <v>5.63</v>
      </c>
      <c r="F739" s="218">
        <f t="shared" si="130"/>
        <v>6.63</v>
      </c>
      <c r="G739" s="219">
        <f t="shared" si="131"/>
        <v>6.63</v>
      </c>
      <c r="H739" s="220">
        <f t="shared" si="132"/>
        <v>7.63</v>
      </c>
      <c r="I739" s="257" t="str">
        <f t="shared" si="133"/>
        <v>6-7 years</v>
      </c>
      <c r="J739" s="211">
        <f t="shared" si="134"/>
        <v>0.83835616438356164</v>
      </c>
      <c r="K739" s="258">
        <f>$D739*J739*_xlfn.XLOOKUP($I739,'Sample Size cal and results'!$B$24:$B$25,'Sample Size cal and results'!$H$24:$H$25)</f>
        <v>13.747437856828379</v>
      </c>
      <c r="L739" s="211">
        <f t="shared" si="135"/>
        <v>0.16164383561643836</v>
      </c>
      <c r="M739" s="211">
        <f>$D739*L739*_xlfn.XLOOKUP($I739,'Sample Size cal and results'!$B$24:$B$25,'Sample Size cal and results'!$I$24:$I$25)</f>
        <v>2.7195938656379397</v>
      </c>
      <c r="N739" s="214">
        <f t="shared" si="136"/>
        <v>16.467031722466317</v>
      </c>
      <c r="O739" s="225" t="str">
        <f t="shared" si="137"/>
        <v>7-8 years</v>
      </c>
      <c r="P739" s="226">
        <f t="shared" si="138"/>
        <v>0.36164383561643837</v>
      </c>
      <c r="Q739" s="227">
        <f>$D739*P739*_xlfn.XLOOKUP($O739,'Sample Size cal and results'!$B$26:$B$27,'Sample Size cal and results'!$I$26:$I$27)</f>
        <v>4.6997169620839934</v>
      </c>
      <c r="R739" s="330"/>
    </row>
    <row r="740" spans="1:18" ht="12.75">
      <c r="A740" s="99" t="s">
        <v>145</v>
      </c>
      <c r="B740" s="100">
        <v>41830</v>
      </c>
      <c r="C740" s="100">
        <f t="shared" si="128"/>
        <v>44386</v>
      </c>
      <c r="D740" s="209">
        <v>50</v>
      </c>
      <c r="E740" s="217">
        <f t="shared" si="129"/>
        <v>5.64</v>
      </c>
      <c r="F740" s="218">
        <f t="shared" si="130"/>
        <v>6.63</v>
      </c>
      <c r="G740" s="219">
        <f t="shared" si="131"/>
        <v>6.64</v>
      </c>
      <c r="H740" s="220">
        <f t="shared" si="132"/>
        <v>7.63</v>
      </c>
      <c r="I740" s="257" t="str">
        <f t="shared" si="133"/>
        <v>6-7 years</v>
      </c>
      <c r="J740" s="211">
        <f t="shared" si="134"/>
        <v>0.83835616438356164</v>
      </c>
      <c r="K740" s="258">
        <f>$D740*J740*_xlfn.XLOOKUP($I740,'Sample Size cal and results'!$B$24:$B$25,'Sample Size cal and results'!$H$24:$H$25)</f>
        <v>34.368594642070946</v>
      </c>
      <c r="L740" s="211">
        <f t="shared" si="135"/>
        <v>0.16164383561643836</v>
      </c>
      <c r="M740" s="211">
        <f>$D740*L740*_xlfn.XLOOKUP($I740,'Sample Size cal and results'!$B$24:$B$25,'Sample Size cal and results'!$I$24:$I$25)</f>
        <v>6.7989846640948484</v>
      </c>
      <c r="N740" s="214">
        <f t="shared" si="136"/>
        <v>41.167579306165791</v>
      </c>
      <c r="O740" s="225" t="str">
        <f t="shared" si="137"/>
        <v>7-8 years</v>
      </c>
      <c r="P740" s="226">
        <f t="shared" si="138"/>
        <v>0.35890410958904112</v>
      </c>
      <c r="Q740" s="227">
        <f>$D740*P740*_xlfn.XLOOKUP($O740,'Sample Size cal and results'!$B$26:$B$27,'Sample Size cal and results'!$I$26:$I$27)</f>
        <v>11.660282614261423</v>
      </c>
      <c r="R740" s="330"/>
    </row>
    <row r="741" spans="1:18" ht="12.75">
      <c r="A741" s="99" t="s">
        <v>143</v>
      </c>
      <c r="B741" s="100">
        <v>41830</v>
      </c>
      <c r="C741" s="100">
        <f t="shared" si="128"/>
        <v>44386</v>
      </c>
      <c r="D741" s="209">
        <v>31</v>
      </c>
      <c r="E741" s="217">
        <f t="shared" si="129"/>
        <v>5.64</v>
      </c>
      <c r="F741" s="218">
        <f t="shared" si="130"/>
        <v>6.63</v>
      </c>
      <c r="G741" s="219">
        <f t="shared" si="131"/>
        <v>6.64</v>
      </c>
      <c r="H741" s="220">
        <f t="shared" si="132"/>
        <v>7.63</v>
      </c>
      <c r="I741" s="257" t="str">
        <f t="shared" si="133"/>
        <v>6-7 years</v>
      </c>
      <c r="J741" s="211">
        <f t="shared" si="134"/>
        <v>0.83835616438356164</v>
      </c>
      <c r="K741" s="258">
        <f>$D741*J741*_xlfn.XLOOKUP($I741,'Sample Size cal and results'!$B$24:$B$25,'Sample Size cal and results'!$H$24:$H$25)</f>
        <v>21.308528678083988</v>
      </c>
      <c r="L741" s="211">
        <f t="shared" si="135"/>
        <v>0.16164383561643836</v>
      </c>
      <c r="M741" s="211">
        <f>$D741*L741*_xlfn.XLOOKUP($I741,'Sample Size cal and results'!$B$24:$B$25,'Sample Size cal and results'!$I$24:$I$25)</f>
        <v>4.2153704917388062</v>
      </c>
      <c r="N741" s="214">
        <f t="shared" si="136"/>
        <v>25.523899169822794</v>
      </c>
      <c r="O741" s="225" t="str">
        <f t="shared" si="137"/>
        <v>7-8 years</v>
      </c>
      <c r="P741" s="226">
        <f t="shared" si="138"/>
        <v>0.35890410958904112</v>
      </c>
      <c r="Q741" s="227">
        <f>$D741*P741*_xlfn.XLOOKUP($O741,'Sample Size cal and results'!$B$26:$B$27,'Sample Size cal and results'!$I$26:$I$27)</f>
        <v>7.2293752208420816</v>
      </c>
      <c r="R741" s="330"/>
    </row>
    <row r="742" spans="1:18" ht="12.75">
      <c r="A742" s="99" t="s">
        <v>145</v>
      </c>
      <c r="B742" s="100">
        <v>41829</v>
      </c>
      <c r="C742" s="100">
        <f t="shared" si="128"/>
        <v>44385</v>
      </c>
      <c r="D742" s="209">
        <v>23</v>
      </c>
      <c r="E742" s="217">
        <f t="shared" si="129"/>
        <v>5.64</v>
      </c>
      <c r="F742" s="218">
        <f t="shared" si="130"/>
        <v>6.64</v>
      </c>
      <c r="G742" s="219">
        <f t="shared" si="131"/>
        <v>6.64</v>
      </c>
      <c r="H742" s="220">
        <f t="shared" si="132"/>
        <v>7.64</v>
      </c>
      <c r="I742" s="257" t="str">
        <f t="shared" si="133"/>
        <v>6-7 years</v>
      </c>
      <c r="J742" s="211">
        <f t="shared" si="134"/>
        <v>0.83835616438356164</v>
      </c>
      <c r="K742" s="258">
        <f>$D742*J742*_xlfn.XLOOKUP($I742,'Sample Size cal and results'!$B$24:$B$25,'Sample Size cal and results'!$H$24:$H$25)</f>
        <v>15.809553535352636</v>
      </c>
      <c r="L742" s="211">
        <f t="shared" si="135"/>
        <v>0.16164383561643836</v>
      </c>
      <c r="M742" s="211">
        <f>$D742*L742*_xlfn.XLOOKUP($I742,'Sample Size cal and results'!$B$24:$B$25,'Sample Size cal and results'!$I$24:$I$25)</f>
        <v>3.1275329454836305</v>
      </c>
      <c r="N742" s="214">
        <f t="shared" si="136"/>
        <v>18.937086480836268</v>
      </c>
      <c r="O742" s="225" t="str">
        <f t="shared" si="137"/>
        <v>7-8 years</v>
      </c>
      <c r="P742" s="226">
        <f t="shared" si="138"/>
        <v>0.35616438356164382</v>
      </c>
      <c r="Q742" s="227">
        <f>$D742*P742*_xlfn.XLOOKUP($O742,'Sample Size cal and results'!$B$26:$B$27,'Sample Size cal and results'!$I$26:$I$27)</f>
        <v>5.322785498723916</v>
      </c>
      <c r="R742" s="330"/>
    </row>
    <row r="743" spans="1:18" ht="12.75">
      <c r="A743" s="99" t="s">
        <v>143</v>
      </c>
      <c r="B743" s="100">
        <v>41829</v>
      </c>
      <c r="C743" s="100">
        <f t="shared" si="128"/>
        <v>44385</v>
      </c>
      <c r="D743" s="209">
        <v>18</v>
      </c>
      <c r="E743" s="217">
        <f t="shared" si="129"/>
        <v>5.64</v>
      </c>
      <c r="F743" s="218">
        <f t="shared" si="130"/>
        <v>6.64</v>
      </c>
      <c r="G743" s="219">
        <f t="shared" si="131"/>
        <v>6.64</v>
      </c>
      <c r="H743" s="220">
        <f t="shared" si="132"/>
        <v>7.64</v>
      </c>
      <c r="I743" s="257" t="str">
        <f t="shared" si="133"/>
        <v>6-7 years</v>
      </c>
      <c r="J743" s="211">
        <f t="shared" si="134"/>
        <v>0.83835616438356164</v>
      </c>
      <c r="K743" s="258">
        <f>$D743*J743*_xlfn.XLOOKUP($I743,'Sample Size cal and results'!$B$24:$B$25,'Sample Size cal and results'!$H$24:$H$25)</f>
        <v>12.372694071145542</v>
      </c>
      <c r="L743" s="211">
        <f t="shared" si="135"/>
        <v>0.16164383561643836</v>
      </c>
      <c r="M743" s="211">
        <f>$D743*L743*_xlfn.XLOOKUP($I743,'Sample Size cal and results'!$B$24:$B$25,'Sample Size cal and results'!$I$24:$I$25)</f>
        <v>2.447634479074146</v>
      </c>
      <c r="N743" s="214">
        <f t="shared" si="136"/>
        <v>14.820328550219688</v>
      </c>
      <c r="O743" s="225" t="str">
        <f t="shared" si="137"/>
        <v>7-8 years</v>
      </c>
      <c r="P743" s="226">
        <f t="shared" si="138"/>
        <v>0.35616438356164382</v>
      </c>
      <c r="Q743" s="227">
        <f>$D743*P743*_xlfn.XLOOKUP($O743,'Sample Size cal and results'!$B$26:$B$27,'Sample Size cal and results'!$I$26:$I$27)</f>
        <v>4.1656582163926297</v>
      </c>
      <c r="R743" s="330"/>
    </row>
    <row r="744" spans="1:18" ht="12.75">
      <c r="A744" s="99" t="s">
        <v>145</v>
      </c>
      <c r="B744" s="100">
        <v>41828</v>
      </c>
      <c r="C744" s="100">
        <f t="shared" si="128"/>
        <v>44384</v>
      </c>
      <c r="D744" s="209">
        <v>30</v>
      </c>
      <c r="E744" s="217">
        <f t="shared" si="129"/>
        <v>5.64</v>
      </c>
      <c r="F744" s="218">
        <f t="shared" si="130"/>
        <v>6.64</v>
      </c>
      <c r="G744" s="219">
        <f t="shared" si="131"/>
        <v>6.64</v>
      </c>
      <c r="H744" s="220">
        <f t="shared" si="132"/>
        <v>7.64</v>
      </c>
      <c r="I744" s="257" t="str">
        <f t="shared" si="133"/>
        <v>6-7 years</v>
      </c>
      <c r="J744" s="211">
        <f t="shared" si="134"/>
        <v>0.83835616438356164</v>
      </c>
      <c r="K744" s="258">
        <f>$D744*J744*_xlfn.XLOOKUP($I744,'Sample Size cal and results'!$B$24:$B$25,'Sample Size cal and results'!$H$24:$H$25)</f>
        <v>20.621156785242569</v>
      </c>
      <c r="L744" s="211">
        <f t="shared" si="135"/>
        <v>0.16164383561643836</v>
      </c>
      <c r="M744" s="211">
        <f>$D744*L744*_xlfn.XLOOKUP($I744,'Sample Size cal and results'!$B$24:$B$25,'Sample Size cal and results'!$I$24:$I$25)</f>
        <v>4.0793907984569096</v>
      </c>
      <c r="N744" s="214">
        <f t="shared" si="136"/>
        <v>24.700547583699478</v>
      </c>
      <c r="O744" s="225" t="str">
        <f t="shared" si="137"/>
        <v>7-8 years</v>
      </c>
      <c r="P744" s="226">
        <f t="shared" si="138"/>
        <v>0.35342465753424657</v>
      </c>
      <c r="Q744" s="227">
        <f>$D744*P744*_xlfn.XLOOKUP($O744,'Sample Size cal and results'!$B$26:$B$27,'Sample Size cal and results'!$I$26:$I$27)</f>
        <v>6.8893578194185805</v>
      </c>
      <c r="R744" s="330"/>
    </row>
    <row r="745" spans="1:18" ht="12.75">
      <c r="A745" s="99" t="s">
        <v>143</v>
      </c>
      <c r="B745" s="100">
        <v>41828</v>
      </c>
      <c r="C745" s="100">
        <f t="shared" si="128"/>
        <v>44384</v>
      </c>
      <c r="D745" s="209">
        <v>20</v>
      </c>
      <c r="E745" s="217">
        <f t="shared" si="129"/>
        <v>5.64</v>
      </c>
      <c r="F745" s="218">
        <f t="shared" si="130"/>
        <v>6.64</v>
      </c>
      <c r="G745" s="219">
        <f t="shared" si="131"/>
        <v>6.64</v>
      </c>
      <c r="H745" s="220">
        <f t="shared" si="132"/>
        <v>7.64</v>
      </c>
      <c r="I745" s="257" t="str">
        <f t="shared" si="133"/>
        <v>6-7 years</v>
      </c>
      <c r="J745" s="211">
        <f t="shared" si="134"/>
        <v>0.83835616438356164</v>
      </c>
      <c r="K745" s="258">
        <f>$D745*J745*_xlfn.XLOOKUP($I745,'Sample Size cal and results'!$B$24:$B$25,'Sample Size cal and results'!$H$24:$H$25)</f>
        <v>13.747437856828379</v>
      </c>
      <c r="L745" s="211">
        <f t="shared" si="135"/>
        <v>0.16164383561643836</v>
      </c>
      <c r="M745" s="211">
        <f>$D745*L745*_xlfn.XLOOKUP($I745,'Sample Size cal and results'!$B$24:$B$25,'Sample Size cal and results'!$I$24:$I$25)</f>
        <v>2.7195938656379397</v>
      </c>
      <c r="N745" s="214">
        <f t="shared" si="136"/>
        <v>16.467031722466317</v>
      </c>
      <c r="O745" s="225" t="str">
        <f t="shared" si="137"/>
        <v>7-8 years</v>
      </c>
      <c r="P745" s="226">
        <f t="shared" si="138"/>
        <v>0.35342465753424657</v>
      </c>
      <c r="Q745" s="227">
        <f>$D745*P745*_xlfn.XLOOKUP($O745,'Sample Size cal and results'!$B$26:$B$27,'Sample Size cal and results'!$I$26:$I$27)</f>
        <v>4.5929052129457197</v>
      </c>
      <c r="R745" s="330"/>
    </row>
    <row r="746" spans="1:18" ht="12.75">
      <c r="A746" s="99" t="s">
        <v>145</v>
      </c>
      <c r="B746" s="100">
        <v>41827</v>
      </c>
      <c r="C746" s="100">
        <f t="shared" si="128"/>
        <v>44383</v>
      </c>
      <c r="D746" s="209">
        <v>26</v>
      </c>
      <c r="E746" s="217">
        <f t="shared" si="129"/>
        <v>5.65</v>
      </c>
      <c r="F746" s="218">
        <f t="shared" si="130"/>
        <v>6.64</v>
      </c>
      <c r="G746" s="219">
        <f t="shared" si="131"/>
        <v>6.65</v>
      </c>
      <c r="H746" s="220">
        <f t="shared" si="132"/>
        <v>7.64</v>
      </c>
      <c r="I746" s="257" t="str">
        <f t="shared" si="133"/>
        <v>6-7 years</v>
      </c>
      <c r="J746" s="211">
        <f t="shared" si="134"/>
        <v>0.83835616438356164</v>
      </c>
      <c r="K746" s="258">
        <f>$D746*J746*_xlfn.XLOOKUP($I746,'Sample Size cal and results'!$B$24:$B$25,'Sample Size cal and results'!$H$24:$H$25)</f>
        <v>17.871669213876892</v>
      </c>
      <c r="L746" s="211">
        <f t="shared" si="135"/>
        <v>0.16164383561643836</v>
      </c>
      <c r="M746" s="211">
        <f>$D746*L746*_xlfn.XLOOKUP($I746,'Sample Size cal and results'!$B$24:$B$25,'Sample Size cal and results'!$I$24:$I$25)</f>
        <v>3.5354720253293217</v>
      </c>
      <c r="N746" s="214">
        <f t="shared" si="136"/>
        <v>21.407141239206215</v>
      </c>
      <c r="O746" s="225" t="str">
        <f t="shared" si="137"/>
        <v>7-8 years</v>
      </c>
      <c r="P746" s="226">
        <f t="shared" si="138"/>
        <v>0.35068493150684932</v>
      </c>
      <c r="Q746" s="227">
        <f>$D746*P746*_xlfn.XLOOKUP($O746,'Sample Size cal and results'!$B$26:$B$27,'Sample Size cal and results'!$I$26:$I$27)</f>
        <v>5.9244916855361849</v>
      </c>
      <c r="R746" s="330"/>
    </row>
    <row r="747" spans="1:18" ht="12.75">
      <c r="A747" s="99" t="s">
        <v>143</v>
      </c>
      <c r="B747" s="100">
        <v>41827</v>
      </c>
      <c r="C747" s="100">
        <f t="shared" si="128"/>
        <v>44383</v>
      </c>
      <c r="D747" s="209">
        <v>14</v>
      </c>
      <c r="E747" s="217">
        <f t="shared" si="129"/>
        <v>5.65</v>
      </c>
      <c r="F747" s="218">
        <f t="shared" si="130"/>
        <v>6.64</v>
      </c>
      <c r="G747" s="219">
        <f t="shared" si="131"/>
        <v>6.65</v>
      </c>
      <c r="H747" s="220">
        <f t="shared" si="132"/>
        <v>7.64</v>
      </c>
      <c r="I747" s="257" t="str">
        <f t="shared" si="133"/>
        <v>6-7 years</v>
      </c>
      <c r="J747" s="211">
        <f t="shared" si="134"/>
        <v>0.83835616438356164</v>
      </c>
      <c r="K747" s="258">
        <f>$D747*J747*_xlfn.XLOOKUP($I747,'Sample Size cal and results'!$B$24:$B$25,'Sample Size cal and results'!$H$24:$H$25)</f>
        <v>9.6232064997798652</v>
      </c>
      <c r="L747" s="211">
        <f t="shared" si="135"/>
        <v>0.16164383561643836</v>
      </c>
      <c r="M747" s="211">
        <f>$D747*L747*_xlfn.XLOOKUP($I747,'Sample Size cal and results'!$B$24:$B$25,'Sample Size cal and results'!$I$24:$I$25)</f>
        <v>1.9037157059465575</v>
      </c>
      <c r="N747" s="214">
        <f t="shared" si="136"/>
        <v>11.526922205726423</v>
      </c>
      <c r="O747" s="225" t="str">
        <f t="shared" si="137"/>
        <v>7-8 years</v>
      </c>
      <c r="P747" s="226">
        <f t="shared" si="138"/>
        <v>0.35068493150684932</v>
      </c>
      <c r="Q747" s="227">
        <f>$D747*P747*_xlfn.XLOOKUP($O747,'Sample Size cal and results'!$B$26:$B$27,'Sample Size cal and results'!$I$26:$I$27)</f>
        <v>3.1901109075964071</v>
      </c>
      <c r="R747" s="330"/>
    </row>
    <row r="748" spans="1:18" ht="12.75">
      <c r="A748" s="99" t="s">
        <v>145</v>
      </c>
      <c r="B748" s="100">
        <v>41826</v>
      </c>
      <c r="C748" s="100">
        <f t="shared" si="128"/>
        <v>44382</v>
      </c>
      <c r="D748" s="209">
        <v>32</v>
      </c>
      <c r="E748" s="217">
        <f t="shared" si="129"/>
        <v>5.65</v>
      </c>
      <c r="F748" s="218">
        <f t="shared" si="130"/>
        <v>6.65</v>
      </c>
      <c r="G748" s="219">
        <f t="shared" si="131"/>
        <v>6.65</v>
      </c>
      <c r="H748" s="220">
        <f t="shared" si="132"/>
        <v>7.65</v>
      </c>
      <c r="I748" s="257" t="str">
        <f t="shared" si="133"/>
        <v>6-7 years</v>
      </c>
      <c r="J748" s="211">
        <f t="shared" si="134"/>
        <v>0.83835616438356164</v>
      </c>
      <c r="K748" s="258">
        <f>$D748*J748*_xlfn.XLOOKUP($I748,'Sample Size cal and results'!$B$24:$B$25,'Sample Size cal and results'!$H$24:$H$25)</f>
        <v>21.995900570925407</v>
      </c>
      <c r="L748" s="211">
        <f t="shared" si="135"/>
        <v>0.16164383561643836</v>
      </c>
      <c r="M748" s="211">
        <f>$D748*L748*_xlfn.XLOOKUP($I748,'Sample Size cal and results'!$B$24:$B$25,'Sample Size cal and results'!$I$24:$I$25)</f>
        <v>4.3513501850207037</v>
      </c>
      <c r="N748" s="214">
        <f t="shared" si="136"/>
        <v>26.34725075594611</v>
      </c>
      <c r="O748" s="225" t="str">
        <f t="shared" si="137"/>
        <v>7-8 years</v>
      </c>
      <c r="P748" s="226">
        <f t="shared" si="138"/>
        <v>0.34794520547945207</v>
      </c>
      <c r="Q748" s="227">
        <f>$D748*P748*_xlfn.XLOOKUP($O748,'Sample Size cal and results'!$B$26:$B$27,'Sample Size cal and results'!$I$26:$I$27)</f>
        <v>7.2347158082989953</v>
      </c>
      <c r="R748" s="330"/>
    </row>
    <row r="749" spans="1:18" ht="12.75">
      <c r="A749" s="99" t="s">
        <v>143</v>
      </c>
      <c r="B749" s="100">
        <v>41826</v>
      </c>
      <c r="C749" s="100">
        <f t="shared" si="128"/>
        <v>44382</v>
      </c>
      <c r="D749" s="209">
        <v>13</v>
      </c>
      <c r="E749" s="217">
        <f t="shared" si="129"/>
        <v>5.65</v>
      </c>
      <c r="F749" s="218">
        <f t="shared" si="130"/>
        <v>6.65</v>
      </c>
      <c r="G749" s="219">
        <f t="shared" si="131"/>
        <v>6.65</v>
      </c>
      <c r="H749" s="220">
        <f t="shared" si="132"/>
        <v>7.65</v>
      </c>
      <c r="I749" s="257" t="str">
        <f t="shared" si="133"/>
        <v>6-7 years</v>
      </c>
      <c r="J749" s="211">
        <f t="shared" si="134"/>
        <v>0.83835616438356164</v>
      </c>
      <c r="K749" s="258">
        <f>$D749*J749*_xlfn.XLOOKUP($I749,'Sample Size cal and results'!$B$24:$B$25,'Sample Size cal and results'!$H$24:$H$25)</f>
        <v>8.935834606938446</v>
      </c>
      <c r="L749" s="211">
        <f t="shared" si="135"/>
        <v>0.16164383561643836</v>
      </c>
      <c r="M749" s="211">
        <f>$D749*L749*_xlfn.XLOOKUP($I749,'Sample Size cal and results'!$B$24:$B$25,'Sample Size cal and results'!$I$24:$I$25)</f>
        <v>1.7677360126646608</v>
      </c>
      <c r="N749" s="214">
        <f t="shared" si="136"/>
        <v>10.703570619603108</v>
      </c>
      <c r="O749" s="225" t="str">
        <f t="shared" si="137"/>
        <v>7-8 years</v>
      </c>
      <c r="P749" s="226">
        <f t="shared" si="138"/>
        <v>0.34794520547945207</v>
      </c>
      <c r="Q749" s="227">
        <f>$D749*P749*_xlfn.XLOOKUP($O749,'Sample Size cal and results'!$B$26:$B$27,'Sample Size cal and results'!$I$26:$I$27)</f>
        <v>2.9391032971214668</v>
      </c>
      <c r="R749" s="330"/>
    </row>
    <row r="750" spans="1:18" ht="12.75">
      <c r="A750" s="99" t="s">
        <v>145</v>
      </c>
      <c r="B750" s="100">
        <v>41825</v>
      </c>
      <c r="C750" s="100">
        <f t="shared" si="128"/>
        <v>44381</v>
      </c>
      <c r="D750" s="209">
        <v>52</v>
      </c>
      <c r="E750" s="217">
        <f t="shared" si="129"/>
        <v>5.65</v>
      </c>
      <c r="F750" s="218">
        <f t="shared" si="130"/>
        <v>6.65</v>
      </c>
      <c r="G750" s="219">
        <f t="shared" si="131"/>
        <v>6.65</v>
      </c>
      <c r="H750" s="220">
        <f t="shared" si="132"/>
        <v>7.65</v>
      </c>
      <c r="I750" s="257" t="str">
        <f t="shared" si="133"/>
        <v>6-7 years</v>
      </c>
      <c r="J750" s="211">
        <f t="shared" si="134"/>
        <v>0.83835616438356164</v>
      </c>
      <c r="K750" s="258">
        <f>$D750*J750*_xlfn.XLOOKUP($I750,'Sample Size cal and results'!$B$24:$B$25,'Sample Size cal and results'!$H$24:$H$25)</f>
        <v>35.743338427753784</v>
      </c>
      <c r="L750" s="211">
        <f t="shared" si="135"/>
        <v>0.16164383561643836</v>
      </c>
      <c r="M750" s="211">
        <f>$D750*L750*_xlfn.XLOOKUP($I750,'Sample Size cal and results'!$B$24:$B$25,'Sample Size cal and results'!$I$24:$I$25)</f>
        <v>7.0709440506586434</v>
      </c>
      <c r="N750" s="214">
        <f t="shared" si="136"/>
        <v>42.81428247841243</v>
      </c>
      <c r="O750" s="225" t="str">
        <f t="shared" si="137"/>
        <v>7-8 years</v>
      </c>
      <c r="P750" s="226">
        <f t="shared" si="138"/>
        <v>0.34520547945205482</v>
      </c>
      <c r="Q750" s="227">
        <f>$D750*P750*_xlfn.XLOOKUP($O750,'Sample Size cal and results'!$B$26:$B$27,'Sample Size cal and results'!$I$26:$I$27)</f>
        <v>11.663843005899365</v>
      </c>
      <c r="R750" s="330"/>
    </row>
    <row r="751" spans="1:18" ht="12.75">
      <c r="A751" s="99" t="s">
        <v>143</v>
      </c>
      <c r="B751" s="100">
        <v>41825</v>
      </c>
      <c r="C751" s="100">
        <f t="shared" si="128"/>
        <v>44381</v>
      </c>
      <c r="D751" s="209">
        <v>15</v>
      </c>
      <c r="E751" s="217">
        <f t="shared" si="129"/>
        <v>5.65</v>
      </c>
      <c r="F751" s="218">
        <f t="shared" si="130"/>
        <v>6.65</v>
      </c>
      <c r="G751" s="219">
        <f t="shared" si="131"/>
        <v>6.65</v>
      </c>
      <c r="H751" s="220">
        <f t="shared" si="132"/>
        <v>7.65</v>
      </c>
      <c r="I751" s="257" t="str">
        <f t="shared" si="133"/>
        <v>6-7 years</v>
      </c>
      <c r="J751" s="211">
        <f t="shared" si="134"/>
        <v>0.83835616438356164</v>
      </c>
      <c r="K751" s="258">
        <f>$D751*J751*_xlfn.XLOOKUP($I751,'Sample Size cal and results'!$B$24:$B$25,'Sample Size cal and results'!$H$24:$H$25)</f>
        <v>10.310578392621284</v>
      </c>
      <c r="L751" s="211">
        <f t="shared" si="135"/>
        <v>0.16164383561643836</v>
      </c>
      <c r="M751" s="211">
        <f>$D751*L751*_xlfn.XLOOKUP($I751,'Sample Size cal and results'!$B$24:$B$25,'Sample Size cal and results'!$I$24:$I$25)</f>
        <v>2.0396953992284548</v>
      </c>
      <c r="N751" s="214">
        <f t="shared" si="136"/>
        <v>12.350273791849739</v>
      </c>
      <c r="O751" s="225" t="str">
        <f t="shared" si="137"/>
        <v>7-8 years</v>
      </c>
      <c r="P751" s="226">
        <f t="shared" si="138"/>
        <v>0.34520547945205482</v>
      </c>
      <c r="Q751" s="227">
        <f>$D751*P751*_xlfn.XLOOKUP($O751,'Sample Size cal and results'!$B$26:$B$27,'Sample Size cal and results'!$I$26:$I$27)</f>
        <v>3.3645700978555859</v>
      </c>
      <c r="R751" s="330"/>
    </row>
    <row r="752" spans="1:18" ht="12.75">
      <c r="A752" s="99" t="s">
        <v>145</v>
      </c>
      <c r="B752" s="100">
        <v>41824</v>
      </c>
      <c r="C752" s="100">
        <f t="shared" si="128"/>
        <v>44380</v>
      </c>
      <c r="D752" s="209">
        <v>34</v>
      </c>
      <c r="E752" s="217">
        <f t="shared" si="129"/>
        <v>5.65</v>
      </c>
      <c r="F752" s="218">
        <f t="shared" si="130"/>
        <v>6.65</v>
      </c>
      <c r="G752" s="219">
        <f t="shared" si="131"/>
        <v>6.65</v>
      </c>
      <c r="H752" s="220">
        <f t="shared" si="132"/>
        <v>7.65</v>
      </c>
      <c r="I752" s="257" t="str">
        <f t="shared" si="133"/>
        <v>6-7 years</v>
      </c>
      <c r="J752" s="211">
        <f t="shared" si="134"/>
        <v>0.83835616438356164</v>
      </c>
      <c r="K752" s="258">
        <f>$D752*J752*_xlfn.XLOOKUP($I752,'Sample Size cal and results'!$B$24:$B$25,'Sample Size cal and results'!$H$24:$H$25)</f>
        <v>23.370644356608246</v>
      </c>
      <c r="L752" s="211">
        <f t="shared" si="135"/>
        <v>0.16164383561643836</v>
      </c>
      <c r="M752" s="211">
        <f>$D752*L752*_xlfn.XLOOKUP($I752,'Sample Size cal and results'!$B$24:$B$25,'Sample Size cal and results'!$I$24:$I$25)</f>
        <v>4.6233095715844978</v>
      </c>
      <c r="N752" s="214">
        <f t="shared" si="136"/>
        <v>27.993953928192745</v>
      </c>
      <c r="O752" s="225" t="str">
        <f t="shared" si="137"/>
        <v>7-8 years</v>
      </c>
      <c r="P752" s="226">
        <f t="shared" si="138"/>
        <v>0.34246575342465752</v>
      </c>
      <c r="Q752" s="227">
        <f>$D752*P752*_xlfn.XLOOKUP($O752,'Sample Size cal and results'!$B$26:$B$27,'Sample Size cal and results'!$I$26:$I$27)</f>
        <v>7.5658322306276391</v>
      </c>
      <c r="R752" s="330"/>
    </row>
    <row r="753" spans="1:18" ht="12.75">
      <c r="A753" s="99" t="s">
        <v>143</v>
      </c>
      <c r="B753" s="100">
        <v>41824</v>
      </c>
      <c r="C753" s="100">
        <f t="shared" si="128"/>
        <v>44380</v>
      </c>
      <c r="D753" s="209">
        <v>8</v>
      </c>
      <c r="E753" s="217">
        <f t="shared" si="129"/>
        <v>5.65</v>
      </c>
      <c r="F753" s="218">
        <f t="shared" si="130"/>
        <v>6.65</v>
      </c>
      <c r="G753" s="219">
        <f t="shared" si="131"/>
        <v>6.65</v>
      </c>
      <c r="H753" s="220">
        <f t="shared" si="132"/>
        <v>7.65</v>
      </c>
      <c r="I753" s="257" t="str">
        <f t="shared" si="133"/>
        <v>6-7 years</v>
      </c>
      <c r="J753" s="211">
        <f t="shared" si="134"/>
        <v>0.83835616438356164</v>
      </c>
      <c r="K753" s="258">
        <f>$D753*J753*_xlfn.XLOOKUP($I753,'Sample Size cal and results'!$B$24:$B$25,'Sample Size cal and results'!$H$24:$H$25)</f>
        <v>5.4989751427313518</v>
      </c>
      <c r="L753" s="211">
        <f t="shared" si="135"/>
        <v>0.16164383561643836</v>
      </c>
      <c r="M753" s="211">
        <f>$D753*L753*_xlfn.XLOOKUP($I753,'Sample Size cal and results'!$B$24:$B$25,'Sample Size cal and results'!$I$24:$I$25)</f>
        <v>1.0878375462551759</v>
      </c>
      <c r="N753" s="214">
        <f t="shared" si="136"/>
        <v>6.5868126889865275</v>
      </c>
      <c r="O753" s="225" t="str">
        <f t="shared" si="137"/>
        <v>7-8 years</v>
      </c>
      <c r="P753" s="226">
        <f t="shared" si="138"/>
        <v>0.34246575342465752</v>
      </c>
      <c r="Q753" s="227">
        <f>$D753*P753*_xlfn.XLOOKUP($O753,'Sample Size cal and results'!$B$26:$B$27,'Sample Size cal and results'!$I$26:$I$27)</f>
        <v>1.7801958189712093</v>
      </c>
      <c r="R753" s="330"/>
    </row>
    <row r="754" spans="1:18" ht="12.75">
      <c r="A754" s="99" t="s">
        <v>145</v>
      </c>
      <c r="B754" s="100">
        <v>41823</v>
      </c>
      <c r="C754" s="100">
        <f t="shared" si="128"/>
        <v>44379</v>
      </c>
      <c r="D754" s="209">
        <v>25</v>
      </c>
      <c r="E754" s="217">
        <f t="shared" si="129"/>
        <v>5.66</v>
      </c>
      <c r="F754" s="218">
        <f t="shared" si="130"/>
        <v>6.65</v>
      </c>
      <c r="G754" s="219">
        <f t="shared" si="131"/>
        <v>6.66</v>
      </c>
      <c r="H754" s="220">
        <f t="shared" si="132"/>
        <v>7.65</v>
      </c>
      <c r="I754" s="257" t="str">
        <f t="shared" si="133"/>
        <v>6-7 years</v>
      </c>
      <c r="J754" s="211">
        <f t="shared" si="134"/>
        <v>0.83835616438356164</v>
      </c>
      <c r="K754" s="258">
        <f>$D754*J754*_xlfn.XLOOKUP($I754,'Sample Size cal and results'!$B$24:$B$25,'Sample Size cal and results'!$H$24:$H$25)</f>
        <v>17.184297321035473</v>
      </c>
      <c r="L754" s="211">
        <f t="shared" si="135"/>
        <v>0.16164383561643836</v>
      </c>
      <c r="M754" s="211">
        <f>$D754*L754*_xlfn.XLOOKUP($I754,'Sample Size cal and results'!$B$24:$B$25,'Sample Size cal and results'!$I$24:$I$25)</f>
        <v>3.3994923320474242</v>
      </c>
      <c r="N754" s="214">
        <f t="shared" si="136"/>
        <v>20.583789653082896</v>
      </c>
      <c r="O754" s="225" t="str">
        <f t="shared" si="137"/>
        <v>7-8 years</v>
      </c>
      <c r="P754" s="226">
        <f t="shared" si="138"/>
        <v>0.33972602739726027</v>
      </c>
      <c r="Q754" s="227">
        <f>$D754*P754*_xlfn.XLOOKUP($O754,'Sample Size cal and results'!$B$26:$B$27,'Sample Size cal and results'!$I$26:$I$27)</f>
        <v>5.5186070388107495</v>
      </c>
      <c r="R754" s="330"/>
    </row>
    <row r="755" spans="1:18" ht="12.75">
      <c r="A755" s="99" t="s">
        <v>143</v>
      </c>
      <c r="B755" s="100">
        <v>41823</v>
      </c>
      <c r="C755" s="100">
        <f t="shared" si="128"/>
        <v>44379</v>
      </c>
      <c r="D755" s="209">
        <v>5</v>
      </c>
      <c r="E755" s="217">
        <f t="shared" si="129"/>
        <v>5.66</v>
      </c>
      <c r="F755" s="218">
        <f t="shared" si="130"/>
        <v>6.65</v>
      </c>
      <c r="G755" s="219">
        <f t="shared" si="131"/>
        <v>6.66</v>
      </c>
      <c r="H755" s="220">
        <f t="shared" si="132"/>
        <v>7.65</v>
      </c>
      <c r="I755" s="257" t="str">
        <f t="shared" si="133"/>
        <v>6-7 years</v>
      </c>
      <c r="J755" s="211">
        <f t="shared" si="134"/>
        <v>0.83835616438356164</v>
      </c>
      <c r="K755" s="258">
        <f>$D755*J755*_xlfn.XLOOKUP($I755,'Sample Size cal and results'!$B$24:$B$25,'Sample Size cal and results'!$H$24:$H$25)</f>
        <v>3.4368594642070946</v>
      </c>
      <c r="L755" s="211">
        <f t="shared" si="135"/>
        <v>0.16164383561643836</v>
      </c>
      <c r="M755" s="211">
        <f>$D755*L755*_xlfn.XLOOKUP($I755,'Sample Size cal and results'!$B$24:$B$25,'Sample Size cal and results'!$I$24:$I$25)</f>
        <v>0.67989846640948493</v>
      </c>
      <c r="N755" s="214">
        <f t="shared" si="136"/>
        <v>4.1167579306165791</v>
      </c>
      <c r="O755" s="225" t="str">
        <f t="shared" si="137"/>
        <v>7-8 years</v>
      </c>
      <c r="P755" s="226">
        <f t="shared" si="138"/>
        <v>0.33972602739726027</v>
      </c>
      <c r="Q755" s="227">
        <f>$D755*P755*_xlfn.XLOOKUP($O755,'Sample Size cal and results'!$B$26:$B$27,'Sample Size cal and results'!$I$26:$I$27)</f>
        <v>1.1037214077621498</v>
      </c>
      <c r="R755" s="330"/>
    </row>
    <row r="756" spans="1:18" ht="12.75">
      <c r="A756" s="99" t="s">
        <v>145</v>
      </c>
      <c r="B756" s="100">
        <v>41822</v>
      </c>
      <c r="C756" s="100">
        <f t="shared" si="128"/>
        <v>44378</v>
      </c>
      <c r="D756" s="209">
        <v>20</v>
      </c>
      <c r="E756" s="217">
        <f t="shared" si="129"/>
        <v>5.66</v>
      </c>
      <c r="F756" s="218">
        <f t="shared" si="130"/>
        <v>6.66</v>
      </c>
      <c r="G756" s="219">
        <f t="shared" si="131"/>
        <v>6.66</v>
      </c>
      <c r="H756" s="220">
        <f t="shared" si="132"/>
        <v>7.66</v>
      </c>
      <c r="I756" s="257" t="str">
        <f t="shared" si="133"/>
        <v>6-7 years</v>
      </c>
      <c r="J756" s="211">
        <f t="shared" si="134"/>
        <v>0.83835616438356164</v>
      </c>
      <c r="K756" s="258">
        <f>$D756*J756*_xlfn.XLOOKUP($I756,'Sample Size cal and results'!$B$24:$B$25,'Sample Size cal and results'!$H$24:$H$25)</f>
        <v>13.747437856828379</v>
      </c>
      <c r="L756" s="211">
        <f t="shared" si="135"/>
        <v>0.16164383561643836</v>
      </c>
      <c r="M756" s="211">
        <f>$D756*L756*_xlfn.XLOOKUP($I756,'Sample Size cal and results'!$B$24:$B$25,'Sample Size cal and results'!$I$24:$I$25)</f>
        <v>2.7195938656379397</v>
      </c>
      <c r="N756" s="214">
        <f t="shared" si="136"/>
        <v>16.467031722466317</v>
      </c>
      <c r="O756" s="225" t="str">
        <f t="shared" si="137"/>
        <v>7-8 years</v>
      </c>
      <c r="P756" s="226">
        <f t="shared" si="138"/>
        <v>0.33698630136986302</v>
      </c>
      <c r="Q756" s="227">
        <f>$D756*P756*_xlfn.XLOOKUP($O756,'Sample Size cal and results'!$B$26:$B$27,'Sample Size cal and results'!$I$26:$I$27)</f>
        <v>4.3792817146691752</v>
      </c>
      <c r="R756" s="330"/>
    </row>
    <row r="757" spans="1:18" ht="12.75">
      <c r="A757" s="99" t="s">
        <v>143</v>
      </c>
      <c r="B757" s="100">
        <v>41822</v>
      </c>
      <c r="C757" s="100">
        <f t="shared" si="128"/>
        <v>44378</v>
      </c>
      <c r="D757" s="209">
        <v>9</v>
      </c>
      <c r="E757" s="217">
        <f t="shared" si="129"/>
        <v>5.66</v>
      </c>
      <c r="F757" s="218">
        <f t="shared" si="130"/>
        <v>6.66</v>
      </c>
      <c r="G757" s="219">
        <f t="shared" si="131"/>
        <v>6.66</v>
      </c>
      <c r="H757" s="220">
        <f t="shared" si="132"/>
        <v>7.66</v>
      </c>
      <c r="I757" s="257" t="str">
        <f t="shared" si="133"/>
        <v>6-7 years</v>
      </c>
      <c r="J757" s="211">
        <f t="shared" si="134"/>
        <v>0.83835616438356164</v>
      </c>
      <c r="K757" s="258">
        <f>$D757*J757*_xlfn.XLOOKUP($I757,'Sample Size cal and results'!$B$24:$B$25,'Sample Size cal and results'!$H$24:$H$25)</f>
        <v>6.186347035572771</v>
      </c>
      <c r="L757" s="211">
        <f t="shared" si="135"/>
        <v>0.16164383561643836</v>
      </c>
      <c r="M757" s="211">
        <f>$D757*L757*_xlfn.XLOOKUP($I757,'Sample Size cal and results'!$B$24:$B$25,'Sample Size cal and results'!$I$24:$I$25)</f>
        <v>1.223817239537073</v>
      </c>
      <c r="N757" s="214">
        <f t="shared" si="136"/>
        <v>7.4101642751098442</v>
      </c>
      <c r="O757" s="225" t="str">
        <f t="shared" si="137"/>
        <v>7-8 years</v>
      </c>
      <c r="P757" s="226">
        <f t="shared" si="138"/>
        <v>0.33698630136986302</v>
      </c>
      <c r="Q757" s="227">
        <f>$D757*P757*_xlfn.XLOOKUP($O757,'Sample Size cal and results'!$B$26:$B$27,'Sample Size cal and results'!$I$26:$I$27)</f>
        <v>1.9706767716011286</v>
      </c>
      <c r="R757" s="330"/>
    </row>
    <row r="758" spans="1:18" ht="12.75">
      <c r="A758" s="99" t="s">
        <v>145</v>
      </c>
      <c r="B758" s="100">
        <v>41821</v>
      </c>
      <c r="C758" s="100">
        <f t="shared" si="128"/>
        <v>44377</v>
      </c>
      <c r="D758" s="209">
        <v>12</v>
      </c>
      <c r="E758" s="217">
        <f t="shared" si="129"/>
        <v>5.66</v>
      </c>
      <c r="F758" s="218">
        <f t="shared" si="130"/>
        <v>6.66</v>
      </c>
      <c r="G758" s="219">
        <f t="shared" si="131"/>
        <v>6.66</v>
      </c>
      <c r="H758" s="220">
        <f t="shared" si="132"/>
        <v>7.66</v>
      </c>
      <c r="I758" s="257" t="str">
        <f t="shared" si="133"/>
        <v>6-7 years</v>
      </c>
      <c r="J758" s="211">
        <f t="shared" si="134"/>
        <v>0.83835616438356164</v>
      </c>
      <c r="K758" s="258">
        <f>$D758*J758*_xlfn.XLOOKUP($I758,'Sample Size cal and results'!$B$24:$B$25,'Sample Size cal and results'!$H$24:$H$25)</f>
        <v>8.2484627140970268</v>
      </c>
      <c r="L758" s="211">
        <f t="shared" si="135"/>
        <v>0.16164383561643836</v>
      </c>
      <c r="M758" s="211">
        <f>$D758*L758*_xlfn.XLOOKUP($I758,'Sample Size cal and results'!$B$24:$B$25,'Sample Size cal and results'!$I$24:$I$25)</f>
        <v>1.6317563193827638</v>
      </c>
      <c r="N758" s="214">
        <f t="shared" si="136"/>
        <v>9.8802190334797899</v>
      </c>
      <c r="O758" s="225" t="str">
        <f t="shared" si="137"/>
        <v>7-8 years</v>
      </c>
      <c r="P758" s="226">
        <f t="shared" si="138"/>
        <v>0.33424657534246577</v>
      </c>
      <c r="Q758" s="227">
        <f>$D758*P758*_xlfn.XLOOKUP($O758,'Sample Size cal and results'!$B$26:$B$27,'Sample Size cal and results'!$I$26:$I$27)</f>
        <v>2.6062066789738507</v>
      </c>
      <c r="R758" s="330"/>
    </row>
    <row r="759" spans="1:18" ht="12.75">
      <c r="A759" s="99" t="s">
        <v>143</v>
      </c>
      <c r="B759" s="100">
        <v>41821</v>
      </c>
      <c r="C759" s="100">
        <f t="shared" si="128"/>
        <v>44377</v>
      </c>
      <c r="D759" s="209">
        <v>1</v>
      </c>
      <c r="E759" s="217">
        <f t="shared" si="129"/>
        <v>5.66</v>
      </c>
      <c r="F759" s="218">
        <f t="shared" si="130"/>
        <v>6.66</v>
      </c>
      <c r="G759" s="219">
        <f t="shared" si="131"/>
        <v>6.66</v>
      </c>
      <c r="H759" s="220">
        <f t="shared" si="132"/>
        <v>7.66</v>
      </c>
      <c r="I759" s="257" t="str">
        <f t="shared" si="133"/>
        <v>6-7 years</v>
      </c>
      <c r="J759" s="211">
        <f t="shared" si="134"/>
        <v>0.83835616438356164</v>
      </c>
      <c r="K759" s="258">
        <f>$D759*J759*_xlfn.XLOOKUP($I759,'Sample Size cal and results'!$B$24:$B$25,'Sample Size cal and results'!$H$24:$H$25)</f>
        <v>0.68737189284141897</v>
      </c>
      <c r="L759" s="211">
        <f t="shared" si="135"/>
        <v>0.16164383561643836</v>
      </c>
      <c r="M759" s="211">
        <f>$D759*L759*_xlfn.XLOOKUP($I759,'Sample Size cal and results'!$B$24:$B$25,'Sample Size cal and results'!$I$24:$I$25)</f>
        <v>0.13597969328189699</v>
      </c>
      <c r="N759" s="214">
        <f t="shared" si="136"/>
        <v>0.82335158612331594</v>
      </c>
      <c r="O759" s="225" t="str">
        <f t="shared" si="137"/>
        <v>7-8 years</v>
      </c>
      <c r="P759" s="226">
        <f t="shared" si="138"/>
        <v>0.33424657534246577</v>
      </c>
      <c r="Q759" s="227">
        <f>$D759*P759*_xlfn.XLOOKUP($O759,'Sample Size cal and results'!$B$26:$B$27,'Sample Size cal and results'!$I$26:$I$27)</f>
        <v>0.21718388991448756</v>
      </c>
      <c r="R759" s="330"/>
    </row>
    <row r="760" spans="1:18" ht="12.75">
      <c r="A760" s="99" t="s">
        <v>143</v>
      </c>
      <c r="B760" s="100">
        <v>41820</v>
      </c>
      <c r="C760" s="100">
        <f t="shared" si="128"/>
        <v>44376</v>
      </c>
      <c r="D760" s="209">
        <v>43</v>
      </c>
      <c r="E760" s="217">
        <f t="shared" si="129"/>
        <v>5.66</v>
      </c>
      <c r="F760" s="218">
        <f t="shared" si="130"/>
        <v>6.66</v>
      </c>
      <c r="G760" s="219">
        <f t="shared" si="131"/>
        <v>6.66</v>
      </c>
      <c r="H760" s="220">
        <f t="shared" si="132"/>
        <v>7.66</v>
      </c>
      <c r="I760" s="257" t="str">
        <f t="shared" si="133"/>
        <v>6-7 years</v>
      </c>
      <c r="J760" s="211">
        <f t="shared" si="134"/>
        <v>0.83835616438356164</v>
      </c>
      <c r="K760" s="258">
        <f>$D760*J760*_xlfn.XLOOKUP($I760,'Sample Size cal and results'!$B$24:$B$25,'Sample Size cal and results'!$H$24:$H$25)</f>
        <v>29.556991392181015</v>
      </c>
      <c r="L760" s="211">
        <f t="shared" si="135"/>
        <v>0.16164383561643836</v>
      </c>
      <c r="M760" s="211">
        <f>$D760*L760*_xlfn.XLOOKUP($I760,'Sample Size cal and results'!$B$24:$B$25,'Sample Size cal and results'!$I$24:$I$25)</f>
        <v>5.8471268111215702</v>
      </c>
      <c r="N760" s="214">
        <f t="shared" si="136"/>
        <v>35.404118203302588</v>
      </c>
      <c r="O760" s="225" t="str">
        <f t="shared" si="137"/>
        <v>7-8 years</v>
      </c>
      <c r="P760" s="226">
        <f t="shared" si="138"/>
        <v>0.33150684931506852</v>
      </c>
      <c r="Q760" s="227">
        <f>$D760*P760*_xlfn.XLOOKUP($O760,'Sample Size cal and results'!$B$26:$B$27,'Sample Size cal and results'!$I$26:$I$27)</f>
        <v>9.2623588461072028</v>
      </c>
      <c r="R760" s="330"/>
    </row>
    <row r="761" spans="1:18" ht="12.75">
      <c r="A761" s="99" t="s">
        <v>145</v>
      </c>
      <c r="B761" s="100">
        <v>41820</v>
      </c>
      <c r="C761" s="100">
        <f t="shared" si="128"/>
        <v>44376</v>
      </c>
      <c r="D761" s="209">
        <v>42</v>
      </c>
      <c r="E761" s="217">
        <f t="shared" si="129"/>
        <v>5.66</v>
      </c>
      <c r="F761" s="218">
        <f t="shared" si="130"/>
        <v>6.66</v>
      </c>
      <c r="G761" s="219">
        <f t="shared" si="131"/>
        <v>6.66</v>
      </c>
      <c r="H761" s="220">
        <f t="shared" si="132"/>
        <v>7.66</v>
      </c>
      <c r="I761" s="257" t="str">
        <f t="shared" si="133"/>
        <v>6-7 years</v>
      </c>
      <c r="J761" s="211">
        <f t="shared" si="134"/>
        <v>0.83835616438356164</v>
      </c>
      <c r="K761" s="258">
        <f>$D761*J761*_xlfn.XLOOKUP($I761,'Sample Size cal and results'!$B$24:$B$25,'Sample Size cal and results'!$H$24:$H$25)</f>
        <v>28.869619499339596</v>
      </c>
      <c r="L761" s="211">
        <f t="shared" si="135"/>
        <v>0.16164383561643836</v>
      </c>
      <c r="M761" s="211">
        <f>$D761*L761*_xlfn.XLOOKUP($I761,'Sample Size cal and results'!$B$24:$B$25,'Sample Size cal and results'!$I$24:$I$25)</f>
        <v>5.7111471178396735</v>
      </c>
      <c r="N761" s="214">
        <f t="shared" si="136"/>
        <v>34.580766617179272</v>
      </c>
      <c r="O761" s="225" t="str">
        <f t="shared" si="137"/>
        <v>7-8 years</v>
      </c>
      <c r="P761" s="226">
        <f t="shared" si="138"/>
        <v>0.33150684931506852</v>
      </c>
      <c r="Q761" s="227">
        <f>$D761*P761*_xlfn.XLOOKUP($O761,'Sample Size cal and results'!$B$26:$B$27,'Sample Size cal and results'!$I$26:$I$27)</f>
        <v>9.0469551520116873</v>
      </c>
      <c r="R761" s="330"/>
    </row>
    <row r="762" spans="1:18" ht="12.75">
      <c r="A762" s="99" t="s">
        <v>145</v>
      </c>
      <c r="B762" s="100">
        <v>41819</v>
      </c>
      <c r="C762" s="100">
        <f t="shared" si="128"/>
        <v>44375</v>
      </c>
      <c r="D762" s="209">
        <v>58</v>
      </c>
      <c r="E762" s="217">
        <f t="shared" si="129"/>
        <v>5.67</v>
      </c>
      <c r="F762" s="218">
        <f t="shared" si="130"/>
        <v>6.66</v>
      </c>
      <c r="G762" s="219">
        <f t="shared" si="131"/>
        <v>6.67</v>
      </c>
      <c r="H762" s="220">
        <f t="shared" si="132"/>
        <v>7.66</v>
      </c>
      <c r="I762" s="257" t="str">
        <f t="shared" si="133"/>
        <v>6-7 years</v>
      </c>
      <c r="J762" s="211">
        <f t="shared" si="134"/>
        <v>0.83835616438356164</v>
      </c>
      <c r="K762" s="258">
        <f>$D762*J762*_xlfn.XLOOKUP($I762,'Sample Size cal and results'!$B$24:$B$25,'Sample Size cal and results'!$H$24:$H$25)</f>
        <v>39.867569784802299</v>
      </c>
      <c r="L762" s="211">
        <f t="shared" si="135"/>
        <v>0.16164383561643836</v>
      </c>
      <c r="M762" s="211">
        <f>$D762*L762*_xlfn.XLOOKUP($I762,'Sample Size cal and results'!$B$24:$B$25,'Sample Size cal and results'!$I$24:$I$25)</f>
        <v>7.886822210350025</v>
      </c>
      <c r="N762" s="214">
        <f t="shared" si="136"/>
        <v>47.754391995152325</v>
      </c>
      <c r="O762" s="225" t="str">
        <f t="shared" si="137"/>
        <v>7-8 years</v>
      </c>
      <c r="P762" s="226">
        <f t="shared" si="138"/>
        <v>0.32876712328767121</v>
      </c>
      <c r="Q762" s="227">
        <f>$D762*P762*_xlfn.XLOOKUP($O762,'Sample Size cal and results'!$B$26:$B$27,'Sample Size cal and results'!$I$26:$I$27)</f>
        <v>12.390162900039616</v>
      </c>
      <c r="R762" s="330"/>
    </row>
    <row r="763" spans="1:18" ht="12.75">
      <c r="A763" s="99" t="s">
        <v>143</v>
      </c>
      <c r="B763" s="100">
        <v>41819</v>
      </c>
      <c r="C763" s="100">
        <f t="shared" si="128"/>
        <v>44375</v>
      </c>
      <c r="D763" s="209">
        <v>30</v>
      </c>
      <c r="E763" s="217">
        <f t="shared" si="129"/>
        <v>5.67</v>
      </c>
      <c r="F763" s="218">
        <f t="shared" si="130"/>
        <v>6.66</v>
      </c>
      <c r="G763" s="219">
        <f t="shared" si="131"/>
        <v>6.67</v>
      </c>
      <c r="H763" s="220">
        <f t="shared" si="132"/>
        <v>7.66</v>
      </c>
      <c r="I763" s="257" t="str">
        <f t="shared" si="133"/>
        <v>6-7 years</v>
      </c>
      <c r="J763" s="211">
        <f t="shared" si="134"/>
        <v>0.83835616438356164</v>
      </c>
      <c r="K763" s="258">
        <f>$D763*J763*_xlfn.XLOOKUP($I763,'Sample Size cal and results'!$B$24:$B$25,'Sample Size cal and results'!$H$24:$H$25)</f>
        <v>20.621156785242569</v>
      </c>
      <c r="L763" s="211">
        <f t="shared" si="135"/>
        <v>0.16164383561643836</v>
      </c>
      <c r="M763" s="211">
        <f>$D763*L763*_xlfn.XLOOKUP($I763,'Sample Size cal and results'!$B$24:$B$25,'Sample Size cal and results'!$I$24:$I$25)</f>
        <v>4.0793907984569096</v>
      </c>
      <c r="N763" s="214">
        <f t="shared" si="136"/>
        <v>24.700547583699478</v>
      </c>
      <c r="O763" s="225" t="str">
        <f t="shared" si="137"/>
        <v>7-8 years</v>
      </c>
      <c r="P763" s="226">
        <f t="shared" si="138"/>
        <v>0.32876712328767121</v>
      </c>
      <c r="Q763" s="227">
        <f>$D763*P763*_xlfn.XLOOKUP($O763,'Sample Size cal and results'!$B$26:$B$27,'Sample Size cal and results'!$I$26:$I$27)</f>
        <v>6.4087049482963536</v>
      </c>
      <c r="R763" s="330"/>
    </row>
    <row r="764" spans="1:18" ht="12.75">
      <c r="A764" s="99" t="s">
        <v>145</v>
      </c>
      <c r="B764" s="100">
        <v>41818</v>
      </c>
      <c r="C764" s="100">
        <f t="shared" si="128"/>
        <v>44374</v>
      </c>
      <c r="D764" s="209">
        <v>68</v>
      </c>
      <c r="E764" s="217">
        <f t="shared" si="129"/>
        <v>5.67</v>
      </c>
      <c r="F764" s="218">
        <f t="shared" si="130"/>
        <v>6.67</v>
      </c>
      <c r="G764" s="219">
        <f t="shared" si="131"/>
        <v>6.67</v>
      </c>
      <c r="H764" s="220">
        <f t="shared" si="132"/>
        <v>7.67</v>
      </c>
      <c r="I764" s="257" t="str">
        <f t="shared" si="133"/>
        <v>6-7 years</v>
      </c>
      <c r="J764" s="211">
        <f t="shared" si="134"/>
        <v>0.83835616438356164</v>
      </c>
      <c r="K764" s="258">
        <f>$D764*J764*_xlfn.XLOOKUP($I764,'Sample Size cal and results'!$B$24:$B$25,'Sample Size cal and results'!$H$24:$H$25)</f>
        <v>46.741288713216491</v>
      </c>
      <c r="L764" s="211">
        <f t="shared" si="135"/>
        <v>0.16164383561643836</v>
      </c>
      <c r="M764" s="211">
        <f>$D764*L764*_xlfn.XLOOKUP($I764,'Sample Size cal and results'!$B$24:$B$25,'Sample Size cal and results'!$I$24:$I$25)</f>
        <v>9.2466191431689957</v>
      </c>
      <c r="N764" s="214">
        <f t="shared" si="136"/>
        <v>55.98790785638549</v>
      </c>
      <c r="O764" s="225" t="str">
        <f t="shared" si="137"/>
        <v>7-8 years</v>
      </c>
      <c r="P764" s="226">
        <f t="shared" si="138"/>
        <v>0.32602739726027397</v>
      </c>
      <c r="Q764" s="227">
        <f>$D764*P764*_xlfn.XLOOKUP($O764,'Sample Size cal and results'!$B$26:$B$27,'Sample Size cal and results'!$I$26:$I$27)</f>
        <v>14.405344567115026</v>
      </c>
      <c r="R764" s="330"/>
    </row>
    <row r="765" spans="1:18" ht="12.75">
      <c r="A765" s="99" t="s">
        <v>143</v>
      </c>
      <c r="B765" s="100">
        <v>41818</v>
      </c>
      <c r="C765" s="100">
        <f t="shared" si="128"/>
        <v>44374</v>
      </c>
      <c r="D765" s="209">
        <v>33</v>
      </c>
      <c r="E765" s="217">
        <f t="shared" si="129"/>
        <v>5.67</v>
      </c>
      <c r="F765" s="218">
        <f t="shared" si="130"/>
        <v>6.67</v>
      </c>
      <c r="G765" s="219">
        <f t="shared" si="131"/>
        <v>6.67</v>
      </c>
      <c r="H765" s="220">
        <f t="shared" si="132"/>
        <v>7.67</v>
      </c>
      <c r="I765" s="257" t="str">
        <f t="shared" si="133"/>
        <v>6-7 years</v>
      </c>
      <c r="J765" s="211">
        <f t="shared" si="134"/>
        <v>0.83835616438356164</v>
      </c>
      <c r="K765" s="258">
        <f>$D765*J765*_xlfn.XLOOKUP($I765,'Sample Size cal and results'!$B$24:$B$25,'Sample Size cal and results'!$H$24:$H$25)</f>
        <v>22.683272463766826</v>
      </c>
      <c r="L765" s="211">
        <f t="shared" si="135"/>
        <v>0.16164383561643836</v>
      </c>
      <c r="M765" s="211">
        <f>$D765*L765*_xlfn.XLOOKUP($I765,'Sample Size cal and results'!$B$24:$B$25,'Sample Size cal and results'!$I$24:$I$25)</f>
        <v>4.4873298783026003</v>
      </c>
      <c r="N765" s="214">
        <f t="shared" si="136"/>
        <v>27.170602342069426</v>
      </c>
      <c r="O765" s="225" t="str">
        <f t="shared" si="137"/>
        <v>7-8 years</v>
      </c>
      <c r="P765" s="226">
        <f t="shared" si="138"/>
        <v>0.32602739726027397</v>
      </c>
      <c r="Q765" s="227">
        <f>$D765*P765*_xlfn.XLOOKUP($O765,'Sample Size cal and results'!$B$26:$B$27,'Sample Size cal and results'!$I$26:$I$27)</f>
        <v>6.9908289810999396</v>
      </c>
      <c r="R765" s="330"/>
    </row>
    <row r="766" spans="1:18" ht="12.75">
      <c r="A766" s="99" t="s">
        <v>145</v>
      </c>
      <c r="B766" s="100">
        <v>41817</v>
      </c>
      <c r="C766" s="100">
        <f t="shared" si="128"/>
        <v>44373</v>
      </c>
      <c r="D766" s="209">
        <v>64</v>
      </c>
      <c r="E766" s="217">
        <f t="shared" si="129"/>
        <v>5.67</v>
      </c>
      <c r="F766" s="218">
        <f t="shared" si="130"/>
        <v>6.67</v>
      </c>
      <c r="G766" s="219">
        <f t="shared" si="131"/>
        <v>6.67</v>
      </c>
      <c r="H766" s="220">
        <f t="shared" si="132"/>
        <v>7.67</v>
      </c>
      <c r="I766" s="257" t="str">
        <f t="shared" si="133"/>
        <v>6-7 years</v>
      </c>
      <c r="J766" s="211">
        <f t="shared" si="134"/>
        <v>0.83835616438356164</v>
      </c>
      <c r="K766" s="258">
        <f>$D766*J766*_xlfn.XLOOKUP($I766,'Sample Size cal and results'!$B$24:$B$25,'Sample Size cal and results'!$H$24:$H$25)</f>
        <v>43.991801141850814</v>
      </c>
      <c r="L766" s="211">
        <f t="shared" si="135"/>
        <v>0.16164383561643836</v>
      </c>
      <c r="M766" s="211">
        <f>$D766*L766*_xlfn.XLOOKUP($I766,'Sample Size cal and results'!$B$24:$B$25,'Sample Size cal and results'!$I$24:$I$25)</f>
        <v>8.7027003700414074</v>
      </c>
      <c r="N766" s="214">
        <f t="shared" si="136"/>
        <v>52.69450151189222</v>
      </c>
      <c r="O766" s="225" t="str">
        <f t="shared" si="137"/>
        <v>7-8 years</v>
      </c>
      <c r="P766" s="226">
        <f t="shared" si="138"/>
        <v>0.32328767123287672</v>
      </c>
      <c r="Q766" s="227">
        <f>$D766*P766*_xlfn.XLOOKUP($O766,'Sample Size cal and results'!$B$26:$B$27,'Sample Size cal and results'!$I$26:$I$27)</f>
        <v>13.444038824870573</v>
      </c>
      <c r="R766" s="330"/>
    </row>
    <row r="767" spans="1:18" ht="12.75">
      <c r="A767" s="99" t="s">
        <v>143</v>
      </c>
      <c r="B767" s="100">
        <v>41817</v>
      </c>
      <c r="C767" s="100">
        <f t="shared" si="128"/>
        <v>44373</v>
      </c>
      <c r="D767" s="209">
        <v>21</v>
      </c>
      <c r="E767" s="217">
        <f t="shared" si="129"/>
        <v>5.67</v>
      </c>
      <c r="F767" s="218">
        <f t="shared" si="130"/>
        <v>6.67</v>
      </c>
      <c r="G767" s="219">
        <f t="shared" si="131"/>
        <v>6.67</v>
      </c>
      <c r="H767" s="220">
        <f t="shared" si="132"/>
        <v>7.67</v>
      </c>
      <c r="I767" s="257" t="str">
        <f t="shared" si="133"/>
        <v>6-7 years</v>
      </c>
      <c r="J767" s="211">
        <f t="shared" si="134"/>
        <v>0.83835616438356164</v>
      </c>
      <c r="K767" s="258">
        <f>$D767*J767*_xlfn.XLOOKUP($I767,'Sample Size cal and results'!$B$24:$B$25,'Sample Size cal and results'!$H$24:$H$25)</f>
        <v>14.434809749669798</v>
      </c>
      <c r="L767" s="211">
        <f t="shared" si="135"/>
        <v>0.16164383561643836</v>
      </c>
      <c r="M767" s="211">
        <f>$D767*L767*_xlfn.XLOOKUP($I767,'Sample Size cal and results'!$B$24:$B$25,'Sample Size cal and results'!$I$24:$I$25)</f>
        <v>2.8555735589198368</v>
      </c>
      <c r="N767" s="214">
        <f t="shared" si="136"/>
        <v>17.290383308589636</v>
      </c>
      <c r="O767" s="225" t="str">
        <f t="shared" si="137"/>
        <v>7-8 years</v>
      </c>
      <c r="P767" s="226">
        <f t="shared" si="138"/>
        <v>0.32328767123287672</v>
      </c>
      <c r="Q767" s="227">
        <f>$D767*P767*_xlfn.XLOOKUP($O767,'Sample Size cal and results'!$B$26:$B$27,'Sample Size cal and results'!$I$26:$I$27)</f>
        <v>4.4113252394106572</v>
      </c>
      <c r="R767" s="330"/>
    </row>
    <row r="768" spans="1:18" ht="12.75">
      <c r="A768" s="99" t="s">
        <v>145</v>
      </c>
      <c r="B768" s="100">
        <v>41816</v>
      </c>
      <c r="C768" s="100">
        <f t="shared" si="128"/>
        <v>44372</v>
      </c>
      <c r="D768" s="209">
        <v>74</v>
      </c>
      <c r="E768" s="217">
        <f t="shared" si="129"/>
        <v>5.68</v>
      </c>
      <c r="F768" s="218">
        <f t="shared" si="130"/>
        <v>6.67</v>
      </c>
      <c r="G768" s="219">
        <f t="shared" si="131"/>
        <v>6.68</v>
      </c>
      <c r="H768" s="220">
        <f t="shared" si="132"/>
        <v>7.67</v>
      </c>
      <c r="I768" s="257" t="str">
        <f t="shared" si="133"/>
        <v>6-7 years</v>
      </c>
      <c r="J768" s="211">
        <f t="shared" si="134"/>
        <v>0.83835616438356164</v>
      </c>
      <c r="K768" s="258">
        <f>$D768*J768*_xlfn.XLOOKUP($I768,'Sample Size cal and results'!$B$24:$B$25,'Sample Size cal and results'!$H$24:$H$25)</f>
        <v>50.865520070265006</v>
      </c>
      <c r="L768" s="211">
        <f t="shared" si="135"/>
        <v>0.16164383561643836</v>
      </c>
      <c r="M768" s="211">
        <f>$D768*L768*_xlfn.XLOOKUP($I768,'Sample Size cal and results'!$B$24:$B$25,'Sample Size cal and results'!$I$24:$I$25)</f>
        <v>10.062497302860377</v>
      </c>
      <c r="N768" s="214">
        <f t="shared" si="136"/>
        <v>60.928017373125385</v>
      </c>
      <c r="O768" s="225" t="str">
        <f t="shared" si="137"/>
        <v>7-8 years</v>
      </c>
      <c r="P768" s="226">
        <f t="shared" si="138"/>
        <v>0.32054794520547947</v>
      </c>
      <c r="Q768" s="227">
        <f>$D768*P768*_xlfn.XLOOKUP($O768,'Sample Size cal and results'!$B$26:$B$27,'Sample Size cal and results'!$I$26:$I$27)</f>
        <v>15.412935400652731</v>
      </c>
      <c r="R768" s="330"/>
    </row>
    <row r="769" spans="1:18" ht="12.75">
      <c r="A769" s="99" t="s">
        <v>143</v>
      </c>
      <c r="B769" s="100">
        <v>41816</v>
      </c>
      <c r="C769" s="100">
        <f t="shared" si="128"/>
        <v>44372</v>
      </c>
      <c r="D769" s="209">
        <v>23</v>
      </c>
      <c r="E769" s="217">
        <f t="shared" si="129"/>
        <v>5.68</v>
      </c>
      <c r="F769" s="218">
        <f t="shared" si="130"/>
        <v>6.67</v>
      </c>
      <c r="G769" s="219">
        <f t="shared" si="131"/>
        <v>6.68</v>
      </c>
      <c r="H769" s="220">
        <f t="shared" si="132"/>
        <v>7.67</v>
      </c>
      <c r="I769" s="257" t="str">
        <f t="shared" si="133"/>
        <v>6-7 years</v>
      </c>
      <c r="J769" s="211">
        <f t="shared" si="134"/>
        <v>0.83835616438356164</v>
      </c>
      <c r="K769" s="258">
        <f>$D769*J769*_xlfn.XLOOKUP($I769,'Sample Size cal and results'!$B$24:$B$25,'Sample Size cal and results'!$H$24:$H$25)</f>
        <v>15.809553535352636</v>
      </c>
      <c r="L769" s="211">
        <f t="shared" si="135"/>
        <v>0.16164383561643836</v>
      </c>
      <c r="M769" s="211">
        <f>$D769*L769*_xlfn.XLOOKUP($I769,'Sample Size cal and results'!$B$24:$B$25,'Sample Size cal and results'!$I$24:$I$25)</f>
        <v>3.1275329454836305</v>
      </c>
      <c r="N769" s="214">
        <f t="shared" si="136"/>
        <v>18.937086480836268</v>
      </c>
      <c r="O769" s="225" t="str">
        <f t="shared" si="137"/>
        <v>7-8 years</v>
      </c>
      <c r="P769" s="226">
        <f t="shared" si="138"/>
        <v>0.32054794520547947</v>
      </c>
      <c r="Q769" s="227">
        <f>$D769*P769*_xlfn.XLOOKUP($O769,'Sample Size cal and results'!$B$26:$B$27,'Sample Size cal and results'!$I$26:$I$27)</f>
        <v>4.7905069488515242</v>
      </c>
      <c r="R769" s="330"/>
    </row>
    <row r="770" spans="1:18" ht="12.75">
      <c r="A770" s="99" t="s">
        <v>145</v>
      </c>
      <c r="B770" s="100">
        <v>41815</v>
      </c>
      <c r="C770" s="100">
        <f t="shared" si="128"/>
        <v>44371</v>
      </c>
      <c r="D770" s="209">
        <v>96</v>
      </c>
      <c r="E770" s="217">
        <f t="shared" si="129"/>
        <v>5.68</v>
      </c>
      <c r="F770" s="218">
        <f t="shared" si="130"/>
        <v>6.68</v>
      </c>
      <c r="G770" s="219">
        <f t="shared" si="131"/>
        <v>6.68</v>
      </c>
      <c r="H770" s="220">
        <f t="shared" si="132"/>
        <v>7.68</v>
      </c>
      <c r="I770" s="257" t="str">
        <f t="shared" si="133"/>
        <v>6-7 years</v>
      </c>
      <c r="J770" s="211">
        <f t="shared" si="134"/>
        <v>0.83835616438356164</v>
      </c>
      <c r="K770" s="258">
        <f>$D770*J770*_xlfn.XLOOKUP($I770,'Sample Size cal and results'!$B$24:$B$25,'Sample Size cal and results'!$H$24:$H$25)</f>
        <v>65.987701712776214</v>
      </c>
      <c r="L770" s="211">
        <f t="shared" si="135"/>
        <v>0.16164383561643836</v>
      </c>
      <c r="M770" s="211">
        <f>$D770*L770*_xlfn.XLOOKUP($I770,'Sample Size cal and results'!$B$24:$B$25,'Sample Size cal and results'!$I$24:$I$25)</f>
        <v>13.05405055506211</v>
      </c>
      <c r="N770" s="214">
        <f t="shared" si="136"/>
        <v>79.041752267838319</v>
      </c>
      <c r="O770" s="225" t="str">
        <f t="shared" si="137"/>
        <v>7-8 years</v>
      </c>
      <c r="P770" s="226">
        <f t="shared" si="138"/>
        <v>0.31780821917808222</v>
      </c>
      <c r="Q770" s="227">
        <f>$D770*P770*_xlfn.XLOOKUP($O770,'Sample Size cal and results'!$B$26:$B$27,'Sample Size cal and results'!$I$26:$I$27)</f>
        <v>19.82426064006339</v>
      </c>
      <c r="R770" s="330"/>
    </row>
    <row r="771" spans="1:18" ht="12.75">
      <c r="A771" s="99" t="s">
        <v>143</v>
      </c>
      <c r="B771" s="100">
        <v>41815</v>
      </c>
      <c r="C771" s="100">
        <f t="shared" ref="C771:C834" si="139">EDATE(B771,84)-1</f>
        <v>44371</v>
      </c>
      <c r="D771" s="209">
        <v>41</v>
      </c>
      <c r="E771" s="217">
        <f t="shared" ref="E771:E834" si="140">ROUNDDOWN(YEARFRAC($B771,$AB$4,1),2)</f>
        <v>5.68</v>
      </c>
      <c r="F771" s="218">
        <f t="shared" ref="F771:F834" si="141">ROUNDDOWN(YEARFRAC($B771,$AB$5,1),2)</f>
        <v>6.68</v>
      </c>
      <c r="G771" s="219">
        <f t="shared" ref="G771:G834" si="142">ROUNDDOWN(YEARFRAC($B771,$AC$4,1),2)</f>
        <v>6.68</v>
      </c>
      <c r="H771" s="220">
        <f t="shared" ref="H771:H834" si="143">ROUNDDOWN(YEARFRAC($B771,$AC$5,1),2)</f>
        <v>7.68</v>
      </c>
      <c r="I771" s="257" t="str">
        <f t="shared" ref="I771:I834" si="144">IF(DATEDIF($B771,$AB$5,"y")=5,"5-6 years","6-7 years")</f>
        <v>6-7 years</v>
      </c>
      <c r="J771" s="211">
        <f t="shared" ref="J771:J834" si="145">MAX(MIN($AC$7,C771)-MAX($AB$4,$B771,_xlfn.XLOOKUP($A771,$AE$3:$AE$37,$AF$3:$AF$37))+1,0)/365</f>
        <v>0.83835616438356164</v>
      </c>
      <c r="K771" s="258">
        <f>$D771*J771*_xlfn.XLOOKUP($I771,'Sample Size cal and results'!$B$24:$B$25,'Sample Size cal and results'!$H$24:$H$25)</f>
        <v>28.182247606498176</v>
      </c>
      <c r="L771" s="211">
        <f t="shared" ref="L771:L834" si="146">MAX(MIN($AB$5,C771)-MAX($AC$8,$B771,_xlfn.XLOOKUP($A771,$AE$3:$AE$37,$AF$3:$AF$37))+1,0)/365</f>
        <v>0.16164383561643836</v>
      </c>
      <c r="M771" s="211">
        <f>$D771*L771*_xlfn.XLOOKUP($I771,'Sample Size cal and results'!$B$24:$B$25,'Sample Size cal and results'!$I$24:$I$25)</f>
        <v>5.575167424557776</v>
      </c>
      <c r="N771" s="214">
        <f t="shared" ref="N771:N834" si="147">M771+K771</f>
        <v>33.757415031055956</v>
      </c>
      <c r="O771" s="225" t="str">
        <f t="shared" ref="O771:O834" si="148">IF(DATEDIF($B771,$AC$5,"y")=6,"6-7 years","7-8 years")</f>
        <v>7-8 years</v>
      </c>
      <c r="P771" s="226">
        <f t="shared" ref="P771:P834" si="149">MAX(MIN($AC$5,C771)-MAX($AC$4,$B771,_xlfn.XLOOKUP($A771,$AE$3:$AE$37,$AF$3:$AF$37))+1,0)/365</f>
        <v>0.31780821917808222</v>
      </c>
      <c r="Q771" s="227">
        <f>$D771*P771*_xlfn.XLOOKUP($O771,'Sample Size cal and results'!$B$26:$B$27,'Sample Size cal and results'!$I$26:$I$27)</f>
        <v>8.4666113150270732</v>
      </c>
      <c r="R771" s="330"/>
    </row>
    <row r="772" spans="1:18" ht="12.75">
      <c r="A772" s="99" t="s">
        <v>145</v>
      </c>
      <c r="B772" s="100">
        <v>41814</v>
      </c>
      <c r="C772" s="100">
        <f t="shared" si="139"/>
        <v>44370</v>
      </c>
      <c r="D772" s="209">
        <v>58</v>
      </c>
      <c r="E772" s="217">
        <f t="shared" si="140"/>
        <v>5.68</v>
      </c>
      <c r="F772" s="218">
        <f t="shared" si="141"/>
        <v>6.68</v>
      </c>
      <c r="G772" s="219">
        <f t="shared" si="142"/>
        <v>6.68</v>
      </c>
      <c r="H772" s="220">
        <f t="shared" si="143"/>
        <v>7.68</v>
      </c>
      <c r="I772" s="257" t="str">
        <f t="shared" si="144"/>
        <v>6-7 years</v>
      </c>
      <c r="J772" s="211">
        <f t="shared" si="145"/>
        <v>0.83835616438356164</v>
      </c>
      <c r="K772" s="258">
        <f>$D772*J772*_xlfn.XLOOKUP($I772,'Sample Size cal and results'!$B$24:$B$25,'Sample Size cal and results'!$H$24:$H$25)</f>
        <v>39.867569784802299</v>
      </c>
      <c r="L772" s="211">
        <f t="shared" si="146"/>
        <v>0.16164383561643836</v>
      </c>
      <c r="M772" s="211">
        <f>$D772*L772*_xlfn.XLOOKUP($I772,'Sample Size cal and results'!$B$24:$B$25,'Sample Size cal and results'!$I$24:$I$25)</f>
        <v>7.886822210350025</v>
      </c>
      <c r="N772" s="214">
        <f t="shared" si="147"/>
        <v>47.754391995152325</v>
      </c>
      <c r="O772" s="225" t="str">
        <f t="shared" si="148"/>
        <v>7-8 years</v>
      </c>
      <c r="P772" s="226">
        <f t="shared" si="149"/>
        <v>0.31506849315068491</v>
      </c>
      <c r="Q772" s="227">
        <f>$D772*P772*_xlfn.XLOOKUP($O772,'Sample Size cal and results'!$B$26:$B$27,'Sample Size cal and results'!$I$26:$I$27)</f>
        <v>11.873906112537966</v>
      </c>
      <c r="R772" s="330"/>
    </row>
    <row r="773" spans="1:18" ht="12.75">
      <c r="A773" s="99" t="s">
        <v>143</v>
      </c>
      <c r="B773" s="100">
        <v>41814</v>
      </c>
      <c r="C773" s="100">
        <f t="shared" si="139"/>
        <v>44370</v>
      </c>
      <c r="D773" s="209">
        <v>24</v>
      </c>
      <c r="E773" s="217">
        <f t="shared" si="140"/>
        <v>5.68</v>
      </c>
      <c r="F773" s="218">
        <f t="shared" si="141"/>
        <v>6.68</v>
      </c>
      <c r="G773" s="219">
        <f t="shared" si="142"/>
        <v>6.68</v>
      </c>
      <c r="H773" s="220">
        <f t="shared" si="143"/>
        <v>7.68</v>
      </c>
      <c r="I773" s="257" t="str">
        <f t="shared" si="144"/>
        <v>6-7 years</v>
      </c>
      <c r="J773" s="211">
        <f t="shared" si="145"/>
        <v>0.83835616438356164</v>
      </c>
      <c r="K773" s="258">
        <f>$D773*J773*_xlfn.XLOOKUP($I773,'Sample Size cal and results'!$B$24:$B$25,'Sample Size cal and results'!$H$24:$H$25)</f>
        <v>16.496925428194054</v>
      </c>
      <c r="L773" s="211">
        <f t="shared" si="146"/>
        <v>0.16164383561643836</v>
      </c>
      <c r="M773" s="211">
        <f>$D773*L773*_xlfn.XLOOKUP($I773,'Sample Size cal and results'!$B$24:$B$25,'Sample Size cal and results'!$I$24:$I$25)</f>
        <v>3.2635126387655276</v>
      </c>
      <c r="N773" s="214">
        <f t="shared" si="147"/>
        <v>19.76043806695958</v>
      </c>
      <c r="O773" s="225" t="str">
        <f t="shared" si="148"/>
        <v>7-8 years</v>
      </c>
      <c r="P773" s="226">
        <f t="shared" si="149"/>
        <v>0.31506849315068491</v>
      </c>
      <c r="Q773" s="227">
        <f>$D773*P773*_xlfn.XLOOKUP($O773,'Sample Size cal and results'!$B$26:$B$27,'Sample Size cal and results'!$I$26:$I$27)</f>
        <v>4.913340460360538</v>
      </c>
      <c r="R773" s="330"/>
    </row>
    <row r="774" spans="1:18" ht="12.75">
      <c r="A774" s="99" t="s">
        <v>145</v>
      </c>
      <c r="B774" s="100">
        <v>41813</v>
      </c>
      <c r="C774" s="100">
        <f t="shared" si="139"/>
        <v>44369</v>
      </c>
      <c r="D774" s="209">
        <v>64</v>
      </c>
      <c r="E774" s="217">
        <f t="shared" si="140"/>
        <v>5.68</v>
      </c>
      <c r="F774" s="218">
        <f t="shared" si="141"/>
        <v>6.68</v>
      </c>
      <c r="G774" s="219">
        <f t="shared" si="142"/>
        <v>6.68</v>
      </c>
      <c r="H774" s="220">
        <f t="shared" si="143"/>
        <v>7.68</v>
      </c>
      <c r="I774" s="257" t="str">
        <f t="shared" si="144"/>
        <v>6-7 years</v>
      </c>
      <c r="J774" s="211">
        <f t="shared" si="145"/>
        <v>0.83835616438356164</v>
      </c>
      <c r="K774" s="258">
        <f>$D774*J774*_xlfn.XLOOKUP($I774,'Sample Size cal and results'!$B$24:$B$25,'Sample Size cal and results'!$H$24:$H$25)</f>
        <v>43.991801141850814</v>
      </c>
      <c r="L774" s="211">
        <f t="shared" si="146"/>
        <v>0.16164383561643836</v>
      </c>
      <c r="M774" s="211">
        <f>$D774*L774*_xlfn.XLOOKUP($I774,'Sample Size cal and results'!$B$24:$B$25,'Sample Size cal and results'!$I$24:$I$25)</f>
        <v>8.7027003700414074</v>
      </c>
      <c r="N774" s="214">
        <f t="shared" si="147"/>
        <v>52.69450151189222</v>
      </c>
      <c r="O774" s="225" t="str">
        <f t="shared" si="148"/>
        <v>7-8 years</v>
      </c>
      <c r="P774" s="226">
        <f t="shared" si="149"/>
        <v>0.31232876712328766</v>
      </c>
      <c r="Q774" s="227">
        <f>$D774*P774*_xlfn.XLOOKUP($O774,'Sample Size cal and results'!$B$26:$B$27,'Sample Size cal and results'!$I$26:$I$27)</f>
        <v>12.988308695213943</v>
      </c>
      <c r="R774" s="330"/>
    </row>
    <row r="775" spans="1:18" ht="12.75">
      <c r="A775" s="99" t="s">
        <v>143</v>
      </c>
      <c r="B775" s="100">
        <v>41813</v>
      </c>
      <c r="C775" s="100">
        <f t="shared" si="139"/>
        <v>44369</v>
      </c>
      <c r="D775" s="209">
        <v>24</v>
      </c>
      <c r="E775" s="217">
        <f t="shared" si="140"/>
        <v>5.68</v>
      </c>
      <c r="F775" s="218">
        <f t="shared" si="141"/>
        <v>6.68</v>
      </c>
      <c r="G775" s="219">
        <f t="shared" si="142"/>
        <v>6.68</v>
      </c>
      <c r="H775" s="220">
        <f t="shared" si="143"/>
        <v>7.68</v>
      </c>
      <c r="I775" s="257" t="str">
        <f t="shared" si="144"/>
        <v>6-7 years</v>
      </c>
      <c r="J775" s="211">
        <f t="shared" si="145"/>
        <v>0.83835616438356164</v>
      </c>
      <c r="K775" s="258">
        <f>$D775*J775*_xlfn.XLOOKUP($I775,'Sample Size cal and results'!$B$24:$B$25,'Sample Size cal and results'!$H$24:$H$25)</f>
        <v>16.496925428194054</v>
      </c>
      <c r="L775" s="211">
        <f t="shared" si="146"/>
        <v>0.16164383561643836</v>
      </c>
      <c r="M775" s="211">
        <f>$D775*L775*_xlfn.XLOOKUP($I775,'Sample Size cal and results'!$B$24:$B$25,'Sample Size cal and results'!$I$24:$I$25)</f>
        <v>3.2635126387655276</v>
      </c>
      <c r="N775" s="214">
        <f t="shared" si="147"/>
        <v>19.76043806695958</v>
      </c>
      <c r="O775" s="225" t="str">
        <f t="shared" si="148"/>
        <v>7-8 years</v>
      </c>
      <c r="P775" s="226">
        <f t="shared" si="149"/>
        <v>0.31232876712328766</v>
      </c>
      <c r="Q775" s="227">
        <f>$D775*P775*_xlfn.XLOOKUP($O775,'Sample Size cal and results'!$B$26:$B$27,'Sample Size cal and results'!$I$26:$I$27)</f>
        <v>4.8706157607052285</v>
      </c>
      <c r="R775" s="330"/>
    </row>
    <row r="776" spans="1:18" ht="12.75">
      <c r="A776" s="99" t="s">
        <v>145</v>
      </c>
      <c r="B776" s="100">
        <v>41812</v>
      </c>
      <c r="C776" s="100">
        <f t="shared" si="139"/>
        <v>44368</v>
      </c>
      <c r="D776" s="209">
        <v>77</v>
      </c>
      <c r="E776" s="217">
        <f t="shared" si="140"/>
        <v>5.69</v>
      </c>
      <c r="F776" s="218">
        <f t="shared" si="141"/>
        <v>6.68</v>
      </c>
      <c r="G776" s="219">
        <f t="shared" si="142"/>
        <v>6.69</v>
      </c>
      <c r="H776" s="220">
        <f t="shared" si="143"/>
        <v>7.68</v>
      </c>
      <c r="I776" s="257" t="str">
        <f t="shared" si="144"/>
        <v>6-7 years</v>
      </c>
      <c r="J776" s="211">
        <f t="shared" si="145"/>
        <v>0.83835616438356164</v>
      </c>
      <c r="K776" s="258">
        <f>$D776*J776*_xlfn.XLOOKUP($I776,'Sample Size cal and results'!$B$24:$B$25,'Sample Size cal and results'!$H$24:$H$25)</f>
        <v>52.927635748789264</v>
      </c>
      <c r="L776" s="211">
        <f t="shared" si="146"/>
        <v>0.16164383561643836</v>
      </c>
      <c r="M776" s="211">
        <f>$D776*L776*_xlfn.XLOOKUP($I776,'Sample Size cal and results'!$B$24:$B$25,'Sample Size cal and results'!$I$24:$I$25)</f>
        <v>10.470436382706067</v>
      </c>
      <c r="N776" s="214">
        <f t="shared" si="147"/>
        <v>63.398072131495333</v>
      </c>
      <c r="O776" s="225" t="str">
        <f t="shared" si="148"/>
        <v>7-8 years</v>
      </c>
      <c r="P776" s="226">
        <f t="shared" si="149"/>
        <v>0.30958904109589042</v>
      </c>
      <c r="Q776" s="227">
        <f>$D776*P776*_xlfn.XLOOKUP($O776,'Sample Size cal and results'!$B$26:$B$27,'Sample Size cal and results'!$I$26:$I$27)</f>
        <v>15.489483820868493</v>
      </c>
      <c r="R776" s="330"/>
    </row>
    <row r="777" spans="1:18" ht="12.75">
      <c r="A777" s="99" t="s">
        <v>143</v>
      </c>
      <c r="B777" s="100">
        <v>41812</v>
      </c>
      <c r="C777" s="100">
        <f t="shared" si="139"/>
        <v>44368</v>
      </c>
      <c r="D777" s="209">
        <v>31</v>
      </c>
      <c r="E777" s="217">
        <f t="shared" si="140"/>
        <v>5.69</v>
      </c>
      <c r="F777" s="218">
        <f t="shared" si="141"/>
        <v>6.68</v>
      </c>
      <c r="G777" s="219">
        <f t="shared" si="142"/>
        <v>6.69</v>
      </c>
      <c r="H777" s="220">
        <f t="shared" si="143"/>
        <v>7.68</v>
      </c>
      <c r="I777" s="257" t="str">
        <f t="shared" si="144"/>
        <v>6-7 years</v>
      </c>
      <c r="J777" s="211">
        <f t="shared" si="145"/>
        <v>0.83835616438356164</v>
      </c>
      <c r="K777" s="258">
        <f>$D777*J777*_xlfn.XLOOKUP($I777,'Sample Size cal and results'!$B$24:$B$25,'Sample Size cal and results'!$H$24:$H$25)</f>
        <v>21.308528678083988</v>
      </c>
      <c r="L777" s="211">
        <f t="shared" si="146"/>
        <v>0.16164383561643836</v>
      </c>
      <c r="M777" s="211">
        <f>$D777*L777*_xlfn.XLOOKUP($I777,'Sample Size cal and results'!$B$24:$B$25,'Sample Size cal and results'!$I$24:$I$25)</f>
        <v>4.2153704917388062</v>
      </c>
      <c r="N777" s="214">
        <f t="shared" si="147"/>
        <v>25.523899169822794</v>
      </c>
      <c r="O777" s="225" t="str">
        <f t="shared" si="148"/>
        <v>7-8 years</v>
      </c>
      <c r="P777" s="226">
        <f t="shared" si="149"/>
        <v>0.30958904109589042</v>
      </c>
      <c r="Q777" s="227">
        <f>$D777*P777*_xlfn.XLOOKUP($O777,'Sample Size cal and results'!$B$26:$B$27,'Sample Size cal and results'!$I$26:$I$27)</f>
        <v>6.2360259538561467</v>
      </c>
      <c r="R777" s="330"/>
    </row>
    <row r="778" spans="1:18" ht="12.75">
      <c r="A778" s="99" t="s">
        <v>145</v>
      </c>
      <c r="B778" s="100">
        <v>41811</v>
      </c>
      <c r="C778" s="100">
        <f t="shared" si="139"/>
        <v>44367</v>
      </c>
      <c r="D778" s="209">
        <v>71</v>
      </c>
      <c r="E778" s="217">
        <f t="shared" si="140"/>
        <v>5.69</v>
      </c>
      <c r="F778" s="218">
        <f t="shared" si="141"/>
        <v>6.69</v>
      </c>
      <c r="G778" s="219">
        <f t="shared" si="142"/>
        <v>6.69</v>
      </c>
      <c r="H778" s="220">
        <f t="shared" si="143"/>
        <v>7.69</v>
      </c>
      <c r="I778" s="257" t="str">
        <f t="shared" si="144"/>
        <v>6-7 years</v>
      </c>
      <c r="J778" s="211">
        <f t="shared" si="145"/>
        <v>0.83835616438356164</v>
      </c>
      <c r="K778" s="258">
        <f>$D778*J778*_xlfn.XLOOKUP($I778,'Sample Size cal and results'!$B$24:$B$25,'Sample Size cal and results'!$H$24:$H$25)</f>
        <v>48.803404391740749</v>
      </c>
      <c r="L778" s="211">
        <f t="shared" si="146"/>
        <v>0.16164383561643836</v>
      </c>
      <c r="M778" s="211">
        <f>$D778*L778*_xlfn.XLOOKUP($I778,'Sample Size cal and results'!$B$24:$B$25,'Sample Size cal and results'!$I$24:$I$25)</f>
        <v>9.6545582230146856</v>
      </c>
      <c r="N778" s="214">
        <f t="shared" si="147"/>
        <v>58.457962614755431</v>
      </c>
      <c r="O778" s="225" t="str">
        <f t="shared" si="148"/>
        <v>7-8 years</v>
      </c>
      <c r="P778" s="226">
        <f t="shared" si="149"/>
        <v>0.30684931506849317</v>
      </c>
      <c r="Q778" s="227">
        <f>$D778*P778*_xlfn.XLOOKUP($O778,'Sample Size cal and results'!$B$26:$B$27,'Sample Size cal and results'!$I$26:$I$27)</f>
        <v>14.156117152459057</v>
      </c>
      <c r="R778" s="330"/>
    </row>
    <row r="779" spans="1:18" ht="12.75">
      <c r="A779" s="99" t="s">
        <v>143</v>
      </c>
      <c r="B779" s="100">
        <v>41811</v>
      </c>
      <c r="C779" s="100">
        <f t="shared" si="139"/>
        <v>44367</v>
      </c>
      <c r="D779" s="209">
        <v>25</v>
      </c>
      <c r="E779" s="217">
        <f t="shared" si="140"/>
        <v>5.69</v>
      </c>
      <c r="F779" s="218">
        <f t="shared" si="141"/>
        <v>6.69</v>
      </c>
      <c r="G779" s="219">
        <f t="shared" si="142"/>
        <v>6.69</v>
      </c>
      <c r="H779" s="220">
        <f t="shared" si="143"/>
        <v>7.69</v>
      </c>
      <c r="I779" s="257" t="str">
        <f t="shared" si="144"/>
        <v>6-7 years</v>
      </c>
      <c r="J779" s="211">
        <f t="shared" si="145"/>
        <v>0.83835616438356164</v>
      </c>
      <c r="K779" s="258">
        <f>$D779*J779*_xlfn.XLOOKUP($I779,'Sample Size cal and results'!$B$24:$B$25,'Sample Size cal and results'!$H$24:$H$25)</f>
        <v>17.184297321035473</v>
      </c>
      <c r="L779" s="211">
        <f t="shared" si="146"/>
        <v>0.16164383561643836</v>
      </c>
      <c r="M779" s="211">
        <f>$D779*L779*_xlfn.XLOOKUP($I779,'Sample Size cal and results'!$B$24:$B$25,'Sample Size cal and results'!$I$24:$I$25)</f>
        <v>3.3994923320474242</v>
      </c>
      <c r="N779" s="214">
        <f t="shared" si="147"/>
        <v>20.583789653082896</v>
      </c>
      <c r="O779" s="225" t="str">
        <f t="shared" si="148"/>
        <v>7-8 years</v>
      </c>
      <c r="P779" s="226">
        <f t="shared" si="149"/>
        <v>0.30684931506849317</v>
      </c>
      <c r="Q779" s="227">
        <f>$D779*P779*_xlfn.XLOOKUP($O779,'Sample Size cal and results'!$B$26:$B$27,'Sample Size cal and results'!$I$26:$I$27)</f>
        <v>4.9845482931193867</v>
      </c>
      <c r="R779" s="330"/>
    </row>
    <row r="780" spans="1:18" ht="12.75">
      <c r="A780" s="99" t="s">
        <v>145</v>
      </c>
      <c r="B780" s="100">
        <v>41810</v>
      </c>
      <c r="C780" s="100">
        <f t="shared" si="139"/>
        <v>44366</v>
      </c>
      <c r="D780" s="209">
        <v>83</v>
      </c>
      <c r="E780" s="217">
        <f t="shared" si="140"/>
        <v>5.69</v>
      </c>
      <c r="F780" s="218">
        <f t="shared" si="141"/>
        <v>6.69</v>
      </c>
      <c r="G780" s="219">
        <f t="shared" si="142"/>
        <v>6.69</v>
      </c>
      <c r="H780" s="220">
        <f t="shared" si="143"/>
        <v>7.69</v>
      </c>
      <c r="I780" s="257" t="str">
        <f t="shared" si="144"/>
        <v>6-7 years</v>
      </c>
      <c r="J780" s="211">
        <f t="shared" si="145"/>
        <v>0.83835616438356164</v>
      </c>
      <c r="K780" s="258">
        <f>$D780*J780*_xlfn.XLOOKUP($I780,'Sample Size cal and results'!$B$24:$B$25,'Sample Size cal and results'!$H$24:$H$25)</f>
        <v>57.051867105837779</v>
      </c>
      <c r="L780" s="211">
        <f t="shared" si="146"/>
        <v>0.16164383561643836</v>
      </c>
      <c r="M780" s="211">
        <f>$D780*L780*_xlfn.XLOOKUP($I780,'Sample Size cal and results'!$B$24:$B$25,'Sample Size cal and results'!$I$24:$I$25)</f>
        <v>11.28631454239745</v>
      </c>
      <c r="N780" s="214">
        <f t="shared" si="147"/>
        <v>68.338181648235235</v>
      </c>
      <c r="O780" s="225" t="str">
        <f t="shared" si="148"/>
        <v>7-8 years</v>
      </c>
      <c r="P780" s="226">
        <f t="shared" si="149"/>
        <v>0.30410958904109592</v>
      </c>
      <c r="Q780" s="227">
        <f>$D780*P780*_xlfn.XLOOKUP($O780,'Sample Size cal and results'!$B$26:$B$27,'Sample Size cal and results'!$I$26:$I$27)</f>
        <v>16.400944080181752</v>
      </c>
      <c r="R780" s="330"/>
    </row>
    <row r="781" spans="1:18" ht="12.75">
      <c r="A781" s="99" t="s">
        <v>143</v>
      </c>
      <c r="B781" s="100">
        <v>41810</v>
      </c>
      <c r="C781" s="100">
        <f t="shared" si="139"/>
        <v>44366</v>
      </c>
      <c r="D781" s="209">
        <v>31</v>
      </c>
      <c r="E781" s="217">
        <f t="shared" si="140"/>
        <v>5.69</v>
      </c>
      <c r="F781" s="218">
        <f t="shared" si="141"/>
        <v>6.69</v>
      </c>
      <c r="G781" s="219">
        <f t="shared" si="142"/>
        <v>6.69</v>
      </c>
      <c r="H781" s="220">
        <f t="shared" si="143"/>
        <v>7.69</v>
      </c>
      <c r="I781" s="257" t="str">
        <f t="shared" si="144"/>
        <v>6-7 years</v>
      </c>
      <c r="J781" s="211">
        <f t="shared" si="145"/>
        <v>0.83835616438356164</v>
      </c>
      <c r="K781" s="258">
        <f>$D781*J781*_xlfn.XLOOKUP($I781,'Sample Size cal and results'!$B$24:$B$25,'Sample Size cal and results'!$H$24:$H$25)</f>
        <v>21.308528678083988</v>
      </c>
      <c r="L781" s="211">
        <f t="shared" si="146"/>
        <v>0.16164383561643836</v>
      </c>
      <c r="M781" s="211">
        <f>$D781*L781*_xlfn.XLOOKUP($I781,'Sample Size cal and results'!$B$24:$B$25,'Sample Size cal and results'!$I$24:$I$25)</f>
        <v>4.2153704917388062</v>
      </c>
      <c r="N781" s="214">
        <f t="shared" si="147"/>
        <v>25.523899169822794</v>
      </c>
      <c r="O781" s="225" t="str">
        <f t="shared" si="148"/>
        <v>7-8 years</v>
      </c>
      <c r="P781" s="226">
        <f t="shared" si="149"/>
        <v>0.30410958904109592</v>
      </c>
      <c r="Q781" s="227">
        <f>$D781*P781*_xlfn.XLOOKUP($O781,'Sample Size cal and results'!$B$26:$B$27,'Sample Size cal and results'!$I$26:$I$27)</f>
        <v>6.1256538130799321</v>
      </c>
      <c r="R781" s="330"/>
    </row>
    <row r="782" spans="1:18" ht="12.75">
      <c r="A782" s="99" t="s">
        <v>145</v>
      </c>
      <c r="B782" s="100">
        <v>41809</v>
      </c>
      <c r="C782" s="100">
        <f t="shared" si="139"/>
        <v>44365</v>
      </c>
      <c r="D782" s="209">
        <v>71</v>
      </c>
      <c r="E782" s="217">
        <f t="shared" si="140"/>
        <v>5.69</v>
      </c>
      <c r="F782" s="218">
        <f t="shared" si="141"/>
        <v>6.69</v>
      </c>
      <c r="G782" s="219">
        <f t="shared" si="142"/>
        <v>6.69</v>
      </c>
      <c r="H782" s="220">
        <f t="shared" si="143"/>
        <v>7.69</v>
      </c>
      <c r="I782" s="257" t="str">
        <f t="shared" si="144"/>
        <v>6-7 years</v>
      </c>
      <c r="J782" s="211">
        <f t="shared" si="145"/>
        <v>0.83835616438356164</v>
      </c>
      <c r="K782" s="258">
        <f>$D782*J782*_xlfn.XLOOKUP($I782,'Sample Size cal and results'!$B$24:$B$25,'Sample Size cal and results'!$H$24:$H$25)</f>
        <v>48.803404391740749</v>
      </c>
      <c r="L782" s="211">
        <f t="shared" si="146"/>
        <v>0.16164383561643836</v>
      </c>
      <c r="M782" s="211">
        <f>$D782*L782*_xlfn.XLOOKUP($I782,'Sample Size cal and results'!$B$24:$B$25,'Sample Size cal and results'!$I$24:$I$25)</f>
        <v>9.6545582230146856</v>
      </c>
      <c r="N782" s="214">
        <f t="shared" si="147"/>
        <v>58.457962614755431</v>
      </c>
      <c r="O782" s="225" t="str">
        <f t="shared" si="148"/>
        <v>7-8 years</v>
      </c>
      <c r="P782" s="226">
        <f t="shared" si="149"/>
        <v>0.30136986301369861</v>
      </c>
      <c r="Q782" s="227">
        <f>$D782*P782*_xlfn.XLOOKUP($O782,'Sample Size cal and results'!$B$26:$B$27,'Sample Size cal and results'!$I$26:$I$27)</f>
        <v>13.903329346165144</v>
      </c>
      <c r="R782" s="330"/>
    </row>
    <row r="783" spans="1:18" ht="12.75">
      <c r="A783" s="99" t="s">
        <v>143</v>
      </c>
      <c r="B783" s="100">
        <v>41809</v>
      </c>
      <c r="C783" s="100">
        <f t="shared" si="139"/>
        <v>44365</v>
      </c>
      <c r="D783" s="209">
        <v>27</v>
      </c>
      <c r="E783" s="217">
        <f t="shared" si="140"/>
        <v>5.69</v>
      </c>
      <c r="F783" s="218">
        <f t="shared" si="141"/>
        <v>6.69</v>
      </c>
      <c r="G783" s="219">
        <f t="shared" si="142"/>
        <v>6.69</v>
      </c>
      <c r="H783" s="220">
        <f t="shared" si="143"/>
        <v>7.69</v>
      </c>
      <c r="I783" s="257" t="str">
        <f t="shared" si="144"/>
        <v>6-7 years</v>
      </c>
      <c r="J783" s="211">
        <f t="shared" si="145"/>
        <v>0.83835616438356164</v>
      </c>
      <c r="K783" s="258">
        <f>$D783*J783*_xlfn.XLOOKUP($I783,'Sample Size cal and results'!$B$24:$B$25,'Sample Size cal and results'!$H$24:$H$25)</f>
        <v>18.559041106718311</v>
      </c>
      <c r="L783" s="211">
        <f t="shared" si="146"/>
        <v>0.16164383561643836</v>
      </c>
      <c r="M783" s="211">
        <f>$D783*L783*_xlfn.XLOOKUP($I783,'Sample Size cal and results'!$B$24:$B$25,'Sample Size cal and results'!$I$24:$I$25)</f>
        <v>3.6714517186112183</v>
      </c>
      <c r="N783" s="214">
        <f t="shared" si="147"/>
        <v>22.230492825329531</v>
      </c>
      <c r="O783" s="225" t="str">
        <f t="shared" si="148"/>
        <v>7-8 years</v>
      </c>
      <c r="P783" s="226">
        <f t="shared" si="149"/>
        <v>0.30136986301369861</v>
      </c>
      <c r="Q783" s="227">
        <f>$D783*P783*_xlfn.XLOOKUP($O783,'Sample Size cal and results'!$B$26:$B$27,'Sample Size cal and results'!$I$26:$I$27)</f>
        <v>5.2871815823444912</v>
      </c>
      <c r="R783" s="330"/>
    </row>
    <row r="784" spans="1:18" ht="12.75">
      <c r="A784" s="99" t="s">
        <v>145</v>
      </c>
      <c r="B784" s="100">
        <v>41808</v>
      </c>
      <c r="C784" s="100">
        <f t="shared" si="139"/>
        <v>44364</v>
      </c>
      <c r="D784" s="209">
        <v>76</v>
      </c>
      <c r="E784" s="217">
        <f t="shared" si="140"/>
        <v>5.7</v>
      </c>
      <c r="F784" s="218">
        <f t="shared" si="141"/>
        <v>6.69</v>
      </c>
      <c r="G784" s="219">
        <f t="shared" si="142"/>
        <v>6.7</v>
      </c>
      <c r="H784" s="220">
        <f t="shared" si="143"/>
        <v>7.69</v>
      </c>
      <c r="I784" s="257" t="str">
        <f t="shared" si="144"/>
        <v>6-7 years</v>
      </c>
      <c r="J784" s="211">
        <f t="shared" si="145"/>
        <v>0.83835616438356164</v>
      </c>
      <c r="K784" s="258">
        <f>$D784*J784*_xlfn.XLOOKUP($I784,'Sample Size cal and results'!$B$24:$B$25,'Sample Size cal and results'!$H$24:$H$25)</f>
        <v>52.240263855947838</v>
      </c>
      <c r="L784" s="211">
        <f t="shared" si="146"/>
        <v>0.16164383561643836</v>
      </c>
      <c r="M784" s="211">
        <f>$D784*L784*_xlfn.XLOOKUP($I784,'Sample Size cal and results'!$B$24:$B$25,'Sample Size cal and results'!$I$24:$I$25)</f>
        <v>10.334456689424171</v>
      </c>
      <c r="N784" s="214">
        <f t="shared" si="147"/>
        <v>62.57472054537201</v>
      </c>
      <c r="O784" s="225" t="str">
        <f t="shared" si="148"/>
        <v>7-8 years</v>
      </c>
      <c r="P784" s="226">
        <f t="shared" si="149"/>
        <v>0.29863013698630136</v>
      </c>
      <c r="Q784" s="227">
        <f>$D784*P784*_xlfn.XLOOKUP($O784,'Sample Size cal and results'!$B$26:$B$27,'Sample Size cal and results'!$I$26:$I$27)</f>
        <v>14.747142164357497</v>
      </c>
      <c r="R784" s="330"/>
    </row>
    <row r="785" spans="1:18" ht="12.75">
      <c r="A785" s="99" t="s">
        <v>143</v>
      </c>
      <c r="B785" s="100">
        <v>41808</v>
      </c>
      <c r="C785" s="100">
        <f t="shared" si="139"/>
        <v>44364</v>
      </c>
      <c r="D785" s="209">
        <v>25</v>
      </c>
      <c r="E785" s="217">
        <f t="shared" si="140"/>
        <v>5.7</v>
      </c>
      <c r="F785" s="218">
        <f t="shared" si="141"/>
        <v>6.69</v>
      </c>
      <c r="G785" s="219">
        <f t="shared" si="142"/>
        <v>6.7</v>
      </c>
      <c r="H785" s="220">
        <f t="shared" si="143"/>
        <v>7.69</v>
      </c>
      <c r="I785" s="257" t="str">
        <f t="shared" si="144"/>
        <v>6-7 years</v>
      </c>
      <c r="J785" s="211">
        <f t="shared" si="145"/>
        <v>0.83835616438356164</v>
      </c>
      <c r="K785" s="258">
        <f>$D785*J785*_xlfn.XLOOKUP($I785,'Sample Size cal and results'!$B$24:$B$25,'Sample Size cal and results'!$H$24:$H$25)</f>
        <v>17.184297321035473</v>
      </c>
      <c r="L785" s="211">
        <f t="shared" si="146"/>
        <v>0.16164383561643836</v>
      </c>
      <c r="M785" s="211">
        <f>$D785*L785*_xlfn.XLOOKUP($I785,'Sample Size cal and results'!$B$24:$B$25,'Sample Size cal and results'!$I$24:$I$25)</f>
        <v>3.3994923320474242</v>
      </c>
      <c r="N785" s="214">
        <f t="shared" si="147"/>
        <v>20.583789653082896</v>
      </c>
      <c r="O785" s="225" t="str">
        <f t="shared" si="148"/>
        <v>7-8 years</v>
      </c>
      <c r="P785" s="226">
        <f t="shared" si="149"/>
        <v>0.29863013698630136</v>
      </c>
      <c r="Q785" s="227">
        <f>$D785*P785*_xlfn.XLOOKUP($O785,'Sample Size cal and results'!$B$26:$B$27,'Sample Size cal and results'!$I$26:$I$27)</f>
        <v>4.8510336066965456</v>
      </c>
      <c r="R785" s="330"/>
    </row>
    <row r="786" spans="1:18" ht="12.75">
      <c r="A786" s="99" t="s">
        <v>145</v>
      </c>
      <c r="B786" s="100">
        <v>41807</v>
      </c>
      <c r="C786" s="100">
        <f t="shared" si="139"/>
        <v>44363</v>
      </c>
      <c r="D786" s="209">
        <v>63</v>
      </c>
      <c r="E786" s="217">
        <f t="shared" si="140"/>
        <v>5.7</v>
      </c>
      <c r="F786" s="218">
        <f t="shared" si="141"/>
        <v>6.7</v>
      </c>
      <c r="G786" s="219">
        <f t="shared" si="142"/>
        <v>6.7</v>
      </c>
      <c r="H786" s="220">
        <f t="shared" si="143"/>
        <v>7.7</v>
      </c>
      <c r="I786" s="257" t="str">
        <f t="shared" si="144"/>
        <v>6-7 years</v>
      </c>
      <c r="J786" s="211">
        <f t="shared" si="145"/>
        <v>0.83835616438356164</v>
      </c>
      <c r="K786" s="258">
        <f>$D786*J786*_xlfn.XLOOKUP($I786,'Sample Size cal and results'!$B$24:$B$25,'Sample Size cal and results'!$H$24:$H$25)</f>
        <v>43.304429249009395</v>
      </c>
      <c r="L786" s="211">
        <f t="shared" si="146"/>
        <v>0.16164383561643836</v>
      </c>
      <c r="M786" s="211">
        <f>$D786*L786*_xlfn.XLOOKUP($I786,'Sample Size cal and results'!$B$24:$B$25,'Sample Size cal and results'!$I$24:$I$25)</f>
        <v>8.566720676759509</v>
      </c>
      <c r="N786" s="214">
        <f t="shared" si="147"/>
        <v>51.871149925768904</v>
      </c>
      <c r="O786" s="225" t="str">
        <f t="shared" si="148"/>
        <v>7-8 years</v>
      </c>
      <c r="P786" s="226">
        <f t="shared" si="149"/>
        <v>0.29589041095890412</v>
      </c>
      <c r="Q786" s="227">
        <f>$D786*P786*_xlfn.XLOOKUP($O786,'Sample Size cal and results'!$B$26:$B$27,'Sample Size cal and results'!$I$26:$I$27)</f>
        <v>12.112452352280108</v>
      </c>
      <c r="R786" s="330"/>
    </row>
    <row r="787" spans="1:18" ht="12.75">
      <c r="A787" s="99" t="s">
        <v>143</v>
      </c>
      <c r="B787" s="100">
        <v>41807</v>
      </c>
      <c r="C787" s="100">
        <f t="shared" si="139"/>
        <v>44363</v>
      </c>
      <c r="D787" s="209">
        <v>32</v>
      </c>
      <c r="E787" s="217">
        <f t="shared" si="140"/>
        <v>5.7</v>
      </c>
      <c r="F787" s="218">
        <f t="shared" si="141"/>
        <v>6.7</v>
      </c>
      <c r="G787" s="219">
        <f t="shared" si="142"/>
        <v>6.7</v>
      </c>
      <c r="H787" s="220">
        <f t="shared" si="143"/>
        <v>7.7</v>
      </c>
      <c r="I787" s="257" t="str">
        <f t="shared" si="144"/>
        <v>6-7 years</v>
      </c>
      <c r="J787" s="211">
        <f t="shared" si="145"/>
        <v>0.83835616438356164</v>
      </c>
      <c r="K787" s="258">
        <f>$D787*J787*_xlfn.XLOOKUP($I787,'Sample Size cal and results'!$B$24:$B$25,'Sample Size cal and results'!$H$24:$H$25)</f>
        <v>21.995900570925407</v>
      </c>
      <c r="L787" s="211">
        <f t="shared" si="146"/>
        <v>0.16164383561643836</v>
      </c>
      <c r="M787" s="211">
        <f>$D787*L787*_xlfn.XLOOKUP($I787,'Sample Size cal and results'!$B$24:$B$25,'Sample Size cal and results'!$I$24:$I$25)</f>
        <v>4.3513501850207037</v>
      </c>
      <c r="N787" s="214">
        <f t="shared" si="147"/>
        <v>26.34725075594611</v>
      </c>
      <c r="O787" s="225" t="str">
        <f t="shared" si="148"/>
        <v>7-8 years</v>
      </c>
      <c r="P787" s="226">
        <f t="shared" si="149"/>
        <v>0.29589041095890412</v>
      </c>
      <c r="Q787" s="227">
        <f>$D787*P787*_xlfn.XLOOKUP($O787,'Sample Size cal and results'!$B$26:$B$27,'Sample Size cal and results'!$I$26:$I$27)</f>
        <v>6.1523567503644996</v>
      </c>
      <c r="R787" s="330"/>
    </row>
    <row r="788" spans="1:18" ht="12.75">
      <c r="A788" s="99" t="s">
        <v>145</v>
      </c>
      <c r="B788" s="100">
        <v>41806</v>
      </c>
      <c r="C788" s="100">
        <f t="shared" si="139"/>
        <v>44362</v>
      </c>
      <c r="D788" s="209">
        <v>70</v>
      </c>
      <c r="E788" s="217">
        <f t="shared" si="140"/>
        <v>5.7</v>
      </c>
      <c r="F788" s="218">
        <f t="shared" si="141"/>
        <v>6.7</v>
      </c>
      <c r="G788" s="219">
        <f t="shared" si="142"/>
        <v>6.7</v>
      </c>
      <c r="H788" s="220">
        <f t="shared" si="143"/>
        <v>7.7</v>
      </c>
      <c r="I788" s="257" t="str">
        <f t="shared" si="144"/>
        <v>6-7 years</v>
      </c>
      <c r="J788" s="211">
        <f t="shared" si="145"/>
        <v>0.83835616438356164</v>
      </c>
      <c r="K788" s="258">
        <f>$D788*J788*_xlfn.XLOOKUP($I788,'Sample Size cal and results'!$B$24:$B$25,'Sample Size cal and results'!$H$24:$H$25)</f>
        <v>48.11603249889933</v>
      </c>
      <c r="L788" s="211">
        <f t="shared" si="146"/>
        <v>0.16164383561643836</v>
      </c>
      <c r="M788" s="211">
        <f>$D788*L788*_xlfn.XLOOKUP($I788,'Sample Size cal and results'!$B$24:$B$25,'Sample Size cal and results'!$I$24:$I$25)</f>
        <v>9.518578529732789</v>
      </c>
      <c r="N788" s="214">
        <f t="shared" si="147"/>
        <v>57.634611028632122</v>
      </c>
      <c r="O788" s="225" t="str">
        <f t="shared" si="148"/>
        <v>7-8 years</v>
      </c>
      <c r="P788" s="226">
        <f t="shared" si="149"/>
        <v>0.29315068493150687</v>
      </c>
      <c r="Q788" s="227">
        <f>$D788*P788*_xlfn.XLOOKUP($O788,'Sample Size cal and results'!$B$26:$B$27,'Sample Size cal and results'!$I$26:$I$27)</f>
        <v>13.333666684094357</v>
      </c>
      <c r="R788" s="330"/>
    </row>
    <row r="789" spans="1:18" ht="12.75">
      <c r="A789" s="99" t="s">
        <v>143</v>
      </c>
      <c r="B789" s="100">
        <v>41806</v>
      </c>
      <c r="C789" s="100">
        <f t="shared" si="139"/>
        <v>44362</v>
      </c>
      <c r="D789" s="209">
        <v>25</v>
      </c>
      <c r="E789" s="217">
        <f t="shared" si="140"/>
        <v>5.7</v>
      </c>
      <c r="F789" s="218">
        <f t="shared" si="141"/>
        <v>6.7</v>
      </c>
      <c r="G789" s="219">
        <f t="shared" si="142"/>
        <v>6.7</v>
      </c>
      <c r="H789" s="220">
        <f t="shared" si="143"/>
        <v>7.7</v>
      </c>
      <c r="I789" s="257" t="str">
        <f t="shared" si="144"/>
        <v>6-7 years</v>
      </c>
      <c r="J789" s="211">
        <f t="shared" si="145"/>
        <v>0.83835616438356164</v>
      </c>
      <c r="K789" s="258">
        <f>$D789*J789*_xlfn.XLOOKUP($I789,'Sample Size cal and results'!$B$24:$B$25,'Sample Size cal and results'!$H$24:$H$25)</f>
        <v>17.184297321035473</v>
      </c>
      <c r="L789" s="211">
        <f t="shared" si="146"/>
        <v>0.16164383561643836</v>
      </c>
      <c r="M789" s="211">
        <f>$D789*L789*_xlfn.XLOOKUP($I789,'Sample Size cal and results'!$B$24:$B$25,'Sample Size cal and results'!$I$24:$I$25)</f>
        <v>3.3994923320474242</v>
      </c>
      <c r="N789" s="214">
        <f t="shared" si="147"/>
        <v>20.583789653082896</v>
      </c>
      <c r="O789" s="225" t="str">
        <f t="shared" si="148"/>
        <v>7-8 years</v>
      </c>
      <c r="P789" s="226">
        <f t="shared" si="149"/>
        <v>0.29315068493150687</v>
      </c>
      <c r="Q789" s="227">
        <f>$D789*P789*_xlfn.XLOOKUP($O789,'Sample Size cal and results'!$B$26:$B$27,'Sample Size cal and results'!$I$26:$I$27)</f>
        <v>4.7620238157479857</v>
      </c>
      <c r="R789" s="330"/>
    </row>
    <row r="790" spans="1:18" ht="12.75">
      <c r="A790" s="99" t="s">
        <v>143</v>
      </c>
      <c r="B790" s="100">
        <v>41805</v>
      </c>
      <c r="C790" s="100">
        <f t="shared" si="139"/>
        <v>44361</v>
      </c>
      <c r="D790" s="209">
        <v>737</v>
      </c>
      <c r="E790" s="217">
        <f t="shared" si="140"/>
        <v>5.71</v>
      </c>
      <c r="F790" s="218">
        <f t="shared" si="141"/>
        <v>6.7</v>
      </c>
      <c r="G790" s="219">
        <f t="shared" si="142"/>
        <v>6.71</v>
      </c>
      <c r="H790" s="220">
        <f t="shared" si="143"/>
        <v>7.7</v>
      </c>
      <c r="I790" s="257" t="str">
        <f t="shared" si="144"/>
        <v>6-7 years</v>
      </c>
      <c r="J790" s="211">
        <f t="shared" si="145"/>
        <v>0.83835616438356164</v>
      </c>
      <c r="K790" s="258">
        <f>$D790*J790*_xlfn.XLOOKUP($I790,'Sample Size cal and results'!$B$24:$B$25,'Sample Size cal and results'!$H$24:$H$25)</f>
        <v>506.59308502412574</v>
      </c>
      <c r="L790" s="211">
        <f t="shared" si="146"/>
        <v>0.16164383561643836</v>
      </c>
      <c r="M790" s="211">
        <f>$D790*L790*_xlfn.XLOOKUP($I790,'Sample Size cal and results'!$B$24:$B$25,'Sample Size cal and results'!$I$24:$I$25)</f>
        <v>100.21703394875807</v>
      </c>
      <c r="N790" s="214">
        <f t="shared" si="147"/>
        <v>606.81011897288386</v>
      </c>
      <c r="O790" s="225" t="str">
        <f t="shared" si="148"/>
        <v>7-8 years</v>
      </c>
      <c r="P790" s="226">
        <f t="shared" si="149"/>
        <v>0.29041095890410956</v>
      </c>
      <c r="Q790" s="227">
        <f>$D790*P790*_xlfn.XLOOKUP($O790,'Sample Size cal and results'!$B$26:$B$27,'Sample Size cal and results'!$I$26:$I$27)</f>
        <v>139.0724577696688</v>
      </c>
      <c r="R790" s="330"/>
    </row>
    <row r="791" spans="1:18" ht="12.75">
      <c r="A791" s="99" t="s">
        <v>145</v>
      </c>
      <c r="B791" s="100">
        <v>41805</v>
      </c>
      <c r="C791" s="100">
        <f t="shared" si="139"/>
        <v>44361</v>
      </c>
      <c r="D791" s="209">
        <v>99</v>
      </c>
      <c r="E791" s="217">
        <f t="shared" si="140"/>
        <v>5.71</v>
      </c>
      <c r="F791" s="218">
        <f t="shared" si="141"/>
        <v>6.7</v>
      </c>
      <c r="G791" s="219">
        <f t="shared" si="142"/>
        <v>6.71</v>
      </c>
      <c r="H791" s="220">
        <f t="shared" si="143"/>
        <v>7.7</v>
      </c>
      <c r="I791" s="257" t="str">
        <f t="shared" si="144"/>
        <v>6-7 years</v>
      </c>
      <c r="J791" s="211">
        <f t="shared" si="145"/>
        <v>0.83835616438356164</v>
      </c>
      <c r="K791" s="258">
        <f>$D791*J791*_xlfn.XLOOKUP($I791,'Sample Size cal and results'!$B$24:$B$25,'Sample Size cal and results'!$H$24:$H$25)</f>
        <v>68.049817391300479</v>
      </c>
      <c r="L791" s="211">
        <f t="shared" si="146"/>
        <v>0.16164383561643836</v>
      </c>
      <c r="M791" s="211">
        <f>$D791*L791*_xlfn.XLOOKUP($I791,'Sample Size cal and results'!$B$24:$B$25,'Sample Size cal and results'!$I$24:$I$25)</f>
        <v>13.4619896349078</v>
      </c>
      <c r="N791" s="214">
        <f t="shared" si="147"/>
        <v>81.511807026208274</v>
      </c>
      <c r="O791" s="225" t="str">
        <f t="shared" si="148"/>
        <v>7-8 years</v>
      </c>
      <c r="P791" s="226">
        <f t="shared" si="149"/>
        <v>0.29041095890410956</v>
      </c>
      <c r="Q791" s="227">
        <f>$D791*P791*_xlfn.XLOOKUP($O791,'Sample Size cal and results'!$B$26:$B$27,'Sample Size cal and results'!$I$26:$I$27)</f>
        <v>18.681374924283869</v>
      </c>
      <c r="R791" s="330"/>
    </row>
    <row r="792" spans="1:18" ht="12.75">
      <c r="A792" s="99" t="s">
        <v>145</v>
      </c>
      <c r="B792" s="100">
        <v>41804</v>
      </c>
      <c r="C792" s="100">
        <f t="shared" si="139"/>
        <v>44360</v>
      </c>
      <c r="D792" s="209">
        <v>78</v>
      </c>
      <c r="E792" s="217">
        <f t="shared" si="140"/>
        <v>5.71</v>
      </c>
      <c r="F792" s="218">
        <f t="shared" si="141"/>
        <v>6.71</v>
      </c>
      <c r="G792" s="219">
        <f t="shared" si="142"/>
        <v>6.71</v>
      </c>
      <c r="H792" s="220">
        <f t="shared" si="143"/>
        <v>7.71</v>
      </c>
      <c r="I792" s="257" t="str">
        <f t="shared" si="144"/>
        <v>6-7 years</v>
      </c>
      <c r="J792" s="211">
        <f t="shared" si="145"/>
        <v>0.83835616438356164</v>
      </c>
      <c r="K792" s="258">
        <f>$D792*J792*_xlfn.XLOOKUP($I792,'Sample Size cal and results'!$B$24:$B$25,'Sample Size cal and results'!$H$24:$H$25)</f>
        <v>53.615007641630676</v>
      </c>
      <c r="L792" s="211">
        <f t="shared" si="146"/>
        <v>0.16164383561643836</v>
      </c>
      <c r="M792" s="211">
        <f>$D792*L792*_xlfn.XLOOKUP($I792,'Sample Size cal and results'!$B$24:$B$25,'Sample Size cal and results'!$I$24:$I$25)</f>
        <v>10.606416075987966</v>
      </c>
      <c r="N792" s="214">
        <f t="shared" si="147"/>
        <v>64.221423717618649</v>
      </c>
      <c r="O792" s="225" t="str">
        <f t="shared" si="148"/>
        <v>7-8 years</v>
      </c>
      <c r="P792" s="226">
        <f t="shared" si="149"/>
        <v>0.28767123287671231</v>
      </c>
      <c r="Q792" s="227">
        <f>$D792*P792*_xlfn.XLOOKUP($O792,'Sample Size cal and results'!$B$26:$B$27,'Sample Size cal and results'!$I$26:$I$27)</f>
        <v>14.579803757374204</v>
      </c>
      <c r="R792" s="330"/>
    </row>
    <row r="793" spans="1:18" ht="12.75">
      <c r="A793" s="99" t="s">
        <v>143</v>
      </c>
      <c r="B793" s="100">
        <v>41804</v>
      </c>
      <c r="C793" s="100">
        <f t="shared" si="139"/>
        <v>44360</v>
      </c>
      <c r="D793" s="209">
        <v>31</v>
      </c>
      <c r="E793" s="217">
        <f t="shared" si="140"/>
        <v>5.71</v>
      </c>
      <c r="F793" s="218">
        <f t="shared" si="141"/>
        <v>6.71</v>
      </c>
      <c r="G793" s="219">
        <f t="shared" si="142"/>
        <v>6.71</v>
      </c>
      <c r="H793" s="220">
        <f t="shared" si="143"/>
        <v>7.71</v>
      </c>
      <c r="I793" s="257" t="str">
        <f t="shared" si="144"/>
        <v>6-7 years</v>
      </c>
      <c r="J793" s="211">
        <f t="shared" si="145"/>
        <v>0.83835616438356164</v>
      </c>
      <c r="K793" s="258">
        <f>$D793*J793*_xlfn.XLOOKUP($I793,'Sample Size cal and results'!$B$24:$B$25,'Sample Size cal and results'!$H$24:$H$25)</f>
        <v>21.308528678083988</v>
      </c>
      <c r="L793" s="211">
        <f t="shared" si="146"/>
        <v>0.16164383561643836</v>
      </c>
      <c r="M793" s="211">
        <f>$D793*L793*_xlfn.XLOOKUP($I793,'Sample Size cal and results'!$B$24:$B$25,'Sample Size cal and results'!$I$24:$I$25)</f>
        <v>4.2153704917388062</v>
      </c>
      <c r="N793" s="214">
        <f t="shared" si="147"/>
        <v>25.523899169822794</v>
      </c>
      <c r="O793" s="225" t="str">
        <f t="shared" si="148"/>
        <v>7-8 years</v>
      </c>
      <c r="P793" s="226">
        <f t="shared" si="149"/>
        <v>0.28767123287671231</v>
      </c>
      <c r="Q793" s="227">
        <f>$D793*P793*_xlfn.XLOOKUP($O793,'Sample Size cal and results'!$B$26:$B$27,'Sample Size cal and results'!$I$26:$I$27)</f>
        <v>5.7945373907512856</v>
      </c>
      <c r="R793" s="330"/>
    </row>
    <row r="794" spans="1:18" ht="12.75">
      <c r="A794" s="99" t="s">
        <v>145</v>
      </c>
      <c r="B794" s="100">
        <v>41803</v>
      </c>
      <c r="C794" s="100">
        <f t="shared" si="139"/>
        <v>44359</v>
      </c>
      <c r="D794" s="209">
        <v>68</v>
      </c>
      <c r="E794" s="217">
        <f t="shared" si="140"/>
        <v>5.71</v>
      </c>
      <c r="F794" s="218">
        <f t="shared" si="141"/>
        <v>6.71</v>
      </c>
      <c r="G794" s="219">
        <f t="shared" si="142"/>
        <v>6.71</v>
      </c>
      <c r="H794" s="220">
        <f t="shared" si="143"/>
        <v>7.71</v>
      </c>
      <c r="I794" s="257" t="str">
        <f t="shared" si="144"/>
        <v>6-7 years</v>
      </c>
      <c r="J794" s="211">
        <f t="shared" si="145"/>
        <v>0.83835616438356164</v>
      </c>
      <c r="K794" s="258">
        <f>$D794*J794*_xlfn.XLOOKUP($I794,'Sample Size cal and results'!$B$24:$B$25,'Sample Size cal and results'!$H$24:$H$25)</f>
        <v>46.741288713216491</v>
      </c>
      <c r="L794" s="211">
        <f t="shared" si="146"/>
        <v>0.16164383561643836</v>
      </c>
      <c r="M794" s="211">
        <f>$D794*L794*_xlfn.XLOOKUP($I794,'Sample Size cal and results'!$B$24:$B$25,'Sample Size cal and results'!$I$24:$I$25)</f>
        <v>9.2466191431689957</v>
      </c>
      <c r="N794" s="214">
        <f t="shared" si="147"/>
        <v>55.98790785638549</v>
      </c>
      <c r="O794" s="225" t="str">
        <f t="shared" si="148"/>
        <v>7-8 years</v>
      </c>
      <c r="P794" s="226">
        <f t="shared" si="149"/>
        <v>0.28493150684931506</v>
      </c>
      <c r="Q794" s="227">
        <f>$D794*P794*_xlfn.XLOOKUP($O794,'Sample Size cal and results'!$B$26:$B$27,'Sample Size cal and results'!$I$26:$I$27)</f>
        <v>12.589544831764393</v>
      </c>
      <c r="R794" s="330"/>
    </row>
    <row r="795" spans="1:18" ht="12.75">
      <c r="A795" s="99" t="s">
        <v>143</v>
      </c>
      <c r="B795" s="100">
        <v>41803</v>
      </c>
      <c r="C795" s="100">
        <f t="shared" si="139"/>
        <v>44359</v>
      </c>
      <c r="D795" s="209">
        <v>18</v>
      </c>
      <c r="E795" s="217">
        <f t="shared" si="140"/>
        <v>5.71</v>
      </c>
      <c r="F795" s="218">
        <f t="shared" si="141"/>
        <v>6.71</v>
      </c>
      <c r="G795" s="219">
        <f t="shared" si="142"/>
        <v>6.71</v>
      </c>
      <c r="H795" s="220">
        <f t="shared" si="143"/>
        <v>7.71</v>
      </c>
      <c r="I795" s="257" t="str">
        <f t="shared" si="144"/>
        <v>6-7 years</v>
      </c>
      <c r="J795" s="211">
        <f t="shared" si="145"/>
        <v>0.83835616438356164</v>
      </c>
      <c r="K795" s="258">
        <f>$D795*J795*_xlfn.XLOOKUP($I795,'Sample Size cal and results'!$B$24:$B$25,'Sample Size cal and results'!$H$24:$H$25)</f>
        <v>12.372694071145542</v>
      </c>
      <c r="L795" s="211">
        <f t="shared" si="146"/>
        <v>0.16164383561643836</v>
      </c>
      <c r="M795" s="211">
        <f>$D795*L795*_xlfn.XLOOKUP($I795,'Sample Size cal and results'!$B$24:$B$25,'Sample Size cal and results'!$I$24:$I$25)</f>
        <v>2.447634479074146</v>
      </c>
      <c r="N795" s="214">
        <f t="shared" si="147"/>
        <v>14.820328550219688</v>
      </c>
      <c r="O795" s="225" t="str">
        <f t="shared" si="148"/>
        <v>7-8 years</v>
      </c>
      <c r="P795" s="226">
        <f t="shared" si="149"/>
        <v>0.28493150684931506</v>
      </c>
      <c r="Q795" s="227">
        <f>$D795*P795*_xlfn.XLOOKUP($O795,'Sample Size cal and results'!$B$26:$B$27,'Sample Size cal and results'!$I$26:$I$27)</f>
        <v>3.3325265731141043</v>
      </c>
      <c r="R795" s="330"/>
    </row>
    <row r="796" spans="1:18" ht="12.75">
      <c r="A796" s="99" t="s">
        <v>145</v>
      </c>
      <c r="B796" s="100">
        <v>41802</v>
      </c>
      <c r="C796" s="100">
        <f t="shared" si="139"/>
        <v>44358</v>
      </c>
      <c r="D796" s="209">
        <v>77</v>
      </c>
      <c r="E796" s="217">
        <f t="shared" si="140"/>
        <v>5.71</v>
      </c>
      <c r="F796" s="218">
        <f t="shared" si="141"/>
        <v>6.71</v>
      </c>
      <c r="G796" s="219">
        <f t="shared" si="142"/>
        <v>6.71</v>
      </c>
      <c r="H796" s="220">
        <f t="shared" si="143"/>
        <v>7.71</v>
      </c>
      <c r="I796" s="257" t="str">
        <f t="shared" si="144"/>
        <v>6-7 years</v>
      </c>
      <c r="J796" s="211">
        <f t="shared" si="145"/>
        <v>0.83835616438356164</v>
      </c>
      <c r="K796" s="258">
        <f>$D796*J796*_xlfn.XLOOKUP($I796,'Sample Size cal and results'!$B$24:$B$25,'Sample Size cal and results'!$H$24:$H$25)</f>
        <v>52.927635748789264</v>
      </c>
      <c r="L796" s="211">
        <f t="shared" si="146"/>
        <v>0.16164383561643836</v>
      </c>
      <c r="M796" s="211">
        <f>$D796*L796*_xlfn.XLOOKUP($I796,'Sample Size cal and results'!$B$24:$B$25,'Sample Size cal and results'!$I$24:$I$25)</f>
        <v>10.470436382706067</v>
      </c>
      <c r="N796" s="214">
        <f t="shared" si="147"/>
        <v>63.398072131495333</v>
      </c>
      <c r="O796" s="225" t="str">
        <f t="shared" si="148"/>
        <v>7-8 years</v>
      </c>
      <c r="P796" s="226">
        <f t="shared" si="149"/>
        <v>0.28219178082191781</v>
      </c>
      <c r="Q796" s="227">
        <f>$D796*P796*_xlfn.XLOOKUP($O796,'Sample Size cal and results'!$B$26:$B$27,'Sample Size cal and results'!$I$26:$I$27)</f>
        <v>14.118733040260661</v>
      </c>
      <c r="R796" s="330"/>
    </row>
    <row r="797" spans="1:18" ht="12.75">
      <c r="A797" s="99" t="s">
        <v>143</v>
      </c>
      <c r="B797" s="100">
        <v>41802</v>
      </c>
      <c r="C797" s="100">
        <f t="shared" si="139"/>
        <v>44358</v>
      </c>
      <c r="D797" s="209">
        <v>28</v>
      </c>
      <c r="E797" s="217">
        <f t="shared" si="140"/>
        <v>5.71</v>
      </c>
      <c r="F797" s="218">
        <f t="shared" si="141"/>
        <v>6.71</v>
      </c>
      <c r="G797" s="219">
        <f t="shared" si="142"/>
        <v>6.71</v>
      </c>
      <c r="H797" s="220">
        <f t="shared" si="143"/>
        <v>7.71</v>
      </c>
      <c r="I797" s="257" t="str">
        <f t="shared" si="144"/>
        <v>6-7 years</v>
      </c>
      <c r="J797" s="211">
        <f t="shared" si="145"/>
        <v>0.83835616438356164</v>
      </c>
      <c r="K797" s="258">
        <f>$D797*J797*_xlfn.XLOOKUP($I797,'Sample Size cal and results'!$B$24:$B$25,'Sample Size cal and results'!$H$24:$H$25)</f>
        <v>19.24641299955973</v>
      </c>
      <c r="L797" s="211">
        <f t="shared" si="146"/>
        <v>0.16164383561643836</v>
      </c>
      <c r="M797" s="211">
        <f>$D797*L797*_xlfn.XLOOKUP($I797,'Sample Size cal and results'!$B$24:$B$25,'Sample Size cal and results'!$I$24:$I$25)</f>
        <v>3.807431411893115</v>
      </c>
      <c r="N797" s="214">
        <f t="shared" si="147"/>
        <v>23.053844411452847</v>
      </c>
      <c r="O797" s="225" t="str">
        <f t="shared" si="148"/>
        <v>7-8 years</v>
      </c>
      <c r="P797" s="226">
        <f t="shared" si="149"/>
        <v>0.28219178082191781</v>
      </c>
      <c r="Q797" s="227">
        <f>$D797*P797*_xlfn.XLOOKUP($O797,'Sample Size cal and results'!$B$26:$B$27,'Sample Size cal and results'!$I$26:$I$27)</f>
        <v>5.134084741912968</v>
      </c>
      <c r="R797" s="330"/>
    </row>
    <row r="798" spans="1:18" ht="12.75">
      <c r="A798" s="99" t="s">
        <v>145</v>
      </c>
      <c r="B798" s="100">
        <v>41801</v>
      </c>
      <c r="C798" s="100">
        <f t="shared" si="139"/>
        <v>44357</v>
      </c>
      <c r="D798" s="209">
        <v>58</v>
      </c>
      <c r="E798" s="217">
        <f t="shared" si="140"/>
        <v>5.72</v>
      </c>
      <c r="F798" s="218">
        <f t="shared" si="141"/>
        <v>6.71</v>
      </c>
      <c r="G798" s="219">
        <f t="shared" si="142"/>
        <v>6.72</v>
      </c>
      <c r="H798" s="220">
        <f t="shared" si="143"/>
        <v>7.71</v>
      </c>
      <c r="I798" s="257" t="str">
        <f t="shared" si="144"/>
        <v>6-7 years</v>
      </c>
      <c r="J798" s="211">
        <f t="shared" si="145"/>
        <v>0.83835616438356164</v>
      </c>
      <c r="K798" s="258">
        <f>$D798*J798*_xlfn.XLOOKUP($I798,'Sample Size cal and results'!$B$24:$B$25,'Sample Size cal and results'!$H$24:$H$25)</f>
        <v>39.867569784802299</v>
      </c>
      <c r="L798" s="211">
        <f t="shared" si="146"/>
        <v>0.16164383561643836</v>
      </c>
      <c r="M798" s="211">
        <f>$D798*L798*_xlfn.XLOOKUP($I798,'Sample Size cal and results'!$B$24:$B$25,'Sample Size cal and results'!$I$24:$I$25)</f>
        <v>7.886822210350025</v>
      </c>
      <c r="N798" s="214">
        <f t="shared" si="147"/>
        <v>47.754391995152325</v>
      </c>
      <c r="O798" s="225" t="str">
        <f t="shared" si="148"/>
        <v>7-8 years</v>
      </c>
      <c r="P798" s="226">
        <f t="shared" si="149"/>
        <v>0.27945205479452057</v>
      </c>
      <c r="Q798" s="227">
        <f>$D798*P798*_xlfn.XLOOKUP($O798,'Sample Size cal and results'!$B$26:$B$27,'Sample Size cal and results'!$I$26:$I$27)</f>
        <v>10.531638465033675</v>
      </c>
      <c r="R798" s="330"/>
    </row>
    <row r="799" spans="1:18" ht="12.75">
      <c r="A799" s="99" t="s">
        <v>143</v>
      </c>
      <c r="B799" s="100">
        <v>41801</v>
      </c>
      <c r="C799" s="100">
        <f t="shared" si="139"/>
        <v>44357</v>
      </c>
      <c r="D799" s="209">
        <v>23</v>
      </c>
      <c r="E799" s="217">
        <f t="shared" si="140"/>
        <v>5.72</v>
      </c>
      <c r="F799" s="218">
        <f t="shared" si="141"/>
        <v>6.71</v>
      </c>
      <c r="G799" s="219">
        <f t="shared" si="142"/>
        <v>6.72</v>
      </c>
      <c r="H799" s="220">
        <f t="shared" si="143"/>
        <v>7.71</v>
      </c>
      <c r="I799" s="257" t="str">
        <f t="shared" si="144"/>
        <v>6-7 years</v>
      </c>
      <c r="J799" s="211">
        <f t="shared" si="145"/>
        <v>0.83835616438356164</v>
      </c>
      <c r="K799" s="258">
        <f>$D799*J799*_xlfn.XLOOKUP($I799,'Sample Size cal and results'!$B$24:$B$25,'Sample Size cal and results'!$H$24:$H$25)</f>
        <v>15.809553535352636</v>
      </c>
      <c r="L799" s="211">
        <f t="shared" si="146"/>
        <v>0.16164383561643836</v>
      </c>
      <c r="M799" s="211">
        <f>$D799*L799*_xlfn.XLOOKUP($I799,'Sample Size cal and results'!$B$24:$B$25,'Sample Size cal and results'!$I$24:$I$25)</f>
        <v>3.1275329454836305</v>
      </c>
      <c r="N799" s="214">
        <f t="shared" si="147"/>
        <v>18.937086480836268</v>
      </c>
      <c r="O799" s="225" t="str">
        <f t="shared" si="148"/>
        <v>7-8 years</v>
      </c>
      <c r="P799" s="226">
        <f t="shared" si="149"/>
        <v>0.27945205479452057</v>
      </c>
      <c r="Q799" s="227">
        <f>$D799*P799*_xlfn.XLOOKUP($O799,'Sample Size cal and results'!$B$26:$B$27,'Sample Size cal and results'!$I$26:$I$27)</f>
        <v>4.176339391306457</v>
      </c>
      <c r="R799" s="330"/>
    </row>
    <row r="800" spans="1:18" ht="12.75">
      <c r="A800" s="99" t="s">
        <v>145</v>
      </c>
      <c r="B800" s="100">
        <v>41800</v>
      </c>
      <c r="C800" s="100">
        <f t="shared" si="139"/>
        <v>44356</v>
      </c>
      <c r="D800" s="209">
        <v>65</v>
      </c>
      <c r="E800" s="217">
        <f t="shared" si="140"/>
        <v>5.72</v>
      </c>
      <c r="F800" s="218">
        <f t="shared" si="141"/>
        <v>6.72</v>
      </c>
      <c r="G800" s="219">
        <f t="shared" si="142"/>
        <v>6.72</v>
      </c>
      <c r="H800" s="220">
        <f t="shared" si="143"/>
        <v>7.72</v>
      </c>
      <c r="I800" s="257" t="str">
        <f t="shared" si="144"/>
        <v>6-7 years</v>
      </c>
      <c r="J800" s="211">
        <f t="shared" si="145"/>
        <v>0.83835616438356164</v>
      </c>
      <c r="K800" s="258">
        <f>$D800*J800*_xlfn.XLOOKUP($I800,'Sample Size cal and results'!$B$24:$B$25,'Sample Size cal and results'!$H$24:$H$25)</f>
        <v>44.679173034692234</v>
      </c>
      <c r="L800" s="211">
        <f t="shared" si="146"/>
        <v>0.16164383561643836</v>
      </c>
      <c r="M800" s="211">
        <f>$D800*L800*_xlfn.XLOOKUP($I800,'Sample Size cal and results'!$B$24:$B$25,'Sample Size cal and results'!$I$24:$I$25)</f>
        <v>8.838680063323304</v>
      </c>
      <c r="N800" s="214">
        <f t="shared" si="147"/>
        <v>53.517853098015536</v>
      </c>
      <c r="O800" s="225" t="str">
        <f t="shared" si="148"/>
        <v>7-8 years</v>
      </c>
      <c r="P800" s="226">
        <f t="shared" si="149"/>
        <v>0.27671232876712326</v>
      </c>
      <c r="Q800" s="227">
        <f>$D800*P800*_xlfn.XLOOKUP($O800,'Sample Size cal and results'!$B$26:$B$27,'Sample Size cal and results'!$I$26:$I$27)</f>
        <v>11.686985551545988</v>
      </c>
      <c r="R800" s="330"/>
    </row>
    <row r="801" spans="1:18" ht="12.75">
      <c r="A801" s="99" t="s">
        <v>143</v>
      </c>
      <c r="B801" s="100">
        <v>41800</v>
      </c>
      <c r="C801" s="100">
        <f t="shared" si="139"/>
        <v>44356</v>
      </c>
      <c r="D801" s="209">
        <v>33</v>
      </c>
      <c r="E801" s="217">
        <f t="shared" si="140"/>
        <v>5.72</v>
      </c>
      <c r="F801" s="218">
        <f t="shared" si="141"/>
        <v>6.72</v>
      </c>
      <c r="G801" s="219">
        <f t="shared" si="142"/>
        <v>6.72</v>
      </c>
      <c r="H801" s="220">
        <f t="shared" si="143"/>
        <v>7.72</v>
      </c>
      <c r="I801" s="257" t="str">
        <f t="shared" si="144"/>
        <v>6-7 years</v>
      </c>
      <c r="J801" s="211">
        <f t="shared" si="145"/>
        <v>0.83835616438356164</v>
      </c>
      <c r="K801" s="258">
        <f>$D801*J801*_xlfn.XLOOKUP($I801,'Sample Size cal and results'!$B$24:$B$25,'Sample Size cal and results'!$H$24:$H$25)</f>
        <v>22.683272463766826</v>
      </c>
      <c r="L801" s="211">
        <f t="shared" si="146"/>
        <v>0.16164383561643836</v>
      </c>
      <c r="M801" s="211">
        <f>$D801*L801*_xlfn.XLOOKUP($I801,'Sample Size cal and results'!$B$24:$B$25,'Sample Size cal and results'!$I$24:$I$25)</f>
        <v>4.4873298783026003</v>
      </c>
      <c r="N801" s="214">
        <f t="shared" si="147"/>
        <v>27.170602342069426</v>
      </c>
      <c r="O801" s="225" t="str">
        <f t="shared" si="148"/>
        <v>7-8 years</v>
      </c>
      <c r="P801" s="226">
        <f t="shared" si="149"/>
        <v>0.27671232876712326</v>
      </c>
      <c r="Q801" s="227">
        <f>$D801*P801*_xlfn.XLOOKUP($O801,'Sample Size cal and results'!$B$26:$B$27,'Sample Size cal and results'!$I$26:$I$27)</f>
        <v>5.9333926646310404</v>
      </c>
      <c r="R801" s="330"/>
    </row>
    <row r="802" spans="1:18" ht="12.75">
      <c r="A802" s="99" t="s">
        <v>145</v>
      </c>
      <c r="B802" s="100">
        <v>41799</v>
      </c>
      <c r="C802" s="100">
        <f t="shared" si="139"/>
        <v>44355</v>
      </c>
      <c r="D802" s="209">
        <v>57</v>
      </c>
      <c r="E802" s="217">
        <f t="shared" si="140"/>
        <v>5.72</v>
      </c>
      <c r="F802" s="218">
        <f t="shared" si="141"/>
        <v>6.72</v>
      </c>
      <c r="G802" s="219">
        <f t="shared" si="142"/>
        <v>6.72</v>
      </c>
      <c r="H802" s="220">
        <f t="shared" si="143"/>
        <v>7.72</v>
      </c>
      <c r="I802" s="257" t="str">
        <f t="shared" si="144"/>
        <v>6-7 years</v>
      </c>
      <c r="J802" s="211">
        <f t="shared" si="145"/>
        <v>0.83835616438356164</v>
      </c>
      <c r="K802" s="258">
        <f>$D802*J802*_xlfn.XLOOKUP($I802,'Sample Size cal and results'!$B$24:$B$25,'Sample Size cal and results'!$H$24:$H$25)</f>
        <v>39.18019789196088</v>
      </c>
      <c r="L802" s="211">
        <f t="shared" si="146"/>
        <v>0.16164383561643836</v>
      </c>
      <c r="M802" s="211">
        <f>$D802*L802*_xlfn.XLOOKUP($I802,'Sample Size cal and results'!$B$24:$B$25,'Sample Size cal and results'!$I$24:$I$25)</f>
        <v>7.7508425170681283</v>
      </c>
      <c r="N802" s="214">
        <f t="shared" si="147"/>
        <v>46.931040409029009</v>
      </c>
      <c r="O802" s="225" t="str">
        <f t="shared" si="148"/>
        <v>7-8 years</v>
      </c>
      <c r="P802" s="226">
        <f t="shared" si="149"/>
        <v>0.27397260273972601</v>
      </c>
      <c r="Q802" s="227">
        <f>$D802*P802*_xlfn.XLOOKUP($O802,'Sample Size cal and results'!$B$26:$B$27,'Sample Size cal and results'!$I$26:$I$27)</f>
        <v>10.147116168135893</v>
      </c>
      <c r="R802" s="330"/>
    </row>
    <row r="803" spans="1:18" ht="12.75">
      <c r="A803" s="99" t="s">
        <v>143</v>
      </c>
      <c r="B803" s="100">
        <v>41799</v>
      </c>
      <c r="C803" s="100">
        <f t="shared" si="139"/>
        <v>44355</v>
      </c>
      <c r="D803" s="209">
        <v>30</v>
      </c>
      <c r="E803" s="217">
        <f t="shared" si="140"/>
        <v>5.72</v>
      </c>
      <c r="F803" s="218">
        <f t="shared" si="141"/>
        <v>6.72</v>
      </c>
      <c r="G803" s="219">
        <f t="shared" si="142"/>
        <v>6.72</v>
      </c>
      <c r="H803" s="220">
        <f t="shared" si="143"/>
        <v>7.72</v>
      </c>
      <c r="I803" s="257" t="str">
        <f t="shared" si="144"/>
        <v>6-7 years</v>
      </c>
      <c r="J803" s="211">
        <f t="shared" si="145"/>
        <v>0.83835616438356164</v>
      </c>
      <c r="K803" s="258">
        <f>$D803*J803*_xlfn.XLOOKUP($I803,'Sample Size cal and results'!$B$24:$B$25,'Sample Size cal and results'!$H$24:$H$25)</f>
        <v>20.621156785242569</v>
      </c>
      <c r="L803" s="211">
        <f t="shared" si="146"/>
        <v>0.16164383561643836</v>
      </c>
      <c r="M803" s="211">
        <f>$D803*L803*_xlfn.XLOOKUP($I803,'Sample Size cal and results'!$B$24:$B$25,'Sample Size cal and results'!$I$24:$I$25)</f>
        <v>4.0793907984569096</v>
      </c>
      <c r="N803" s="214">
        <f t="shared" si="147"/>
        <v>24.700547583699478</v>
      </c>
      <c r="O803" s="225" t="str">
        <f t="shared" si="148"/>
        <v>7-8 years</v>
      </c>
      <c r="P803" s="226">
        <f t="shared" si="149"/>
        <v>0.27397260273972601</v>
      </c>
      <c r="Q803" s="227">
        <f>$D803*P803*_xlfn.XLOOKUP($O803,'Sample Size cal and results'!$B$26:$B$27,'Sample Size cal and results'!$I$26:$I$27)</f>
        <v>5.3405874569136271</v>
      </c>
      <c r="R803" s="330"/>
    </row>
    <row r="804" spans="1:18" ht="12.75">
      <c r="A804" s="99" t="s">
        <v>145</v>
      </c>
      <c r="B804" s="100">
        <v>41798</v>
      </c>
      <c r="C804" s="100">
        <f t="shared" si="139"/>
        <v>44354</v>
      </c>
      <c r="D804" s="209">
        <v>62</v>
      </c>
      <c r="E804" s="217">
        <f t="shared" si="140"/>
        <v>5.72</v>
      </c>
      <c r="F804" s="218">
        <f t="shared" si="141"/>
        <v>6.72</v>
      </c>
      <c r="G804" s="219">
        <f t="shared" si="142"/>
        <v>6.72</v>
      </c>
      <c r="H804" s="220">
        <f t="shared" si="143"/>
        <v>7.72</v>
      </c>
      <c r="I804" s="257" t="str">
        <f t="shared" si="144"/>
        <v>6-7 years</v>
      </c>
      <c r="J804" s="211">
        <f t="shared" si="145"/>
        <v>0.83835616438356164</v>
      </c>
      <c r="K804" s="258">
        <f>$D804*J804*_xlfn.XLOOKUP($I804,'Sample Size cal and results'!$B$24:$B$25,'Sample Size cal and results'!$H$24:$H$25)</f>
        <v>42.617057356167976</v>
      </c>
      <c r="L804" s="211">
        <f t="shared" si="146"/>
        <v>0.16164383561643836</v>
      </c>
      <c r="M804" s="211">
        <f>$D804*L804*_xlfn.XLOOKUP($I804,'Sample Size cal and results'!$B$24:$B$25,'Sample Size cal and results'!$I$24:$I$25)</f>
        <v>8.4307409834776124</v>
      </c>
      <c r="N804" s="214">
        <f t="shared" si="147"/>
        <v>51.047798339645588</v>
      </c>
      <c r="O804" s="225" t="str">
        <f t="shared" si="148"/>
        <v>7-8 years</v>
      </c>
      <c r="P804" s="226">
        <f t="shared" si="149"/>
        <v>0.27123287671232876</v>
      </c>
      <c r="Q804" s="227">
        <f>$D804*P804*_xlfn.XLOOKUP($O804,'Sample Size cal and results'!$B$26:$B$27,'Sample Size cal and results'!$I$26:$I$27)</f>
        <v>10.926841936845284</v>
      </c>
      <c r="R804" s="330"/>
    </row>
    <row r="805" spans="1:18" ht="12.75">
      <c r="A805" s="99" t="s">
        <v>143</v>
      </c>
      <c r="B805" s="100">
        <v>41798</v>
      </c>
      <c r="C805" s="100">
        <f t="shared" si="139"/>
        <v>44354</v>
      </c>
      <c r="D805" s="209">
        <v>34</v>
      </c>
      <c r="E805" s="217">
        <f t="shared" si="140"/>
        <v>5.72</v>
      </c>
      <c r="F805" s="218">
        <f t="shared" si="141"/>
        <v>6.72</v>
      </c>
      <c r="G805" s="219">
        <f t="shared" si="142"/>
        <v>6.72</v>
      </c>
      <c r="H805" s="220">
        <f t="shared" si="143"/>
        <v>7.72</v>
      </c>
      <c r="I805" s="257" t="str">
        <f t="shared" si="144"/>
        <v>6-7 years</v>
      </c>
      <c r="J805" s="211">
        <f t="shared" si="145"/>
        <v>0.83835616438356164</v>
      </c>
      <c r="K805" s="258">
        <f>$D805*J805*_xlfn.XLOOKUP($I805,'Sample Size cal and results'!$B$24:$B$25,'Sample Size cal and results'!$H$24:$H$25)</f>
        <v>23.370644356608246</v>
      </c>
      <c r="L805" s="211">
        <f t="shared" si="146"/>
        <v>0.16164383561643836</v>
      </c>
      <c r="M805" s="211">
        <f>$D805*L805*_xlfn.XLOOKUP($I805,'Sample Size cal and results'!$B$24:$B$25,'Sample Size cal and results'!$I$24:$I$25)</f>
        <v>4.6233095715844978</v>
      </c>
      <c r="N805" s="214">
        <f t="shared" si="147"/>
        <v>27.993953928192745</v>
      </c>
      <c r="O805" s="225" t="str">
        <f t="shared" si="148"/>
        <v>7-8 years</v>
      </c>
      <c r="P805" s="226">
        <f t="shared" si="149"/>
        <v>0.27123287671232876</v>
      </c>
      <c r="Q805" s="227">
        <f>$D805*P805*_xlfn.XLOOKUP($O805,'Sample Size cal and results'!$B$26:$B$27,'Sample Size cal and results'!$I$26:$I$27)</f>
        <v>5.9921391266570909</v>
      </c>
      <c r="R805" s="330"/>
    </row>
    <row r="806" spans="1:18" ht="12.75">
      <c r="A806" s="99" t="s">
        <v>145</v>
      </c>
      <c r="B806" s="100">
        <v>41797</v>
      </c>
      <c r="C806" s="100">
        <f t="shared" si="139"/>
        <v>44353</v>
      </c>
      <c r="D806" s="209">
        <v>47</v>
      </c>
      <c r="E806" s="217">
        <f t="shared" si="140"/>
        <v>5.73</v>
      </c>
      <c r="F806" s="218">
        <f t="shared" si="141"/>
        <v>6.72</v>
      </c>
      <c r="G806" s="219">
        <f t="shared" si="142"/>
        <v>6.73</v>
      </c>
      <c r="H806" s="220">
        <f t="shared" si="143"/>
        <v>7.72</v>
      </c>
      <c r="I806" s="257" t="str">
        <f t="shared" si="144"/>
        <v>6-7 years</v>
      </c>
      <c r="J806" s="211">
        <f t="shared" si="145"/>
        <v>0.83835616438356164</v>
      </c>
      <c r="K806" s="258">
        <f>$D806*J806*_xlfn.XLOOKUP($I806,'Sample Size cal and results'!$B$24:$B$25,'Sample Size cal and results'!$H$24:$H$25)</f>
        <v>32.306478963546688</v>
      </c>
      <c r="L806" s="211">
        <f t="shared" si="146"/>
        <v>0.16164383561643836</v>
      </c>
      <c r="M806" s="211">
        <f>$D806*L806*_xlfn.XLOOKUP($I806,'Sample Size cal and results'!$B$24:$B$25,'Sample Size cal and results'!$I$24:$I$25)</f>
        <v>6.3910455842491585</v>
      </c>
      <c r="N806" s="214">
        <f t="shared" si="147"/>
        <v>38.697524547795844</v>
      </c>
      <c r="O806" s="225" t="str">
        <f t="shared" si="148"/>
        <v>7-8 years</v>
      </c>
      <c r="P806" s="226">
        <f t="shared" si="149"/>
        <v>0.26849315068493151</v>
      </c>
      <c r="Q806" s="227">
        <f>$D806*P806*_xlfn.XLOOKUP($O806,'Sample Size cal and results'!$B$26:$B$27,'Sample Size cal and results'!$I$26:$I$27)</f>
        <v>8.1995819421813891</v>
      </c>
      <c r="R806" s="330"/>
    </row>
    <row r="807" spans="1:18" ht="12.75">
      <c r="A807" s="99" t="s">
        <v>143</v>
      </c>
      <c r="B807" s="100">
        <v>41797</v>
      </c>
      <c r="C807" s="100">
        <f t="shared" si="139"/>
        <v>44353</v>
      </c>
      <c r="D807" s="209">
        <v>26</v>
      </c>
      <c r="E807" s="217">
        <f t="shared" si="140"/>
        <v>5.73</v>
      </c>
      <c r="F807" s="218">
        <f t="shared" si="141"/>
        <v>6.72</v>
      </c>
      <c r="G807" s="219">
        <f t="shared" si="142"/>
        <v>6.73</v>
      </c>
      <c r="H807" s="220">
        <f t="shared" si="143"/>
        <v>7.72</v>
      </c>
      <c r="I807" s="257" t="str">
        <f t="shared" si="144"/>
        <v>6-7 years</v>
      </c>
      <c r="J807" s="211">
        <f t="shared" si="145"/>
        <v>0.83835616438356164</v>
      </c>
      <c r="K807" s="258">
        <f>$D807*J807*_xlfn.XLOOKUP($I807,'Sample Size cal and results'!$B$24:$B$25,'Sample Size cal and results'!$H$24:$H$25)</f>
        <v>17.871669213876892</v>
      </c>
      <c r="L807" s="211">
        <f t="shared" si="146"/>
        <v>0.16164383561643836</v>
      </c>
      <c r="M807" s="211">
        <f>$D807*L807*_xlfn.XLOOKUP($I807,'Sample Size cal and results'!$B$24:$B$25,'Sample Size cal and results'!$I$24:$I$25)</f>
        <v>3.5354720253293217</v>
      </c>
      <c r="N807" s="214">
        <f t="shared" si="147"/>
        <v>21.407141239206215</v>
      </c>
      <c r="O807" s="225" t="str">
        <f t="shared" si="148"/>
        <v>7-8 years</v>
      </c>
      <c r="P807" s="226">
        <f t="shared" si="149"/>
        <v>0.26849315068493151</v>
      </c>
      <c r="Q807" s="227">
        <f>$D807*P807*_xlfn.XLOOKUP($O807,'Sample Size cal and results'!$B$26:$B$27,'Sample Size cal and results'!$I$26:$I$27)</f>
        <v>4.535938946738642</v>
      </c>
      <c r="R807" s="330"/>
    </row>
    <row r="808" spans="1:18" ht="12.75">
      <c r="A808" s="99" t="s">
        <v>145</v>
      </c>
      <c r="B808" s="100">
        <v>41796</v>
      </c>
      <c r="C808" s="100">
        <f t="shared" si="139"/>
        <v>44352</v>
      </c>
      <c r="D808" s="209">
        <v>49</v>
      </c>
      <c r="E808" s="217">
        <f t="shared" si="140"/>
        <v>5.73</v>
      </c>
      <c r="F808" s="218">
        <f t="shared" si="141"/>
        <v>6.73</v>
      </c>
      <c r="G808" s="219">
        <f t="shared" si="142"/>
        <v>6.73</v>
      </c>
      <c r="H808" s="220">
        <f t="shared" si="143"/>
        <v>7.73</v>
      </c>
      <c r="I808" s="257" t="str">
        <f t="shared" si="144"/>
        <v>6-7 years</v>
      </c>
      <c r="J808" s="211">
        <f t="shared" si="145"/>
        <v>0.83835616438356164</v>
      </c>
      <c r="K808" s="258">
        <f>$D808*J808*_xlfn.XLOOKUP($I808,'Sample Size cal and results'!$B$24:$B$25,'Sample Size cal and results'!$H$24:$H$25)</f>
        <v>33.681222749229526</v>
      </c>
      <c r="L808" s="211">
        <f t="shared" si="146"/>
        <v>0.16164383561643836</v>
      </c>
      <c r="M808" s="211">
        <f>$D808*L808*_xlfn.XLOOKUP($I808,'Sample Size cal and results'!$B$24:$B$25,'Sample Size cal and results'!$I$24:$I$25)</f>
        <v>6.6630049708129517</v>
      </c>
      <c r="N808" s="214">
        <f t="shared" si="147"/>
        <v>40.344227720042475</v>
      </c>
      <c r="O808" s="225" t="str">
        <f t="shared" si="148"/>
        <v>7-8 years</v>
      </c>
      <c r="P808" s="226">
        <f t="shared" si="149"/>
        <v>0.26575342465753427</v>
      </c>
      <c r="Q808" s="227">
        <f>$D808*P808*_xlfn.XLOOKUP($O808,'Sample Size cal and results'!$B$26:$B$27,'Sample Size cal and results'!$I$26:$I$27)</f>
        <v>8.4612707275701577</v>
      </c>
      <c r="R808" s="330"/>
    </row>
    <row r="809" spans="1:18" ht="12.75">
      <c r="A809" s="99" t="s">
        <v>143</v>
      </c>
      <c r="B809" s="100">
        <v>41796</v>
      </c>
      <c r="C809" s="100">
        <f t="shared" si="139"/>
        <v>44352</v>
      </c>
      <c r="D809" s="209">
        <v>19</v>
      </c>
      <c r="E809" s="217">
        <f t="shared" si="140"/>
        <v>5.73</v>
      </c>
      <c r="F809" s="218">
        <f t="shared" si="141"/>
        <v>6.73</v>
      </c>
      <c r="G809" s="219">
        <f t="shared" si="142"/>
        <v>6.73</v>
      </c>
      <c r="H809" s="220">
        <f t="shared" si="143"/>
        <v>7.73</v>
      </c>
      <c r="I809" s="257" t="str">
        <f t="shared" si="144"/>
        <v>6-7 years</v>
      </c>
      <c r="J809" s="211">
        <f t="shared" si="145"/>
        <v>0.83835616438356164</v>
      </c>
      <c r="K809" s="258">
        <f>$D809*J809*_xlfn.XLOOKUP($I809,'Sample Size cal and results'!$B$24:$B$25,'Sample Size cal and results'!$H$24:$H$25)</f>
        <v>13.060065963986959</v>
      </c>
      <c r="L809" s="211">
        <f t="shared" si="146"/>
        <v>0.16164383561643836</v>
      </c>
      <c r="M809" s="211">
        <f>$D809*L809*_xlfn.XLOOKUP($I809,'Sample Size cal and results'!$B$24:$B$25,'Sample Size cal and results'!$I$24:$I$25)</f>
        <v>2.5836141723560426</v>
      </c>
      <c r="N809" s="214">
        <f t="shared" si="147"/>
        <v>15.643680136343002</v>
      </c>
      <c r="O809" s="225" t="str">
        <f t="shared" si="148"/>
        <v>7-8 years</v>
      </c>
      <c r="P809" s="226">
        <f t="shared" si="149"/>
        <v>0.26575342465753427</v>
      </c>
      <c r="Q809" s="227">
        <f>$D809*P809*_xlfn.XLOOKUP($O809,'Sample Size cal and results'!$B$26:$B$27,'Sample Size cal and results'!$I$26:$I$27)</f>
        <v>3.2809008943639388</v>
      </c>
      <c r="R809" s="330"/>
    </row>
    <row r="810" spans="1:18" ht="12.75">
      <c r="A810" s="99" t="s">
        <v>145</v>
      </c>
      <c r="B810" s="100">
        <v>41795</v>
      </c>
      <c r="C810" s="100">
        <f t="shared" si="139"/>
        <v>44351</v>
      </c>
      <c r="D810" s="209">
        <v>67</v>
      </c>
      <c r="E810" s="217">
        <f t="shared" si="140"/>
        <v>5.73</v>
      </c>
      <c r="F810" s="218">
        <f t="shared" si="141"/>
        <v>6.73</v>
      </c>
      <c r="G810" s="219">
        <f t="shared" si="142"/>
        <v>6.73</v>
      </c>
      <c r="H810" s="220">
        <f t="shared" si="143"/>
        <v>7.73</v>
      </c>
      <c r="I810" s="257" t="str">
        <f t="shared" si="144"/>
        <v>6-7 years</v>
      </c>
      <c r="J810" s="211">
        <f t="shared" si="145"/>
        <v>0.83835616438356164</v>
      </c>
      <c r="K810" s="258">
        <f>$D810*J810*_xlfn.XLOOKUP($I810,'Sample Size cal and results'!$B$24:$B$25,'Sample Size cal and results'!$H$24:$H$25)</f>
        <v>46.053916820375072</v>
      </c>
      <c r="L810" s="211">
        <f t="shared" si="146"/>
        <v>0.16164383561643836</v>
      </c>
      <c r="M810" s="211">
        <f>$D810*L810*_xlfn.XLOOKUP($I810,'Sample Size cal and results'!$B$24:$B$25,'Sample Size cal and results'!$I$24:$I$25)</f>
        <v>9.1106394498870973</v>
      </c>
      <c r="N810" s="214">
        <f t="shared" si="147"/>
        <v>55.164556270262167</v>
      </c>
      <c r="O810" s="225" t="str">
        <f t="shared" si="148"/>
        <v>7-8 years</v>
      </c>
      <c r="P810" s="226">
        <f t="shared" si="149"/>
        <v>0.26301369863013696</v>
      </c>
      <c r="Q810" s="227">
        <f>$D810*P810*_xlfn.XLOOKUP($O810,'Sample Size cal and results'!$B$26:$B$27,'Sample Size cal and results'!$I$26:$I$27)</f>
        <v>11.450219507622817</v>
      </c>
      <c r="R810" s="330"/>
    </row>
    <row r="811" spans="1:18" ht="12.75">
      <c r="A811" s="99" t="s">
        <v>143</v>
      </c>
      <c r="B811" s="100">
        <v>41795</v>
      </c>
      <c r="C811" s="100">
        <f t="shared" si="139"/>
        <v>44351</v>
      </c>
      <c r="D811" s="209">
        <v>38</v>
      </c>
      <c r="E811" s="217">
        <f t="shared" si="140"/>
        <v>5.73</v>
      </c>
      <c r="F811" s="218">
        <f t="shared" si="141"/>
        <v>6.73</v>
      </c>
      <c r="G811" s="219">
        <f t="shared" si="142"/>
        <v>6.73</v>
      </c>
      <c r="H811" s="220">
        <f t="shared" si="143"/>
        <v>7.73</v>
      </c>
      <c r="I811" s="257" t="str">
        <f t="shared" si="144"/>
        <v>6-7 years</v>
      </c>
      <c r="J811" s="211">
        <f t="shared" si="145"/>
        <v>0.83835616438356164</v>
      </c>
      <c r="K811" s="258">
        <f>$D811*J811*_xlfn.XLOOKUP($I811,'Sample Size cal and results'!$B$24:$B$25,'Sample Size cal and results'!$H$24:$H$25)</f>
        <v>26.120131927973919</v>
      </c>
      <c r="L811" s="211">
        <f t="shared" si="146"/>
        <v>0.16164383561643836</v>
      </c>
      <c r="M811" s="211">
        <f>$D811*L811*_xlfn.XLOOKUP($I811,'Sample Size cal and results'!$B$24:$B$25,'Sample Size cal and results'!$I$24:$I$25)</f>
        <v>5.1672283447120853</v>
      </c>
      <c r="N811" s="214">
        <f t="shared" si="147"/>
        <v>31.287360272686005</v>
      </c>
      <c r="O811" s="225" t="str">
        <f t="shared" si="148"/>
        <v>7-8 years</v>
      </c>
      <c r="P811" s="226">
        <f t="shared" si="149"/>
        <v>0.26301369863013696</v>
      </c>
      <c r="Q811" s="227">
        <f>$D811*P811*_xlfn.XLOOKUP($O811,'Sample Size cal and results'!$B$26:$B$27,'Sample Size cal and results'!$I$26:$I$27)</f>
        <v>6.4941543476069716</v>
      </c>
      <c r="R811" s="330"/>
    </row>
    <row r="812" spans="1:18" ht="12.75">
      <c r="A812" s="99" t="s">
        <v>145</v>
      </c>
      <c r="B812" s="100">
        <v>41794</v>
      </c>
      <c r="C812" s="100">
        <f t="shared" si="139"/>
        <v>44350</v>
      </c>
      <c r="D812" s="209">
        <v>46</v>
      </c>
      <c r="E812" s="217">
        <f t="shared" si="140"/>
        <v>5.74</v>
      </c>
      <c r="F812" s="218">
        <f t="shared" si="141"/>
        <v>6.73</v>
      </c>
      <c r="G812" s="219">
        <f t="shared" si="142"/>
        <v>6.74</v>
      </c>
      <c r="H812" s="220">
        <f t="shared" si="143"/>
        <v>7.73</v>
      </c>
      <c r="I812" s="257" t="str">
        <f t="shared" si="144"/>
        <v>6-7 years</v>
      </c>
      <c r="J812" s="211">
        <f t="shared" si="145"/>
        <v>0.83835616438356164</v>
      </c>
      <c r="K812" s="258">
        <f>$D812*J812*_xlfn.XLOOKUP($I812,'Sample Size cal and results'!$B$24:$B$25,'Sample Size cal and results'!$H$24:$H$25)</f>
        <v>31.619107070705272</v>
      </c>
      <c r="L812" s="211">
        <f t="shared" si="146"/>
        <v>0.16164383561643836</v>
      </c>
      <c r="M812" s="211">
        <f>$D812*L812*_xlfn.XLOOKUP($I812,'Sample Size cal and results'!$B$24:$B$25,'Sample Size cal and results'!$I$24:$I$25)</f>
        <v>6.255065890967261</v>
      </c>
      <c r="N812" s="214">
        <f t="shared" si="147"/>
        <v>37.874172961672535</v>
      </c>
      <c r="O812" s="225" t="str">
        <f t="shared" si="148"/>
        <v>7-8 years</v>
      </c>
      <c r="P812" s="226">
        <f t="shared" si="149"/>
        <v>0.26027397260273971</v>
      </c>
      <c r="Q812" s="227">
        <f>$D812*P812*_xlfn.XLOOKUP($O812,'Sample Size cal and results'!$B$26:$B$27,'Sample Size cal and results'!$I$26:$I$27)</f>
        <v>7.7794557289041846</v>
      </c>
      <c r="R812" s="330"/>
    </row>
    <row r="813" spans="1:18" ht="12.75">
      <c r="A813" s="99" t="s">
        <v>143</v>
      </c>
      <c r="B813" s="100">
        <v>41794</v>
      </c>
      <c r="C813" s="100">
        <f t="shared" si="139"/>
        <v>44350</v>
      </c>
      <c r="D813" s="209">
        <v>16</v>
      </c>
      <c r="E813" s="217">
        <f t="shared" si="140"/>
        <v>5.74</v>
      </c>
      <c r="F813" s="218">
        <f t="shared" si="141"/>
        <v>6.73</v>
      </c>
      <c r="G813" s="219">
        <f t="shared" si="142"/>
        <v>6.74</v>
      </c>
      <c r="H813" s="220">
        <f t="shared" si="143"/>
        <v>7.73</v>
      </c>
      <c r="I813" s="257" t="str">
        <f t="shared" si="144"/>
        <v>6-7 years</v>
      </c>
      <c r="J813" s="211">
        <f t="shared" si="145"/>
        <v>0.83835616438356164</v>
      </c>
      <c r="K813" s="258">
        <f>$D813*J813*_xlfn.XLOOKUP($I813,'Sample Size cal and results'!$B$24:$B$25,'Sample Size cal and results'!$H$24:$H$25)</f>
        <v>10.997950285462704</v>
      </c>
      <c r="L813" s="211">
        <f t="shared" si="146"/>
        <v>0.16164383561643836</v>
      </c>
      <c r="M813" s="211">
        <f>$D813*L813*_xlfn.XLOOKUP($I813,'Sample Size cal and results'!$B$24:$B$25,'Sample Size cal and results'!$I$24:$I$25)</f>
        <v>2.1756750925103518</v>
      </c>
      <c r="N813" s="214">
        <f t="shared" si="147"/>
        <v>13.173625377973055</v>
      </c>
      <c r="O813" s="225" t="str">
        <f t="shared" si="148"/>
        <v>7-8 years</v>
      </c>
      <c r="P813" s="226">
        <f t="shared" si="149"/>
        <v>0.26027397260273971</v>
      </c>
      <c r="Q813" s="227">
        <f>$D813*P813*_xlfn.XLOOKUP($O813,'Sample Size cal and results'!$B$26:$B$27,'Sample Size cal and results'!$I$26:$I$27)</f>
        <v>2.705897644836238</v>
      </c>
      <c r="R813" s="330"/>
    </row>
    <row r="814" spans="1:18" ht="12.75">
      <c r="A814" s="99" t="s">
        <v>145</v>
      </c>
      <c r="B814" s="100">
        <v>41793</v>
      </c>
      <c r="C814" s="100">
        <f t="shared" si="139"/>
        <v>44349</v>
      </c>
      <c r="D814" s="209">
        <v>50</v>
      </c>
      <c r="E814" s="217">
        <f t="shared" si="140"/>
        <v>5.74</v>
      </c>
      <c r="F814" s="218">
        <f t="shared" si="141"/>
        <v>6.74</v>
      </c>
      <c r="G814" s="219">
        <f t="shared" si="142"/>
        <v>6.74</v>
      </c>
      <c r="H814" s="220">
        <f t="shared" si="143"/>
        <v>7.74</v>
      </c>
      <c r="I814" s="257" t="str">
        <f t="shared" si="144"/>
        <v>6-7 years</v>
      </c>
      <c r="J814" s="211">
        <f t="shared" si="145"/>
        <v>0.83835616438356164</v>
      </c>
      <c r="K814" s="258">
        <f>$D814*J814*_xlfn.XLOOKUP($I814,'Sample Size cal and results'!$B$24:$B$25,'Sample Size cal and results'!$H$24:$H$25)</f>
        <v>34.368594642070946</v>
      </c>
      <c r="L814" s="211">
        <f t="shared" si="146"/>
        <v>0.16164383561643836</v>
      </c>
      <c r="M814" s="211">
        <f>$D814*L814*_xlfn.XLOOKUP($I814,'Sample Size cal and results'!$B$24:$B$25,'Sample Size cal and results'!$I$24:$I$25)</f>
        <v>6.7989846640948484</v>
      </c>
      <c r="N814" s="214">
        <f t="shared" si="147"/>
        <v>41.167579306165791</v>
      </c>
      <c r="O814" s="225" t="str">
        <f t="shared" si="148"/>
        <v>7-8 years</v>
      </c>
      <c r="P814" s="226">
        <f t="shared" si="149"/>
        <v>0.25753424657534246</v>
      </c>
      <c r="Q814" s="227">
        <f>$D814*P814*_xlfn.XLOOKUP($O814,'Sample Size cal and results'!$B$26:$B$27,'Sample Size cal and results'!$I$26:$I$27)</f>
        <v>8.3669203491646833</v>
      </c>
      <c r="R814" s="330"/>
    </row>
    <row r="815" spans="1:18" ht="12.75">
      <c r="A815" s="99" t="s">
        <v>143</v>
      </c>
      <c r="B815" s="100">
        <v>41793</v>
      </c>
      <c r="C815" s="100">
        <f t="shared" si="139"/>
        <v>44349</v>
      </c>
      <c r="D815" s="209">
        <v>15</v>
      </c>
      <c r="E815" s="217">
        <f t="shared" si="140"/>
        <v>5.74</v>
      </c>
      <c r="F815" s="218">
        <f t="shared" si="141"/>
        <v>6.74</v>
      </c>
      <c r="G815" s="219">
        <f t="shared" si="142"/>
        <v>6.74</v>
      </c>
      <c r="H815" s="220">
        <f t="shared" si="143"/>
        <v>7.74</v>
      </c>
      <c r="I815" s="257" t="str">
        <f t="shared" si="144"/>
        <v>6-7 years</v>
      </c>
      <c r="J815" s="211">
        <f t="shared" si="145"/>
        <v>0.83835616438356164</v>
      </c>
      <c r="K815" s="258">
        <f>$D815*J815*_xlfn.XLOOKUP($I815,'Sample Size cal and results'!$B$24:$B$25,'Sample Size cal and results'!$H$24:$H$25)</f>
        <v>10.310578392621284</v>
      </c>
      <c r="L815" s="211">
        <f t="shared" si="146"/>
        <v>0.16164383561643836</v>
      </c>
      <c r="M815" s="211">
        <f>$D815*L815*_xlfn.XLOOKUP($I815,'Sample Size cal and results'!$B$24:$B$25,'Sample Size cal and results'!$I$24:$I$25)</f>
        <v>2.0396953992284548</v>
      </c>
      <c r="N815" s="214">
        <f t="shared" si="147"/>
        <v>12.350273791849739</v>
      </c>
      <c r="O815" s="225" t="str">
        <f t="shared" si="148"/>
        <v>7-8 years</v>
      </c>
      <c r="P815" s="226">
        <f t="shared" si="149"/>
        <v>0.25753424657534246</v>
      </c>
      <c r="Q815" s="227">
        <f>$D815*P815*_xlfn.XLOOKUP($O815,'Sample Size cal and results'!$B$26:$B$27,'Sample Size cal and results'!$I$26:$I$27)</f>
        <v>2.5100761047494053</v>
      </c>
      <c r="R815" s="330"/>
    </row>
    <row r="816" spans="1:18" ht="12.75">
      <c r="A816" s="99" t="s">
        <v>145</v>
      </c>
      <c r="B816" s="100">
        <v>41792</v>
      </c>
      <c r="C816" s="100">
        <f t="shared" si="139"/>
        <v>44348</v>
      </c>
      <c r="D816" s="209">
        <v>53</v>
      </c>
      <c r="E816" s="217">
        <f t="shared" si="140"/>
        <v>5.74</v>
      </c>
      <c r="F816" s="218">
        <f t="shared" si="141"/>
        <v>6.74</v>
      </c>
      <c r="G816" s="219">
        <f t="shared" si="142"/>
        <v>6.74</v>
      </c>
      <c r="H816" s="220">
        <f t="shared" si="143"/>
        <v>7.74</v>
      </c>
      <c r="I816" s="257" t="str">
        <f t="shared" si="144"/>
        <v>6-7 years</v>
      </c>
      <c r="J816" s="211">
        <f t="shared" si="145"/>
        <v>0.83835616438356164</v>
      </c>
      <c r="K816" s="258">
        <f>$D816*J816*_xlfn.XLOOKUP($I816,'Sample Size cal and results'!$B$24:$B$25,'Sample Size cal and results'!$H$24:$H$25)</f>
        <v>36.430710320595203</v>
      </c>
      <c r="L816" s="211">
        <f t="shared" si="146"/>
        <v>0.16164383561643836</v>
      </c>
      <c r="M816" s="211">
        <f>$D816*L816*_xlfn.XLOOKUP($I816,'Sample Size cal and results'!$B$24:$B$25,'Sample Size cal and results'!$I$24:$I$25)</f>
        <v>7.20692374394054</v>
      </c>
      <c r="N816" s="214">
        <f t="shared" si="147"/>
        <v>43.637634064535746</v>
      </c>
      <c r="O816" s="225" t="str">
        <f t="shared" si="148"/>
        <v>7-8 years</v>
      </c>
      <c r="P816" s="226">
        <f t="shared" si="149"/>
        <v>0.25479452054794521</v>
      </c>
      <c r="Q816" s="227">
        <f>$D816*P816*_xlfn.XLOOKUP($O816,'Sample Size cal and results'!$B$26:$B$27,'Sample Size cal and results'!$I$26:$I$27)</f>
        <v>8.7745851917090913</v>
      </c>
      <c r="R816" s="330"/>
    </row>
    <row r="817" spans="1:18" ht="12.75">
      <c r="A817" s="99" t="s">
        <v>143</v>
      </c>
      <c r="B817" s="100">
        <v>41792</v>
      </c>
      <c r="C817" s="100">
        <f t="shared" si="139"/>
        <v>44348</v>
      </c>
      <c r="D817" s="209">
        <v>20</v>
      </c>
      <c r="E817" s="217">
        <f t="shared" si="140"/>
        <v>5.74</v>
      </c>
      <c r="F817" s="218">
        <f t="shared" si="141"/>
        <v>6.74</v>
      </c>
      <c r="G817" s="219">
        <f t="shared" si="142"/>
        <v>6.74</v>
      </c>
      <c r="H817" s="220">
        <f t="shared" si="143"/>
        <v>7.74</v>
      </c>
      <c r="I817" s="257" t="str">
        <f t="shared" si="144"/>
        <v>6-7 years</v>
      </c>
      <c r="J817" s="211">
        <f t="shared" si="145"/>
        <v>0.83835616438356164</v>
      </c>
      <c r="K817" s="258">
        <f>$D817*J817*_xlfn.XLOOKUP($I817,'Sample Size cal and results'!$B$24:$B$25,'Sample Size cal and results'!$H$24:$H$25)</f>
        <v>13.747437856828379</v>
      </c>
      <c r="L817" s="211">
        <f t="shared" si="146"/>
        <v>0.16164383561643836</v>
      </c>
      <c r="M817" s="211">
        <f>$D817*L817*_xlfn.XLOOKUP($I817,'Sample Size cal and results'!$B$24:$B$25,'Sample Size cal and results'!$I$24:$I$25)</f>
        <v>2.7195938656379397</v>
      </c>
      <c r="N817" s="214">
        <f t="shared" si="147"/>
        <v>16.467031722466317</v>
      </c>
      <c r="O817" s="225" t="str">
        <f t="shared" si="148"/>
        <v>7-8 years</v>
      </c>
      <c r="P817" s="226">
        <f t="shared" si="149"/>
        <v>0.25479452054794521</v>
      </c>
      <c r="Q817" s="227">
        <f>$D817*P817*_xlfn.XLOOKUP($O817,'Sample Size cal and results'!$B$26:$B$27,'Sample Size cal and results'!$I$26:$I$27)</f>
        <v>3.3111642232864495</v>
      </c>
      <c r="R817" s="330"/>
    </row>
    <row r="818" spans="1:18" ht="12.75">
      <c r="A818" s="99" t="s">
        <v>145</v>
      </c>
      <c r="B818" s="100">
        <v>41791</v>
      </c>
      <c r="C818" s="100">
        <f t="shared" si="139"/>
        <v>44347</v>
      </c>
      <c r="D818" s="209">
        <v>39</v>
      </c>
      <c r="E818" s="217">
        <f t="shared" si="140"/>
        <v>5.74</v>
      </c>
      <c r="F818" s="218">
        <f t="shared" si="141"/>
        <v>6.74</v>
      </c>
      <c r="G818" s="219">
        <f t="shared" si="142"/>
        <v>6.74</v>
      </c>
      <c r="H818" s="220">
        <f t="shared" si="143"/>
        <v>7.74</v>
      </c>
      <c r="I818" s="257" t="str">
        <f t="shared" si="144"/>
        <v>6-7 years</v>
      </c>
      <c r="J818" s="211">
        <f t="shared" si="145"/>
        <v>0.83835616438356164</v>
      </c>
      <c r="K818" s="258">
        <f>$D818*J818*_xlfn.XLOOKUP($I818,'Sample Size cal and results'!$B$24:$B$25,'Sample Size cal and results'!$H$24:$H$25)</f>
        <v>26.807503820815338</v>
      </c>
      <c r="L818" s="211">
        <f t="shared" si="146"/>
        <v>0.16164383561643836</v>
      </c>
      <c r="M818" s="211">
        <f>$D818*L818*_xlfn.XLOOKUP($I818,'Sample Size cal and results'!$B$24:$B$25,'Sample Size cal and results'!$I$24:$I$25)</f>
        <v>5.3032080379939828</v>
      </c>
      <c r="N818" s="214">
        <f t="shared" si="147"/>
        <v>32.110711858809324</v>
      </c>
      <c r="O818" s="225" t="str">
        <f t="shared" si="148"/>
        <v>7-8 years</v>
      </c>
      <c r="P818" s="226">
        <f t="shared" si="149"/>
        <v>0.25205479452054796</v>
      </c>
      <c r="Q818" s="227">
        <f>$D818*P818*_xlfn.XLOOKUP($O818,'Sample Size cal and results'!$B$26:$B$27,'Sample Size cal and results'!$I$26:$I$27)</f>
        <v>6.3873425984686998</v>
      </c>
      <c r="R818" s="330"/>
    </row>
    <row r="819" spans="1:18" ht="12.75">
      <c r="A819" s="99" t="s">
        <v>143</v>
      </c>
      <c r="B819" s="100">
        <v>41791</v>
      </c>
      <c r="C819" s="100">
        <f t="shared" si="139"/>
        <v>44347</v>
      </c>
      <c r="D819" s="209">
        <v>3</v>
      </c>
      <c r="E819" s="217">
        <f t="shared" si="140"/>
        <v>5.74</v>
      </c>
      <c r="F819" s="218">
        <f t="shared" si="141"/>
        <v>6.74</v>
      </c>
      <c r="G819" s="219">
        <f t="shared" si="142"/>
        <v>6.74</v>
      </c>
      <c r="H819" s="220">
        <f t="shared" si="143"/>
        <v>7.74</v>
      </c>
      <c r="I819" s="257" t="str">
        <f t="shared" si="144"/>
        <v>6-7 years</v>
      </c>
      <c r="J819" s="211">
        <f t="shared" si="145"/>
        <v>0.83835616438356164</v>
      </c>
      <c r="K819" s="258">
        <f>$D819*J819*_xlfn.XLOOKUP($I819,'Sample Size cal and results'!$B$24:$B$25,'Sample Size cal and results'!$H$24:$H$25)</f>
        <v>2.0621156785242567</v>
      </c>
      <c r="L819" s="211">
        <f t="shared" si="146"/>
        <v>0.16164383561643836</v>
      </c>
      <c r="M819" s="211">
        <f>$D819*L819*_xlfn.XLOOKUP($I819,'Sample Size cal and results'!$B$24:$B$25,'Sample Size cal and results'!$I$24:$I$25)</f>
        <v>0.40793907984569094</v>
      </c>
      <c r="N819" s="214">
        <f t="shared" si="147"/>
        <v>2.4700547583699475</v>
      </c>
      <c r="O819" s="225" t="str">
        <f t="shared" si="148"/>
        <v>7-8 years</v>
      </c>
      <c r="P819" s="226">
        <f t="shared" si="149"/>
        <v>0.25205479452054796</v>
      </c>
      <c r="Q819" s="227">
        <f>$D819*P819*_xlfn.XLOOKUP($O819,'Sample Size cal and results'!$B$26:$B$27,'Sample Size cal and results'!$I$26:$I$27)</f>
        <v>0.4913340460360538</v>
      </c>
      <c r="R819" s="330"/>
    </row>
    <row r="820" spans="1:18" ht="12.75">
      <c r="A820" s="99" t="s">
        <v>145</v>
      </c>
      <c r="B820" s="100">
        <v>41790</v>
      </c>
      <c r="C820" s="100">
        <f t="shared" si="139"/>
        <v>44346</v>
      </c>
      <c r="D820" s="209">
        <v>29</v>
      </c>
      <c r="E820" s="217">
        <f t="shared" si="140"/>
        <v>5.75</v>
      </c>
      <c r="F820" s="218">
        <f t="shared" si="141"/>
        <v>6.74</v>
      </c>
      <c r="G820" s="219">
        <f t="shared" si="142"/>
        <v>6.75</v>
      </c>
      <c r="H820" s="220">
        <f t="shared" si="143"/>
        <v>7.74</v>
      </c>
      <c r="I820" s="257" t="str">
        <f t="shared" si="144"/>
        <v>6-7 years</v>
      </c>
      <c r="J820" s="211">
        <f t="shared" si="145"/>
        <v>0.83835616438356164</v>
      </c>
      <c r="K820" s="258">
        <f>$D820*J820*_xlfn.XLOOKUP($I820,'Sample Size cal and results'!$B$24:$B$25,'Sample Size cal and results'!$H$24:$H$25)</f>
        <v>19.93378489240115</v>
      </c>
      <c r="L820" s="211">
        <f t="shared" si="146"/>
        <v>0.16164383561643836</v>
      </c>
      <c r="M820" s="211">
        <f>$D820*L820*_xlfn.XLOOKUP($I820,'Sample Size cal and results'!$B$24:$B$25,'Sample Size cal and results'!$I$24:$I$25)</f>
        <v>3.9434111051750125</v>
      </c>
      <c r="N820" s="214">
        <f t="shared" si="147"/>
        <v>23.877195997576163</v>
      </c>
      <c r="O820" s="225" t="str">
        <f t="shared" si="148"/>
        <v>7-8 years</v>
      </c>
      <c r="P820" s="226">
        <f t="shared" si="149"/>
        <v>0.24931506849315069</v>
      </c>
      <c r="Q820" s="227">
        <f>$D820*P820*_xlfn.XLOOKUP($O820,'Sample Size cal and results'!$B$26:$B$27,'Sample Size cal and results'!$I$26:$I$27)</f>
        <v>4.6979367662650215</v>
      </c>
      <c r="R820" s="330"/>
    </row>
    <row r="821" spans="1:18" ht="12.75">
      <c r="A821" s="99" t="s">
        <v>143</v>
      </c>
      <c r="B821" s="100">
        <v>41790</v>
      </c>
      <c r="C821" s="100">
        <f t="shared" si="139"/>
        <v>44346</v>
      </c>
      <c r="D821" s="209">
        <v>14</v>
      </c>
      <c r="E821" s="217">
        <f t="shared" si="140"/>
        <v>5.75</v>
      </c>
      <c r="F821" s="218">
        <f t="shared" si="141"/>
        <v>6.74</v>
      </c>
      <c r="G821" s="219">
        <f t="shared" si="142"/>
        <v>6.75</v>
      </c>
      <c r="H821" s="220">
        <f t="shared" si="143"/>
        <v>7.74</v>
      </c>
      <c r="I821" s="257" t="str">
        <f t="shared" si="144"/>
        <v>6-7 years</v>
      </c>
      <c r="J821" s="211">
        <f t="shared" si="145"/>
        <v>0.83835616438356164</v>
      </c>
      <c r="K821" s="258">
        <f>$D821*J821*_xlfn.XLOOKUP($I821,'Sample Size cal and results'!$B$24:$B$25,'Sample Size cal and results'!$H$24:$H$25)</f>
        <v>9.6232064997798652</v>
      </c>
      <c r="L821" s="211">
        <f t="shared" si="146"/>
        <v>0.16164383561643836</v>
      </c>
      <c r="M821" s="211">
        <f>$D821*L821*_xlfn.XLOOKUP($I821,'Sample Size cal and results'!$B$24:$B$25,'Sample Size cal and results'!$I$24:$I$25)</f>
        <v>1.9037157059465575</v>
      </c>
      <c r="N821" s="214">
        <f t="shared" si="147"/>
        <v>11.526922205726423</v>
      </c>
      <c r="O821" s="225" t="str">
        <f t="shared" si="148"/>
        <v>7-8 years</v>
      </c>
      <c r="P821" s="226">
        <f t="shared" si="149"/>
        <v>0.24931506849315069</v>
      </c>
      <c r="Q821" s="227">
        <f>$D821*P821*_xlfn.XLOOKUP($O821,'Sample Size cal and results'!$B$26:$B$27,'Sample Size cal and results'!$I$26:$I$27)</f>
        <v>2.267969473369321</v>
      </c>
      <c r="R821" s="330"/>
    </row>
    <row r="822" spans="1:18" ht="12.75">
      <c r="A822" s="99" t="s">
        <v>145</v>
      </c>
      <c r="B822" s="100">
        <v>41789</v>
      </c>
      <c r="C822" s="100">
        <f t="shared" si="139"/>
        <v>44345</v>
      </c>
      <c r="D822" s="209">
        <v>60</v>
      </c>
      <c r="E822" s="217">
        <f t="shared" si="140"/>
        <v>5.75</v>
      </c>
      <c r="F822" s="218">
        <f t="shared" si="141"/>
        <v>6.75</v>
      </c>
      <c r="G822" s="219">
        <f t="shared" si="142"/>
        <v>6.75</v>
      </c>
      <c r="H822" s="220">
        <f t="shared" si="143"/>
        <v>7.75</v>
      </c>
      <c r="I822" s="257" t="str">
        <f t="shared" si="144"/>
        <v>6-7 years</v>
      </c>
      <c r="J822" s="211">
        <f t="shared" si="145"/>
        <v>0.83835616438356164</v>
      </c>
      <c r="K822" s="258">
        <f>$D822*J822*_xlfn.XLOOKUP($I822,'Sample Size cal and results'!$B$24:$B$25,'Sample Size cal and results'!$H$24:$H$25)</f>
        <v>41.242313570485138</v>
      </c>
      <c r="L822" s="211">
        <f t="shared" si="146"/>
        <v>0.16164383561643836</v>
      </c>
      <c r="M822" s="211">
        <f>$D822*L822*_xlfn.XLOOKUP($I822,'Sample Size cal and results'!$B$24:$B$25,'Sample Size cal and results'!$I$24:$I$25)</f>
        <v>8.1587815969138191</v>
      </c>
      <c r="N822" s="214">
        <f t="shared" si="147"/>
        <v>49.401095167398957</v>
      </c>
      <c r="O822" s="225" t="str">
        <f t="shared" si="148"/>
        <v>7-8 years</v>
      </c>
      <c r="P822" s="226">
        <f t="shared" si="149"/>
        <v>0.24657534246575341</v>
      </c>
      <c r="Q822" s="227">
        <f>$D822*P822*_xlfn.XLOOKUP($O822,'Sample Size cal and results'!$B$26:$B$27,'Sample Size cal and results'!$I$26:$I$27)</f>
        <v>9.6130574224445304</v>
      </c>
      <c r="R822" s="330"/>
    </row>
    <row r="823" spans="1:18" ht="12.75">
      <c r="A823" s="99" t="s">
        <v>143</v>
      </c>
      <c r="B823" s="100">
        <v>41789</v>
      </c>
      <c r="C823" s="100">
        <f t="shared" si="139"/>
        <v>44345</v>
      </c>
      <c r="D823" s="209">
        <v>20</v>
      </c>
      <c r="E823" s="217">
        <f t="shared" si="140"/>
        <v>5.75</v>
      </c>
      <c r="F823" s="218">
        <f t="shared" si="141"/>
        <v>6.75</v>
      </c>
      <c r="G823" s="219">
        <f t="shared" si="142"/>
        <v>6.75</v>
      </c>
      <c r="H823" s="220">
        <f t="shared" si="143"/>
        <v>7.75</v>
      </c>
      <c r="I823" s="257" t="str">
        <f t="shared" si="144"/>
        <v>6-7 years</v>
      </c>
      <c r="J823" s="211">
        <f t="shared" si="145"/>
        <v>0.83835616438356164</v>
      </c>
      <c r="K823" s="258">
        <f>$D823*J823*_xlfn.XLOOKUP($I823,'Sample Size cal and results'!$B$24:$B$25,'Sample Size cal and results'!$H$24:$H$25)</f>
        <v>13.747437856828379</v>
      </c>
      <c r="L823" s="211">
        <f t="shared" si="146"/>
        <v>0.16164383561643836</v>
      </c>
      <c r="M823" s="211">
        <f>$D823*L823*_xlfn.XLOOKUP($I823,'Sample Size cal and results'!$B$24:$B$25,'Sample Size cal and results'!$I$24:$I$25)</f>
        <v>2.7195938656379397</v>
      </c>
      <c r="N823" s="214">
        <f t="shared" si="147"/>
        <v>16.467031722466317</v>
      </c>
      <c r="O823" s="225" t="str">
        <f t="shared" si="148"/>
        <v>7-8 years</v>
      </c>
      <c r="P823" s="226">
        <f t="shared" si="149"/>
        <v>0.24657534246575341</v>
      </c>
      <c r="Q823" s="227">
        <f>$D823*P823*_xlfn.XLOOKUP($O823,'Sample Size cal and results'!$B$26:$B$27,'Sample Size cal and results'!$I$26:$I$27)</f>
        <v>3.2043524741481768</v>
      </c>
      <c r="R823" s="330"/>
    </row>
    <row r="824" spans="1:18" ht="12.75">
      <c r="A824" s="99" t="s">
        <v>145</v>
      </c>
      <c r="B824" s="100">
        <v>41788</v>
      </c>
      <c r="C824" s="100">
        <f t="shared" si="139"/>
        <v>44344</v>
      </c>
      <c r="D824" s="209">
        <v>64</v>
      </c>
      <c r="E824" s="217">
        <f t="shared" si="140"/>
        <v>5.75</v>
      </c>
      <c r="F824" s="218">
        <f t="shared" si="141"/>
        <v>6.75</v>
      </c>
      <c r="G824" s="219">
        <f t="shared" si="142"/>
        <v>6.75</v>
      </c>
      <c r="H824" s="220">
        <f t="shared" si="143"/>
        <v>7.75</v>
      </c>
      <c r="I824" s="257" t="str">
        <f t="shared" si="144"/>
        <v>6-7 years</v>
      </c>
      <c r="J824" s="211">
        <f t="shared" si="145"/>
        <v>0.83835616438356164</v>
      </c>
      <c r="K824" s="258">
        <f>$D824*J824*_xlfn.XLOOKUP($I824,'Sample Size cal and results'!$B$24:$B$25,'Sample Size cal and results'!$H$24:$H$25)</f>
        <v>43.991801141850814</v>
      </c>
      <c r="L824" s="211">
        <f t="shared" si="146"/>
        <v>0.16164383561643836</v>
      </c>
      <c r="M824" s="211">
        <f>$D824*L824*_xlfn.XLOOKUP($I824,'Sample Size cal and results'!$B$24:$B$25,'Sample Size cal and results'!$I$24:$I$25)</f>
        <v>8.7027003700414074</v>
      </c>
      <c r="N824" s="214">
        <f t="shared" si="147"/>
        <v>52.69450151189222</v>
      </c>
      <c r="O824" s="225" t="str">
        <f t="shared" si="148"/>
        <v>7-8 years</v>
      </c>
      <c r="P824" s="226">
        <f t="shared" si="149"/>
        <v>0.24383561643835616</v>
      </c>
      <c r="Q824" s="227">
        <f>$D824*P824*_xlfn.XLOOKUP($O824,'Sample Size cal and results'!$B$26:$B$27,'Sample Size cal and results'!$I$26:$I$27)</f>
        <v>10.139995384860008</v>
      </c>
      <c r="R824" s="330"/>
    </row>
    <row r="825" spans="1:18" ht="12.75">
      <c r="A825" s="99" t="s">
        <v>143</v>
      </c>
      <c r="B825" s="100">
        <v>41788</v>
      </c>
      <c r="C825" s="100">
        <f t="shared" si="139"/>
        <v>44344</v>
      </c>
      <c r="D825" s="209">
        <v>25</v>
      </c>
      <c r="E825" s="217">
        <f t="shared" si="140"/>
        <v>5.75</v>
      </c>
      <c r="F825" s="218">
        <f t="shared" si="141"/>
        <v>6.75</v>
      </c>
      <c r="G825" s="219">
        <f t="shared" si="142"/>
        <v>6.75</v>
      </c>
      <c r="H825" s="220">
        <f t="shared" si="143"/>
        <v>7.75</v>
      </c>
      <c r="I825" s="257" t="str">
        <f t="shared" si="144"/>
        <v>6-7 years</v>
      </c>
      <c r="J825" s="211">
        <f t="shared" si="145"/>
        <v>0.83835616438356164</v>
      </c>
      <c r="K825" s="258">
        <f>$D825*J825*_xlfn.XLOOKUP($I825,'Sample Size cal and results'!$B$24:$B$25,'Sample Size cal and results'!$H$24:$H$25)</f>
        <v>17.184297321035473</v>
      </c>
      <c r="L825" s="211">
        <f t="shared" si="146"/>
        <v>0.16164383561643836</v>
      </c>
      <c r="M825" s="211">
        <f>$D825*L825*_xlfn.XLOOKUP($I825,'Sample Size cal and results'!$B$24:$B$25,'Sample Size cal and results'!$I$24:$I$25)</f>
        <v>3.3994923320474242</v>
      </c>
      <c r="N825" s="214">
        <f t="shared" si="147"/>
        <v>20.583789653082896</v>
      </c>
      <c r="O825" s="225" t="str">
        <f t="shared" si="148"/>
        <v>7-8 years</v>
      </c>
      <c r="P825" s="226">
        <f t="shared" si="149"/>
        <v>0.24383561643835616</v>
      </c>
      <c r="Q825" s="227">
        <f>$D825*P825*_xlfn.XLOOKUP($O825,'Sample Size cal and results'!$B$26:$B$27,'Sample Size cal and results'!$I$26:$I$27)</f>
        <v>3.9609356972109406</v>
      </c>
      <c r="R825" s="330"/>
    </row>
    <row r="826" spans="1:18" ht="12.75">
      <c r="A826" s="99" t="s">
        <v>145</v>
      </c>
      <c r="B826" s="100">
        <v>41787</v>
      </c>
      <c r="C826" s="100">
        <f t="shared" si="139"/>
        <v>44343</v>
      </c>
      <c r="D826" s="209">
        <v>69</v>
      </c>
      <c r="E826" s="217">
        <f t="shared" si="140"/>
        <v>5.75</v>
      </c>
      <c r="F826" s="218">
        <f t="shared" si="141"/>
        <v>6.75</v>
      </c>
      <c r="G826" s="219">
        <f t="shared" si="142"/>
        <v>6.75</v>
      </c>
      <c r="H826" s="220">
        <f t="shared" si="143"/>
        <v>7.75</v>
      </c>
      <c r="I826" s="257" t="str">
        <f t="shared" si="144"/>
        <v>6-7 years</v>
      </c>
      <c r="J826" s="211">
        <f t="shared" si="145"/>
        <v>0.83835616438356164</v>
      </c>
      <c r="K826" s="258">
        <f>$D826*J826*_xlfn.XLOOKUP($I826,'Sample Size cal and results'!$B$24:$B$25,'Sample Size cal and results'!$H$24:$H$25)</f>
        <v>47.42866060605791</v>
      </c>
      <c r="L826" s="211">
        <f t="shared" si="146"/>
        <v>0.16164383561643836</v>
      </c>
      <c r="M826" s="211">
        <f>$D826*L826*_xlfn.XLOOKUP($I826,'Sample Size cal and results'!$B$24:$B$25,'Sample Size cal and results'!$I$24:$I$25)</f>
        <v>9.3825988364508923</v>
      </c>
      <c r="N826" s="214">
        <f t="shared" si="147"/>
        <v>56.811259442508799</v>
      </c>
      <c r="O826" s="225" t="str">
        <f t="shared" si="148"/>
        <v>7-8 years</v>
      </c>
      <c r="P826" s="226">
        <f t="shared" si="149"/>
        <v>0.24109589041095891</v>
      </c>
      <c r="Q826" s="227">
        <f>$D826*P826*_xlfn.XLOOKUP($O826,'Sample Size cal and results'!$B$26:$B$27,'Sample Size cal and results'!$I$26:$I$27)</f>
        <v>10.809349012793184</v>
      </c>
      <c r="R826" s="330"/>
    </row>
    <row r="827" spans="1:18" ht="12.75">
      <c r="A827" s="99" t="s">
        <v>143</v>
      </c>
      <c r="B827" s="100">
        <v>41787</v>
      </c>
      <c r="C827" s="100">
        <f t="shared" si="139"/>
        <v>44343</v>
      </c>
      <c r="D827" s="209">
        <v>24</v>
      </c>
      <c r="E827" s="217">
        <f t="shared" si="140"/>
        <v>5.75</v>
      </c>
      <c r="F827" s="218">
        <f t="shared" si="141"/>
        <v>6.75</v>
      </c>
      <c r="G827" s="219">
        <f t="shared" si="142"/>
        <v>6.75</v>
      </c>
      <c r="H827" s="220">
        <f t="shared" si="143"/>
        <v>7.75</v>
      </c>
      <c r="I827" s="257" t="str">
        <f t="shared" si="144"/>
        <v>6-7 years</v>
      </c>
      <c r="J827" s="211">
        <f t="shared" si="145"/>
        <v>0.83835616438356164</v>
      </c>
      <c r="K827" s="258">
        <f>$D827*J827*_xlfn.XLOOKUP($I827,'Sample Size cal and results'!$B$24:$B$25,'Sample Size cal and results'!$H$24:$H$25)</f>
        <v>16.496925428194054</v>
      </c>
      <c r="L827" s="211">
        <f t="shared" si="146"/>
        <v>0.16164383561643836</v>
      </c>
      <c r="M827" s="211">
        <f>$D827*L827*_xlfn.XLOOKUP($I827,'Sample Size cal and results'!$B$24:$B$25,'Sample Size cal and results'!$I$24:$I$25)</f>
        <v>3.2635126387655276</v>
      </c>
      <c r="N827" s="214">
        <f t="shared" si="147"/>
        <v>19.76043806695958</v>
      </c>
      <c r="O827" s="225" t="str">
        <f t="shared" si="148"/>
        <v>7-8 years</v>
      </c>
      <c r="P827" s="226">
        <f t="shared" si="149"/>
        <v>0.24109589041095891</v>
      </c>
      <c r="Q827" s="227">
        <f>$D827*P827*_xlfn.XLOOKUP($O827,'Sample Size cal and results'!$B$26:$B$27,'Sample Size cal and results'!$I$26:$I$27)</f>
        <v>3.7597735696671943</v>
      </c>
      <c r="R827" s="330"/>
    </row>
    <row r="828" spans="1:18" ht="12.75">
      <c r="A828" s="99" t="s">
        <v>145</v>
      </c>
      <c r="B828" s="100">
        <v>41786</v>
      </c>
      <c r="C828" s="100">
        <f t="shared" si="139"/>
        <v>44342</v>
      </c>
      <c r="D828" s="209">
        <v>60</v>
      </c>
      <c r="E828" s="217">
        <f t="shared" si="140"/>
        <v>5.76</v>
      </c>
      <c r="F828" s="218">
        <f t="shared" si="141"/>
        <v>6.75</v>
      </c>
      <c r="G828" s="219">
        <f t="shared" si="142"/>
        <v>6.76</v>
      </c>
      <c r="H828" s="220">
        <f t="shared" si="143"/>
        <v>7.75</v>
      </c>
      <c r="I828" s="257" t="str">
        <f t="shared" si="144"/>
        <v>6-7 years</v>
      </c>
      <c r="J828" s="211">
        <f t="shared" si="145"/>
        <v>0.83835616438356164</v>
      </c>
      <c r="K828" s="258">
        <f>$D828*J828*_xlfn.XLOOKUP($I828,'Sample Size cal and results'!$B$24:$B$25,'Sample Size cal and results'!$H$24:$H$25)</f>
        <v>41.242313570485138</v>
      </c>
      <c r="L828" s="211">
        <f t="shared" si="146"/>
        <v>0.16164383561643836</v>
      </c>
      <c r="M828" s="211">
        <f>$D828*L828*_xlfn.XLOOKUP($I828,'Sample Size cal and results'!$B$24:$B$25,'Sample Size cal and results'!$I$24:$I$25)</f>
        <v>8.1587815969138191</v>
      </c>
      <c r="N828" s="214">
        <f t="shared" si="147"/>
        <v>49.401095167398957</v>
      </c>
      <c r="O828" s="225" t="str">
        <f t="shared" si="148"/>
        <v>7-8 years</v>
      </c>
      <c r="P828" s="226">
        <f t="shared" si="149"/>
        <v>0.23835616438356164</v>
      </c>
      <c r="Q828" s="227">
        <f>$D828*P828*_xlfn.XLOOKUP($O828,'Sample Size cal and results'!$B$26:$B$27,'Sample Size cal and results'!$I$26:$I$27)</f>
        <v>9.2926221750297131</v>
      </c>
      <c r="R828" s="330"/>
    </row>
    <row r="829" spans="1:18" ht="12.75">
      <c r="A829" s="99" t="s">
        <v>143</v>
      </c>
      <c r="B829" s="100">
        <v>41786</v>
      </c>
      <c r="C829" s="100">
        <f t="shared" si="139"/>
        <v>44342</v>
      </c>
      <c r="D829" s="209">
        <v>35</v>
      </c>
      <c r="E829" s="217">
        <f t="shared" si="140"/>
        <v>5.76</v>
      </c>
      <c r="F829" s="218">
        <f t="shared" si="141"/>
        <v>6.75</v>
      </c>
      <c r="G829" s="219">
        <f t="shared" si="142"/>
        <v>6.76</v>
      </c>
      <c r="H829" s="220">
        <f t="shared" si="143"/>
        <v>7.75</v>
      </c>
      <c r="I829" s="257" t="str">
        <f t="shared" si="144"/>
        <v>6-7 years</v>
      </c>
      <c r="J829" s="211">
        <f t="shared" si="145"/>
        <v>0.83835616438356164</v>
      </c>
      <c r="K829" s="258">
        <f>$D829*J829*_xlfn.XLOOKUP($I829,'Sample Size cal and results'!$B$24:$B$25,'Sample Size cal and results'!$H$24:$H$25)</f>
        <v>24.058016249449665</v>
      </c>
      <c r="L829" s="211">
        <f t="shared" si="146"/>
        <v>0.16164383561643836</v>
      </c>
      <c r="M829" s="211">
        <f>$D829*L829*_xlfn.XLOOKUP($I829,'Sample Size cal and results'!$B$24:$B$25,'Sample Size cal and results'!$I$24:$I$25)</f>
        <v>4.7592892648663945</v>
      </c>
      <c r="N829" s="214">
        <f t="shared" si="147"/>
        <v>28.817305514316061</v>
      </c>
      <c r="O829" s="225" t="str">
        <f t="shared" si="148"/>
        <v>7-8 years</v>
      </c>
      <c r="P829" s="226">
        <f t="shared" si="149"/>
        <v>0.23835616438356164</v>
      </c>
      <c r="Q829" s="227">
        <f>$D829*P829*_xlfn.XLOOKUP($O829,'Sample Size cal and results'!$B$26:$B$27,'Sample Size cal and results'!$I$26:$I$27)</f>
        <v>5.4206962687673323</v>
      </c>
      <c r="R829" s="330"/>
    </row>
    <row r="830" spans="1:18" ht="12.75">
      <c r="A830" s="99" t="s">
        <v>145</v>
      </c>
      <c r="B830" s="100">
        <v>41785</v>
      </c>
      <c r="C830" s="100">
        <f t="shared" si="139"/>
        <v>44341</v>
      </c>
      <c r="D830" s="209">
        <v>58</v>
      </c>
      <c r="E830" s="217">
        <f t="shared" si="140"/>
        <v>5.76</v>
      </c>
      <c r="F830" s="218">
        <f t="shared" si="141"/>
        <v>6.76</v>
      </c>
      <c r="G830" s="219">
        <f t="shared" si="142"/>
        <v>6.76</v>
      </c>
      <c r="H830" s="220">
        <f t="shared" si="143"/>
        <v>7.76</v>
      </c>
      <c r="I830" s="257" t="str">
        <f t="shared" si="144"/>
        <v>6-7 years</v>
      </c>
      <c r="J830" s="211">
        <f t="shared" si="145"/>
        <v>0.83835616438356164</v>
      </c>
      <c r="K830" s="258">
        <f>$D830*J830*_xlfn.XLOOKUP($I830,'Sample Size cal and results'!$B$24:$B$25,'Sample Size cal and results'!$H$24:$H$25)</f>
        <v>39.867569784802299</v>
      </c>
      <c r="L830" s="211">
        <f t="shared" si="146"/>
        <v>0.16164383561643836</v>
      </c>
      <c r="M830" s="211">
        <f>$D830*L830*_xlfn.XLOOKUP($I830,'Sample Size cal and results'!$B$24:$B$25,'Sample Size cal and results'!$I$24:$I$25)</f>
        <v>7.886822210350025</v>
      </c>
      <c r="N830" s="214">
        <f t="shared" si="147"/>
        <v>47.754391995152325</v>
      </c>
      <c r="O830" s="225" t="str">
        <f t="shared" si="148"/>
        <v>7-8 years</v>
      </c>
      <c r="P830" s="226">
        <f t="shared" si="149"/>
        <v>0.23561643835616439</v>
      </c>
      <c r="Q830" s="227">
        <f>$D830*P830*_xlfn.XLOOKUP($O830,'Sample Size cal and results'!$B$26:$B$27,'Sample Size cal and results'!$I$26:$I$27)</f>
        <v>8.8796167450283932</v>
      </c>
      <c r="R830" s="330"/>
    </row>
    <row r="831" spans="1:18" ht="12.75">
      <c r="A831" s="99" t="s">
        <v>143</v>
      </c>
      <c r="B831" s="100">
        <v>41785</v>
      </c>
      <c r="C831" s="100">
        <f t="shared" si="139"/>
        <v>44341</v>
      </c>
      <c r="D831" s="209">
        <v>15</v>
      </c>
      <c r="E831" s="217">
        <f t="shared" si="140"/>
        <v>5.76</v>
      </c>
      <c r="F831" s="218">
        <f t="shared" si="141"/>
        <v>6.76</v>
      </c>
      <c r="G831" s="219">
        <f t="shared" si="142"/>
        <v>6.76</v>
      </c>
      <c r="H831" s="220">
        <f t="shared" si="143"/>
        <v>7.76</v>
      </c>
      <c r="I831" s="257" t="str">
        <f t="shared" si="144"/>
        <v>6-7 years</v>
      </c>
      <c r="J831" s="211">
        <f t="shared" si="145"/>
        <v>0.83835616438356164</v>
      </c>
      <c r="K831" s="258">
        <f>$D831*J831*_xlfn.XLOOKUP($I831,'Sample Size cal and results'!$B$24:$B$25,'Sample Size cal and results'!$H$24:$H$25)</f>
        <v>10.310578392621284</v>
      </c>
      <c r="L831" s="211">
        <f t="shared" si="146"/>
        <v>0.16164383561643836</v>
      </c>
      <c r="M831" s="211">
        <f>$D831*L831*_xlfn.XLOOKUP($I831,'Sample Size cal and results'!$B$24:$B$25,'Sample Size cal and results'!$I$24:$I$25)</f>
        <v>2.0396953992284548</v>
      </c>
      <c r="N831" s="214">
        <f t="shared" si="147"/>
        <v>12.350273791849739</v>
      </c>
      <c r="O831" s="225" t="str">
        <f t="shared" si="148"/>
        <v>7-8 years</v>
      </c>
      <c r="P831" s="226">
        <f t="shared" si="149"/>
        <v>0.23561643835616439</v>
      </c>
      <c r="Q831" s="227">
        <f>$D831*P831*_xlfn.XLOOKUP($O831,'Sample Size cal and results'!$B$26:$B$27,'Sample Size cal and results'!$I$26:$I$27)</f>
        <v>2.2964526064728599</v>
      </c>
      <c r="R831" s="330"/>
    </row>
    <row r="832" spans="1:18" ht="12.75">
      <c r="A832" s="99" t="s">
        <v>145</v>
      </c>
      <c r="B832" s="100">
        <v>41784</v>
      </c>
      <c r="C832" s="100">
        <f t="shared" si="139"/>
        <v>44340</v>
      </c>
      <c r="D832" s="209">
        <v>87</v>
      </c>
      <c r="E832" s="217">
        <f t="shared" si="140"/>
        <v>5.76</v>
      </c>
      <c r="F832" s="218">
        <f t="shared" si="141"/>
        <v>6.76</v>
      </c>
      <c r="G832" s="219">
        <f t="shared" si="142"/>
        <v>6.76</v>
      </c>
      <c r="H832" s="220">
        <f t="shared" si="143"/>
        <v>7.76</v>
      </c>
      <c r="I832" s="257" t="str">
        <f t="shared" si="144"/>
        <v>6-7 years</v>
      </c>
      <c r="J832" s="211">
        <f t="shared" si="145"/>
        <v>0.83835616438356164</v>
      </c>
      <c r="K832" s="258">
        <f>$D832*J832*_xlfn.XLOOKUP($I832,'Sample Size cal and results'!$B$24:$B$25,'Sample Size cal and results'!$H$24:$H$25)</f>
        <v>59.801354677203442</v>
      </c>
      <c r="L832" s="211">
        <f t="shared" si="146"/>
        <v>0.16164383561643836</v>
      </c>
      <c r="M832" s="211">
        <f>$D832*L832*_xlfn.XLOOKUP($I832,'Sample Size cal and results'!$B$24:$B$25,'Sample Size cal and results'!$I$24:$I$25)</f>
        <v>11.830233315525037</v>
      </c>
      <c r="N832" s="214">
        <f t="shared" si="147"/>
        <v>71.631587992728484</v>
      </c>
      <c r="O832" s="225" t="str">
        <f t="shared" si="148"/>
        <v>7-8 years</v>
      </c>
      <c r="P832" s="226">
        <f t="shared" si="149"/>
        <v>0.23287671232876711</v>
      </c>
      <c r="Q832" s="227">
        <f>$D832*P832*_xlfn.XLOOKUP($O832,'Sample Size cal and results'!$B$26:$B$27,'Sample Size cal and results'!$I$26:$I$27)</f>
        <v>13.164548081292093</v>
      </c>
      <c r="R832" s="330"/>
    </row>
    <row r="833" spans="1:18" ht="12.75">
      <c r="A833" s="99" t="s">
        <v>143</v>
      </c>
      <c r="B833" s="100">
        <v>41784</v>
      </c>
      <c r="C833" s="100">
        <f t="shared" si="139"/>
        <v>44340</v>
      </c>
      <c r="D833" s="209">
        <v>51</v>
      </c>
      <c r="E833" s="217">
        <f t="shared" si="140"/>
        <v>5.76</v>
      </c>
      <c r="F833" s="218">
        <f t="shared" si="141"/>
        <v>6.76</v>
      </c>
      <c r="G833" s="219">
        <f t="shared" si="142"/>
        <v>6.76</v>
      </c>
      <c r="H833" s="220">
        <f t="shared" si="143"/>
        <v>7.76</v>
      </c>
      <c r="I833" s="257" t="str">
        <f t="shared" si="144"/>
        <v>6-7 years</v>
      </c>
      <c r="J833" s="211">
        <f t="shared" si="145"/>
        <v>0.83835616438356164</v>
      </c>
      <c r="K833" s="258">
        <f>$D833*J833*_xlfn.XLOOKUP($I833,'Sample Size cal and results'!$B$24:$B$25,'Sample Size cal and results'!$H$24:$H$25)</f>
        <v>35.055966534912365</v>
      </c>
      <c r="L833" s="211">
        <f t="shared" si="146"/>
        <v>0.16164383561643836</v>
      </c>
      <c r="M833" s="211">
        <f>$D833*L833*_xlfn.XLOOKUP($I833,'Sample Size cal and results'!$B$24:$B$25,'Sample Size cal and results'!$I$24:$I$25)</f>
        <v>6.9349643573767468</v>
      </c>
      <c r="N833" s="214">
        <f t="shared" si="147"/>
        <v>41.990930892289114</v>
      </c>
      <c r="O833" s="225" t="str">
        <f t="shared" si="148"/>
        <v>7-8 years</v>
      </c>
      <c r="P833" s="226">
        <f t="shared" si="149"/>
        <v>0.23287671232876711</v>
      </c>
      <c r="Q833" s="227">
        <f>$D833*P833*_xlfn.XLOOKUP($O833,'Sample Size cal and results'!$B$26:$B$27,'Sample Size cal and results'!$I$26:$I$27)</f>
        <v>7.7171488752401922</v>
      </c>
      <c r="R833" s="330"/>
    </row>
    <row r="834" spans="1:18" ht="12.75">
      <c r="A834" s="99" t="s">
        <v>145</v>
      </c>
      <c r="B834" s="100">
        <v>41783</v>
      </c>
      <c r="C834" s="100">
        <f t="shared" si="139"/>
        <v>44339</v>
      </c>
      <c r="D834" s="209">
        <v>82</v>
      </c>
      <c r="E834" s="217">
        <f t="shared" si="140"/>
        <v>5.77</v>
      </c>
      <c r="F834" s="218">
        <f t="shared" si="141"/>
        <v>6.76</v>
      </c>
      <c r="G834" s="219">
        <f t="shared" si="142"/>
        <v>6.77</v>
      </c>
      <c r="H834" s="220">
        <f t="shared" si="143"/>
        <v>7.76</v>
      </c>
      <c r="I834" s="257" t="str">
        <f t="shared" si="144"/>
        <v>6-7 years</v>
      </c>
      <c r="J834" s="211">
        <f t="shared" si="145"/>
        <v>0.83835616438356164</v>
      </c>
      <c r="K834" s="258">
        <f>$D834*J834*_xlfn.XLOOKUP($I834,'Sample Size cal and results'!$B$24:$B$25,'Sample Size cal and results'!$H$24:$H$25)</f>
        <v>56.364495212996353</v>
      </c>
      <c r="L834" s="211">
        <f t="shared" si="146"/>
        <v>0.16164383561643836</v>
      </c>
      <c r="M834" s="211">
        <f>$D834*L834*_xlfn.XLOOKUP($I834,'Sample Size cal and results'!$B$24:$B$25,'Sample Size cal and results'!$I$24:$I$25)</f>
        <v>11.150334849115552</v>
      </c>
      <c r="N834" s="214">
        <f t="shared" si="147"/>
        <v>67.514830062111912</v>
      </c>
      <c r="O834" s="225" t="str">
        <f t="shared" si="148"/>
        <v>7-8 years</v>
      </c>
      <c r="P834" s="226">
        <f t="shared" si="149"/>
        <v>0.23013698630136986</v>
      </c>
      <c r="Q834" s="227">
        <f>$D834*P834*_xlfn.XLOOKUP($O834,'Sample Size cal and results'!$B$26:$B$27,'Sample Size cal and results'!$I$26:$I$27)</f>
        <v>12.261988801073691</v>
      </c>
      <c r="R834" s="330"/>
    </row>
    <row r="835" spans="1:18" ht="12.75">
      <c r="A835" s="99" t="s">
        <v>143</v>
      </c>
      <c r="B835" s="100">
        <v>41783</v>
      </c>
      <c r="C835" s="100">
        <f t="shared" ref="C835:C898" si="150">EDATE(B835,84)-1</f>
        <v>44339</v>
      </c>
      <c r="D835" s="209">
        <v>15</v>
      </c>
      <c r="E835" s="217">
        <f t="shared" ref="E835:E898" si="151">ROUNDDOWN(YEARFRAC($B835,$AB$4,1),2)</f>
        <v>5.77</v>
      </c>
      <c r="F835" s="218">
        <f t="shared" ref="F835:F898" si="152">ROUNDDOWN(YEARFRAC($B835,$AB$5,1),2)</f>
        <v>6.76</v>
      </c>
      <c r="G835" s="219">
        <f t="shared" ref="G835:G898" si="153">ROUNDDOWN(YEARFRAC($B835,$AC$4,1),2)</f>
        <v>6.77</v>
      </c>
      <c r="H835" s="220">
        <f t="shared" ref="H835:H898" si="154">ROUNDDOWN(YEARFRAC($B835,$AC$5,1),2)</f>
        <v>7.76</v>
      </c>
      <c r="I835" s="257" t="str">
        <f t="shared" ref="I835:I898" si="155">IF(DATEDIF($B835,$AB$5,"y")=5,"5-6 years","6-7 years")</f>
        <v>6-7 years</v>
      </c>
      <c r="J835" s="211">
        <f t="shared" ref="J835:J898" si="156">MAX(MIN($AC$7,C835)-MAX($AB$4,$B835,_xlfn.XLOOKUP($A835,$AE$3:$AE$37,$AF$3:$AF$37))+1,0)/365</f>
        <v>0.83835616438356164</v>
      </c>
      <c r="K835" s="258">
        <f>$D835*J835*_xlfn.XLOOKUP($I835,'Sample Size cal and results'!$B$24:$B$25,'Sample Size cal and results'!$H$24:$H$25)</f>
        <v>10.310578392621284</v>
      </c>
      <c r="L835" s="211">
        <f t="shared" ref="L835:L898" si="157">MAX(MIN($AB$5,C835)-MAX($AC$8,$B835,_xlfn.XLOOKUP($A835,$AE$3:$AE$37,$AF$3:$AF$37))+1,0)/365</f>
        <v>0.16164383561643836</v>
      </c>
      <c r="M835" s="211">
        <f>$D835*L835*_xlfn.XLOOKUP($I835,'Sample Size cal and results'!$B$24:$B$25,'Sample Size cal and results'!$I$24:$I$25)</f>
        <v>2.0396953992284548</v>
      </c>
      <c r="N835" s="214">
        <f t="shared" ref="N835:N898" si="158">M835+K835</f>
        <v>12.350273791849739</v>
      </c>
      <c r="O835" s="225" t="str">
        <f t="shared" ref="O835:O898" si="159">IF(DATEDIF($B835,$AC$5,"y")=6,"6-7 years","7-8 years")</f>
        <v>7-8 years</v>
      </c>
      <c r="P835" s="226">
        <f t="shared" ref="P835:P898" si="160">MAX(MIN($AC$5,C835)-MAX($AC$4,$B835,_xlfn.XLOOKUP($A835,$AE$3:$AE$37,$AF$3:$AF$37))+1,0)/365</f>
        <v>0.23013698630136986</v>
      </c>
      <c r="Q835" s="227">
        <f>$D835*P835*_xlfn.XLOOKUP($O835,'Sample Size cal and results'!$B$26:$B$27,'Sample Size cal and results'!$I$26:$I$27)</f>
        <v>2.2430467319037239</v>
      </c>
      <c r="R835" s="330"/>
    </row>
    <row r="836" spans="1:18" ht="12.75">
      <c r="A836" s="99" t="s">
        <v>145</v>
      </c>
      <c r="B836" s="100">
        <v>41782</v>
      </c>
      <c r="C836" s="100">
        <f t="shared" si="150"/>
        <v>44338</v>
      </c>
      <c r="D836" s="209">
        <v>77</v>
      </c>
      <c r="E836" s="217">
        <f t="shared" si="151"/>
        <v>5.77</v>
      </c>
      <c r="F836" s="218">
        <f t="shared" si="152"/>
        <v>6.77</v>
      </c>
      <c r="G836" s="219">
        <f t="shared" si="153"/>
        <v>6.77</v>
      </c>
      <c r="H836" s="220">
        <f t="shared" si="154"/>
        <v>7.77</v>
      </c>
      <c r="I836" s="257" t="str">
        <f t="shared" si="155"/>
        <v>6-7 years</v>
      </c>
      <c r="J836" s="211">
        <f t="shared" si="156"/>
        <v>0.83835616438356164</v>
      </c>
      <c r="K836" s="258">
        <f>$D836*J836*_xlfn.XLOOKUP($I836,'Sample Size cal and results'!$B$24:$B$25,'Sample Size cal and results'!$H$24:$H$25)</f>
        <v>52.927635748789264</v>
      </c>
      <c r="L836" s="211">
        <f t="shared" si="157"/>
        <v>0.16164383561643836</v>
      </c>
      <c r="M836" s="211">
        <f>$D836*L836*_xlfn.XLOOKUP($I836,'Sample Size cal and results'!$B$24:$B$25,'Sample Size cal and results'!$I$24:$I$25)</f>
        <v>10.470436382706067</v>
      </c>
      <c r="N836" s="214">
        <f t="shared" si="158"/>
        <v>63.398072131495333</v>
      </c>
      <c r="O836" s="225" t="str">
        <f t="shared" si="159"/>
        <v>7-8 years</v>
      </c>
      <c r="P836" s="226">
        <f t="shared" si="160"/>
        <v>0.22739726027397261</v>
      </c>
      <c r="Q836" s="227">
        <f>$D836*P836*_xlfn.XLOOKUP($O836,'Sample Size cal and results'!$B$26:$B$27,'Sample Size cal and results'!$I$26:$I$27)</f>
        <v>11.377231479044998</v>
      </c>
      <c r="R836" s="330"/>
    </row>
    <row r="837" spans="1:18" ht="12.75">
      <c r="A837" s="99" t="s">
        <v>143</v>
      </c>
      <c r="B837" s="100">
        <v>41782</v>
      </c>
      <c r="C837" s="100">
        <f t="shared" si="150"/>
        <v>44338</v>
      </c>
      <c r="D837" s="209">
        <v>20</v>
      </c>
      <c r="E837" s="217">
        <f t="shared" si="151"/>
        <v>5.77</v>
      </c>
      <c r="F837" s="218">
        <f t="shared" si="152"/>
        <v>6.77</v>
      </c>
      <c r="G837" s="219">
        <f t="shared" si="153"/>
        <v>6.77</v>
      </c>
      <c r="H837" s="220">
        <f t="shared" si="154"/>
        <v>7.77</v>
      </c>
      <c r="I837" s="257" t="str">
        <f t="shared" si="155"/>
        <v>6-7 years</v>
      </c>
      <c r="J837" s="211">
        <f t="shared" si="156"/>
        <v>0.83835616438356164</v>
      </c>
      <c r="K837" s="258">
        <f>$D837*J837*_xlfn.XLOOKUP($I837,'Sample Size cal and results'!$B$24:$B$25,'Sample Size cal and results'!$H$24:$H$25)</f>
        <v>13.747437856828379</v>
      </c>
      <c r="L837" s="211">
        <f t="shared" si="157"/>
        <v>0.16164383561643836</v>
      </c>
      <c r="M837" s="211">
        <f>$D837*L837*_xlfn.XLOOKUP($I837,'Sample Size cal and results'!$B$24:$B$25,'Sample Size cal and results'!$I$24:$I$25)</f>
        <v>2.7195938656379397</v>
      </c>
      <c r="N837" s="214">
        <f t="shared" si="158"/>
        <v>16.467031722466317</v>
      </c>
      <c r="O837" s="225" t="str">
        <f t="shared" si="159"/>
        <v>7-8 years</v>
      </c>
      <c r="P837" s="226">
        <f t="shared" si="160"/>
        <v>0.22739726027397261</v>
      </c>
      <c r="Q837" s="227">
        <f>$D837*P837*_xlfn.XLOOKUP($O837,'Sample Size cal and results'!$B$26:$B$27,'Sample Size cal and results'!$I$26:$I$27)</f>
        <v>2.9551250594922078</v>
      </c>
      <c r="R837" s="330"/>
    </row>
    <row r="838" spans="1:18" ht="12.75">
      <c r="A838" s="99" t="s">
        <v>145</v>
      </c>
      <c r="B838" s="100">
        <v>41781</v>
      </c>
      <c r="C838" s="100">
        <f t="shared" si="150"/>
        <v>44337</v>
      </c>
      <c r="D838" s="209">
        <v>102</v>
      </c>
      <c r="E838" s="217">
        <f t="shared" si="151"/>
        <v>5.77</v>
      </c>
      <c r="F838" s="218">
        <f t="shared" si="152"/>
        <v>6.77</v>
      </c>
      <c r="G838" s="219">
        <f t="shared" si="153"/>
        <v>6.77</v>
      </c>
      <c r="H838" s="220">
        <f t="shared" si="154"/>
        <v>7.77</v>
      </c>
      <c r="I838" s="257" t="str">
        <f t="shared" si="155"/>
        <v>6-7 years</v>
      </c>
      <c r="J838" s="211">
        <f t="shared" si="156"/>
        <v>0.83835616438356164</v>
      </c>
      <c r="K838" s="258">
        <f>$D838*J838*_xlfn.XLOOKUP($I838,'Sample Size cal and results'!$B$24:$B$25,'Sample Size cal and results'!$H$24:$H$25)</f>
        <v>70.11193306982473</v>
      </c>
      <c r="L838" s="211">
        <f t="shared" si="157"/>
        <v>0.16164383561643836</v>
      </c>
      <c r="M838" s="211">
        <f>$D838*L838*_xlfn.XLOOKUP($I838,'Sample Size cal and results'!$B$24:$B$25,'Sample Size cal and results'!$I$24:$I$25)</f>
        <v>13.869928714753494</v>
      </c>
      <c r="N838" s="214">
        <f t="shared" si="158"/>
        <v>83.981861784578228</v>
      </c>
      <c r="O838" s="225" t="str">
        <f t="shared" si="159"/>
        <v>7-8 years</v>
      </c>
      <c r="P838" s="226">
        <f t="shared" si="160"/>
        <v>0.22465753424657534</v>
      </c>
      <c r="Q838" s="227">
        <f>$D838*P838*_xlfn.XLOOKUP($O838,'Sample Size cal and results'!$B$26:$B$27,'Sample Size cal and results'!$I$26:$I$27)</f>
        <v>14.889557829875194</v>
      </c>
      <c r="R838" s="330"/>
    </row>
    <row r="839" spans="1:18" ht="12.75">
      <c r="A839" s="99" t="s">
        <v>143</v>
      </c>
      <c r="B839" s="100">
        <v>41781</v>
      </c>
      <c r="C839" s="100">
        <f t="shared" si="150"/>
        <v>44337</v>
      </c>
      <c r="D839" s="209">
        <v>34</v>
      </c>
      <c r="E839" s="217">
        <f t="shared" si="151"/>
        <v>5.77</v>
      </c>
      <c r="F839" s="218">
        <f t="shared" si="152"/>
        <v>6.77</v>
      </c>
      <c r="G839" s="219">
        <f t="shared" si="153"/>
        <v>6.77</v>
      </c>
      <c r="H839" s="220">
        <f t="shared" si="154"/>
        <v>7.77</v>
      </c>
      <c r="I839" s="257" t="str">
        <f t="shared" si="155"/>
        <v>6-7 years</v>
      </c>
      <c r="J839" s="211">
        <f t="shared" si="156"/>
        <v>0.83835616438356164</v>
      </c>
      <c r="K839" s="258">
        <f>$D839*J839*_xlfn.XLOOKUP($I839,'Sample Size cal and results'!$B$24:$B$25,'Sample Size cal and results'!$H$24:$H$25)</f>
        <v>23.370644356608246</v>
      </c>
      <c r="L839" s="211">
        <f t="shared" si="157"/>
        <v>0.16164383561643836</v>
      </c>
      <c r="M839" s="211">
        <f>$D839*L839*_xlfn.XLOOKUP($I839,'Sample Size cal and results'!$B$24:$B$25,'Sample Size cal and results'!$I$24:$I$25)</f>
        <v>4.6233095715844978</v>
      </c>
      <c r="N839" s="214">
        <f t="shared" si="158"/>
        <v>27.993953928192745</v>
      </c>
      <c r="O839" s="225" t="str">
        <f t="shared" si="159"/>
        <v>7-8 years</v>
      </c>
      <c r="P839" s="226">
        <f t="shared" si="160"/>
        <v>0.22465753424657534</v>
      </c>
      <c r="Q839" s="227">
        <f>$D839*P839*_xlfn.XLOOKUP($O839,'Sample Size cal and results'!$B$26:$B$27,'Sample Size cal and results'!$I$26:$I$27)</f>
        <v>4.963185943291732</v>
      </c>
      <c r="R839" s="330"/>
    </row>
    <row r="840" spans="1:18" ht="12.75">
      <c r="A840" s="99" t="s">
        <v>145</v>
      </c>
      <c r="B840" s="100">
        <v>41780</v>
      </c>
      <c r="C840" s="100">
        <f t="shared" si="150"/>
        <v>44336</v>
      </c>
      <c r="D840" s="209">
        <v>86</v>
      </c>
      <c r="E840" s="217">
        <f t="shared" si="151"/>
        <v>5.77</v>
      </c>
      <c r="F840" s="218">
        <f t="shared" si="152"/>
        <v>6.77</v>
      </c>
      <c r="G840" s="219">
        <f t="shared" si="153"/>
        <v>6.77</v>
      </c>
      <c r="H840" s="220">
        <f t="shared" si="154"/>
        <v>7.77</v>
      </c>
      <c r="I840" s="257" t="str">
        <f t="shared" si="155"/>
        <v>6-7 years</v>
      </c>
      <c r="J840" s="211">
        <f t="shared" si="156"/>
        <v>0.83835616438356164</v>
      </c>
      <c r="K840" s="258">
        <f>$D840*J840*_xlfn.XLOOKUP($I840,'Sample Size cal and results'!$B$24:$B$25,'Sample Size cal and results'!$H$24:$H$25)</f>
        <v>59.11398278436203</v>
      </c>
      <c r="L840" s="211">
        <f t="shared" si="157"/>
        <v>0.16164383561643836</v>
      </c>
      <c r="M840" s="211">
        <f>$D840*L840*_xlfn.XLOOKUP($I840,'Sample Size cal and results'!$B$24:$B$25,'Sample Size cal and results'!$I$24:$I$25)</f>
        <v>11.69425362224314</v>
      </c>
      <c r="N840" s="214">
        <f t="shared" si="158"/>
        <v>70.808236406605175</v>
      </c>
      <c r="O840" s="225" t="str">
        <f t="shared" si="159"/>
        <v>7-8 years</v>
      </c>
      <c r="P840" s="226">
        <f t="shared" si="160"/>
        <v>0.22191780821917809</v>
      </c>
      <c r="Q840" s="227">
        <f>$D840*P840*_xlfn.XLOOKUP($O840,'Sample Size cal and results'!$B$26:$B$27,'Sample Size cal and results'!$I$26:$I$27)</f>
        <v>12.400844074953445</v>
      </c>
      <c r="R840" s="330"/>
    </row>
    <row r="841" spans="1:18" ht="12.75">
      <c r="A841" s="99" t="s">
        <v>143</v>
      </c>
      <c r="B841" s="100">
        <v>41780</v>
      </c>
      <c r="C841" s="100">
        <f t="shared" si="150"/>
        <v>44336</v>
      </c>
      <c r="D841" s="209">
        <v>29</v>
      </c>
      <c r="E841" s="217">
        <f t="shared" si="151"/>
        <v>5.77</v>
      </c>
      <c r="F841" s="218">
        <f t="shared" si="152"/>
        <v>6.77</v>
      </c>
      <c r="G841" s="219">
        <f t="shared" si="153"/>
        <v>6.77</v>
      </c>
      <c r="H841" s="220">
        <f t="shared" si="154"/>
        <v>7.77</v>
      </c>
      <c r="I841" s="257" t="str">
        <f t="shared" si="155"/>
        <v>6-7 years</v>
      </c>
      <c r="J841" s="211">
        <f t="shared" si="156"/>
        <v>0.83835616438356164</v>
      </c>
      <c r="K841" s="258">
        <f>$D841*J841*_xlfn.XLOOKUP($I841,'Sample Size cal and results'!$B$24:$B$25,'Sample Size cal and results'!$H$24:$H$25)</f>
        <v>19.93378489240115</v>
      </c>
      <c r="L841" s="211">
        <f t="shared" si="157"/>
        <v>0.16164383561643836</v>
      </c>
      <c r="M841" s="211">
        <f>$D841*L841*_xlfn.XLOOKUP($I841,'Sample Size cal and results'!$B$24:$B$25,'Sample Size cal and results'!$I$24:$I$25)</f>
        <v>3.9434111051750125</v>
      </c>
      <c r="N841" s="214">
        <f t="shared" si="158"/>
        <v>23.877195997576163</v>
      </c>
      <c r="O841" s="225" t="str">
        <f t="shared" si="159"/>
        <v>7-8 years</v>
      </c>
      <c r="P841" s="226">
        <f t="shared" si="160"/>
        <v>0.22191780821917809</v>
      </c>
      <c r="Q841" s="227">
        <f>$D841*P841*_xlfn.XLOOKUP($O841,'Sample Size cal and results'!$B$26:$B$27,'Sample Size cal and results'!$I$26:$I$27)</f>
        <v>4.1816799787633707</v>
      </c>
      <c r="R841" s="330"/>
    </row>
    <row r="842" spans="1:18" ht="12.75">
      <c r="A842" s="99" t="s">
        <v>145</v>
      </c>
      <c r="B842" s="100">
        <v>41779</v>
      </c>
      <c r="C842" s="100">
        <f t="shared" si="150"/>
        <v>44335</v>
      </c>
      <c r="D842" s="209">
        <v>109</v>
      </c>
      <c r="E842" s="217">
        <f t="shared" si="151"/>
        <v>5.78</v>
      </c>
      <c r="F842" s="218">
        <f t="shared" si="152"/>
        <v>6.77</v>
      </c>
      <c r="G842" s="219">
        <f t="shared" si="153"/>
        <v>6.78</v>
      </c>
      <c r="H842" s="220">
        <f t="shared" si="154"/>
        <v>7.77</v>
      </c>
      <c r="I842" s="257" t="str">
        <f t="shared" si="155"/>
        <v>6-7 years</v>
      </c>
      <c r="J842" s="211">
        <f t="shared" si="156"/>
        <v>0.83835616438356164</v>
      </c>
      <c r="K842" s="258">
        <f>$D842*J842*_xlfn.XLOOKUP($I842,'Sample Size cal and results'!$B$24:$B$25,'Sample Size cal and results'!$H$24:$H$25)</f>
        <v>74.923536319714671</v>
      </c>
      <c r="L842" s="211">
        <f t="shared" si="157"/>
        <v>0.16164383561643836</v>
      </c>
      <c r="M842" s="211">
        <f>$D842*L842*_xlfn.XLOOKUP($I842,'Sample Size cal and results'!$B$24:$B$25,'Sample Size cal and results'!$I$24:$I$25)</f>
        <v>14.82178656772677</v>
      </c>
      <c r="N842" s="214">
        <f t="shared" si="158"/>
        <v>89.745322887441446</v>
      </c>
      <c r="O842" s="225" t="str">
        <f t="shared" si="159"/>
        <v>7-8 years</v>
      </c>
      <c r="P842" s="226">
        <f t="shared" si="160"/>
        <v>0.21917808219178081</v>
      </c>
      <c r="Q842" s="227">
        <f>$D842*P842*_xlfn.XLOOKUP($O842,'Sample Size cal and results'!$B$26:$B$27,'Sample Size cal and results'!$I$26:$I$27)</f>
        <v>15.523307541428945</v>
      </c>
      <c r="R842" s="330"/>
    </row>
    <row r="843" spans="1:18" ht="12.75">
      <c r="A843" s="99" t="s">
        <v>143</v>
      </c>
      <c r="B843" s="100">
        <v>41779</v>
      </c>
      <c r="C843" s="100">
        <f t="shared" si="150"/>
        <v>44335</v>
      </c>
      <c r="D843" s="209">
        <v>49</v>
      </c>
      <c r="E843" s="217">
        <f t="shared" si="151"/>
        <v>5.78</v>
      </c>
      <c r="F843" s="218">
        <f t="shared" si="152"/>
        <v>6.77</v>
      </c>
      <c r="G843" s="219">
        <f t="shared" si="153"/>
        <v>6.78</v>
      </c>
      <c r="H843" s="220">
        <f t="shared" si="154"/>
        <v>7.77</v>
      </c>
      <c r="I843" s="257" t="str">
        <f t="shared" si="155"/>
        <v>6-7 years</v>
      </c>
      <c r="J843" s="211">
        <f t="shared" si="156"/>
        <v>0.83835616438356164</v>
      </c>
      <c r="K843" s="258">
        <f>$D843*J843*_xlfn.XLOOKUP($I843,'Sample Size cal and results'!$B$24:$B$25,'Sample Size cal and results'!$H$24:$H$25)</f>
        <v>33.681222749229526</v>
      </c>
      <c r="L843" s="211">
        <f t="shared" si="157"/>
        <v>0.16164383561643836</v>
      </c>
      <c r="M843" s="211">
        <f>$D843*L843*_xlfn.XLOOKUP($I843,'Sample Size cal and results'!$B$24:$B$25,'Sample Size cal and results'!$I$24:$I$25)</f>
        <v>6.6630049708129517</v>
      </c>
      <c r="N843" s="214">
        <f t="shared" si="158"/>
        <v>40.344227720042475</v>
      </c>
      <c r="O843" s="225" t="str">
        <f t="shared" si="159"/>
        <v>7-8 years</v>
      </c>
      <c r="P843" s="226">
        <f t="shared" si="160"/>
        <v>0.21917808219178081</v>
      </c>
      <c r="Q843" s="227">
        <f>$D843*P843*_xlfn.XLOOKUP($O843,'Sample Size cal and results'!$B$26:$B$27,'Sample Size cal and results'!$I$26:$I$27)</f>
        <v>6.9783676103671413</v>
      </c>
      <c r="R843" s="330"/>
    </row>
    <row r="844" spans="1:18" ht="12.75">
      <c r="A844" s="99" t="s">
        <v>145</v>
      </c>
      <c r="B844" s="100">
        <v>41778</v>
      </c>
      <c r="C844" s="100">
        <f t="shared" si="150"/>
        <v>44334</v>
      </c>
      <c r="D844" s="209">
        <v>102</v>
      </c>
      <c r="E844" s="217">
        <f t="shared" si="151"/>
        <v>5.78</v>
      </c>
      <c r="F844" s="218">
        <f t="shared" si="152"/>
        <v>6.78</v>
      </c>
      <c r="G844" s="219">
        <f t="shared" si="153"/>
        <v>6.78</v>
      </c>
      <c r="H844" s="220">
        <f t="shared" si="154"/>
        <v>7.78</v>
      </c>
      <c r="I844" s="257" t="str">
        <f t="shared" si="155"/>
        <v>6-7 years</v>
      </c>
      <c r="J844" s="211">
        <f t="shared" si="156"/>
        <v>0.83835616438356164</v>
      </c>
      <c r="K844" s="258">
        <f>$D844*J844*_xlfn.XLOOKUP($I844,'Sample Size cal and results'!$B$24:$B$25,'Sample Size cal and results'!$H$24:$H$25)</f>
        <v>70.11193306982473</v>
      </c>
      <c r="L844" s="211">
        <f t="shared" si="157"/>
        <v>0.16164383561643836</v>
      </c>
      <c r="M844" s="211">
        <f>$D844*L844*_xlfn.XLOOKUP($I844,'Sample Size cal and results'!$B$24:$B$25,'Sample Size cal and results'!$I$24:$I$25)</f>
        <v>13.869928714753494</v>
      </c>
      <c r="N844" s="214">
        <f t="shared" si="158"/>
        <v>83.981861784578228</v>
      </c>
      <c r="O844" s="225" t="str">
        <f t="shared" si="159"/>
        <v>7-8 years</v>
      </c>
      <c r="P844" s="226">
        <f t="shared" si="160"/>
        <v>0.21643835616438356</v>
      </c>
      <c r="Q844" s="227">
        <f>$D844*P844*_xlfn.XLOOKUP($O844,'Sample Size cal and results'!$B$26:$B$27,'Sample Size cal and results'!$I$26:$I$27)</f>
        <v>14.344817909270004</v>
      </c>
      <c r="R844" s="330"/>
    </row>
    <row r="845" spans="1:18" ht="12.75">
      <c r="A845" s="99" t="s">
        <v>143</v>
      </c>
      <c r="B845" s="100">
        <v>41778</v>
      </c>
      <c r="C845" s="100">
        <f t="shared" si="150"/>
        <v>44334</v>
      </c>
      <c r="D845" s="209">
        <v>23</v>
      </c>
      <c r="E845" s="217">
        <f t="shared" si="151"/>
        <v>5.78</v>
      </c>
      <c r="F845" s="218">
        <f t="shared" si="152"/>
        <v>6.78</v>
      </c>
      <c r="G845" s="219">
        <f t="shared" si="153"/>
        <v>6.78</v>
      </c>
      <c r="H845" s="220">
        <f t="shared" si="154"/>
        <v>7.78</v>
      </c>
      <c r="I845" s="257" t="str">
        <f t="shared" si="155"/>
        <v>6-7 years</v>
      </c>
      <c r="J845" s="211">
        <f t="shared" si="156"/>
        <v>0.83835616438356164</v>
      </c>
      <c r="K845" s="258">
        <f>$D845*J845*_xlfn.XLOOKUP($I845,'Sample Size cal and results'!$B$24:$B$25,'Sample Size cal and results'!$H$24:$H$25)</f>
        <v>15.809553535352636</v>
      </c>
      <c r="L845" s="211">
        <f t="shared" si="157"/>
        <v>0.16164383561643836</v>
      </c>
      <c r="M845" s="211">
        <f>$D845*L845*_xlfn.XLOOKUP($I845,'Sample Size cal and results'!$B$24:$B$25,'Sample Size cal and results'!$I$24:$I$25)</f>
        <v>3.1275329454836305</v>
      </c>
      <c r="N845" s="214">
        <f t="shared" si="158"/>
        <v>18.937086480836268</v>
      </c>
      <c r="O845" s="225" t="str">
        <f t="shared" si="159"/>
        <v>7-8 years</v>
      </c>
      <c r="P845" s="226">
        <f t="shared" si="160"/>
        <v>0.21643835616438356</v>
      </c>
      <c r="Q845" s="227">
        <f>$D845*P845*_xlfn.XLOOKUP($O845,'Sample Size cal and results'!$B$26:$B$27,'Sample Size cal and results'!$I$26:$I$27)</f>
        <v>3.2346158030706875</v>
      </c>
      <c r="R845" s="330"/>
    </row>
    <row r="846" spans="1:18" ht="12.75">
      <c r="A846" s="99" t="s">
        <v>145</v>
      </c>
      <c r="B846" s="100">
        <v>41777</v>
      </c>
      <c r="C846" s="100">
        <f t="shared" si="150"/>
        <v>44333</v>
      </c>
      <c r="D846" s="209">
        <v>115</v>
      </c>
      <c r="E846" s="217">
        <f t="shared" si="151"/>
        <v>5.78</v>
      </c>
      <c r="F846" s="218">
        <f t="shared" si="152"/>
        <v>6.78</v>
      </c>
      <c r="G846" s="219">
        <f t="shared" si="153"/>
        <v>6.78</v>
      </c>
      <c r="H846" s="220">
        <f t="shared" si="154"/>
        <v>7.78</v>
      </c>
      <c r="I846" s="257" t="str">
        <f t="shared" si="155"/>
        <v>6-7 years</v>
      </c>
      <c r="J846" s="211">
        <f t="shared" si="156"/>
        <v>0.83835616438356164</v>
      </c>
      <c r="K846" s="258">
        <f>$D846*J846*_xlfn.XLOOKUP($I846,'Sample Size cal and results'!$B$24:$B$25,'Sample Size cal and results'!$H$24:$H$25)</f>
        <v>79.047767676763186</v>
      </c>
      <c r="L846" s="211">
        <f t="shared" si="157"/>
        <v>0.16164383561643836</v>
      </c>
      <c r="M846" s="211">
        <f>$D846*L846*_xlfn.XLOOKUP($I846,'Sample Size cal and results'!$B$24:$B$25,'Sample Size cal and results'!$I$24:$I$25)</f>
        <v>15.637664727418153</v>
      </c>
      <c r="N846" s="214">
        <f t="shared" si="158"/>
        <v>94.685432404181341</v>
      </c>
      <c r="O846" s="225" t="str">
        <f t="shared" si="159"/>
        <v>7-8 years</v>
      </c>
      <c r="P846" s="226">
        <f t="shared" si="160"/>
        <v>0.21369863013698631</v>
      </c>
      <c r="Q846" s="227">
        <f>$D846*P846*_xlfn.XLOOKUP($O846,'Sample Size cal and results'!$B$26:$B$27,'Sample Size cal and results'!$I$26:$I$27)</f>
        <v>15.968356496171749</v>
      </c>
      <c r="R846" s="330"/>
    </row>
    <row r="847" spans="1:18" ht="12.75">
      <c r="A847" s="99" t="s">
        <v>143</v>
      </c>
      <c r="B847" s="100">
        <v>41777</v>
      </c>
      <c r="C847" s="100">
        <f t="shared" si="150"/>
        <v>44333</v>
      </c>
      <c r="D847" s="209">
        <v>20</v>
      </c>
      <c r="E847" s="217">
        <f t="shared" si="151"/>
        <v>5.78</v>
      </c>
      <c r="F847" s="218">
        <f t="shared" si="152"/>
        <v>6.78</v>
      </c>
      <c r="G847" s="219">
        <f t="shared" si="153"/>
        <v>6.78</v>
      </c>
      <c r="H847" s="220">
        <f t="shared" si="154"/>
        <v>7.78</v>
      </c>
      <c r="I847" s="257" t="str">
        <f t="shared" si="155"/>
        <v>6-7 years</v>
      </c>
      <c r="J847" s="211">
        <f t="shared" si="156"/>
        <v>0.83835616438356164</v>
      </c>
      <c r="K847" s="258">
        <f>$D847*J847*_xlfn.XLOOKUP($I847,'Sample Size cal and results'!$B$24:$B$25,'Sample Size cal and results'!$H$24:$H$25)</f>
        <v>13.747437856828379</v>
      </c>
      <c r="L847" s="211">
        <f t="shared" si="157"/>
        <v>0.16164383561643836</v>
      </c>
      <c r="M847" s="211">
        <f>$D847*L847*_xlfn.XLOOKUP($I847,'Sample Size cal and results'!$B$24:$B$25,'Sample Size cal and results'!$I$24:$I$25)</f>
        <v>2.7195938656379397</v>
      </c>
      <c r="N847" s="214">
        <f t="shared" si="158"/>
        <v>16.467031722466317</v>
      </c>
      <c r="O847" s="225" t="str">
        <f t="shared" si="159"/>
        <v>7-8 years</v>
      </c>
      <c r="P847" s="226">
        <f t="shared" si="160"/>
        <v>0.21369863013698631</v>
      </c>
      <c r="Q847" s="227">
        <f>$D847*P847*_xlfn.XLOOKUP($O847,'Sample Size cal and results'!$B$26:$B$27,'Sample Size cal and results'!$I$26:$I$27)</f>
        <v>2.7771054775950867</v>
      </c>
      <c r="R847" s="330"/>
    </row>
    <row r="848" spans="1:18" ht="12.75">
      <c r="A848" s="99" t="s">
        <v>145</v>
      </c>
      <c r="B848" s="100">
        <v>41776</v>
      </c>
      <c r="C848" s="100">
        <f t="shared" si="150"/>
        <v>44332</v>
      </c>
      <c r="D848" s="209">
        <v>120</v>
      </c>
      <c r="E848" s="217">
        <f t="shared" si="151"/>
        <v>5.78</v>
      </c>
      <c r="F848" s="218">
        <f t="shared" si="152"/>
        <v>6.78</v>
      </c>
      <c r="G848" s="219">
        <f t="shared" si="153"/>
        <v>6.78</v>
      </c>
      <c r="H848" s="220">
        <f t="shared" si="154"/>
        <v>7.78</v>
      </c>
      <c r="I848" s="257" t="str">
        <f t="shared" si="155"/>
        <v>6-7 years</v>
      </c>
      <c r="J848" s="211">
        <f t="shared" si="156"/>
        <v>0.83835616438356164</v>
      </c>
      <c r="K848" s="258">
        <f>$D848*J848*_xlfn.XLOOKUP($I848,'Sample Size cal and results'!$B$24:$B$25,'Sample Size cal and results'!$H$24:$H$25)</f>
        <v>82.484627140970275</v>
      </c>
      <c r="L848" s="211">
        <f t="shared" si="157"/>
        <v>0.16164383561643836</v>
      </c>
      <c r="M848" s="211">
        <f>$D848*L848*_xlfn.XLOOKUP($I848,'Sample Size cal and results'!$B$24:$B$25,'Sample Size cal and results'!$I$24:$I$25)</f>
        <v>16.317563193827638</v>
      </c>
      <c r="N848" s="214">
        <f t="shared" si="158"/>
        <v>98.802190334797913</v>
      </c>
      <c r="O848" s="225" t="str">
        <f t="shared" si="159"/>
        <v>7-8 years</v>
      </c>
      <c r="P848" s="226">
        <f t="shared" si="160"/>
        <v>0.21095890410958903</v>
      </c>
      <c r="Q848" s="227">
        <f>$D848*P848*_xlfn.XLOOKUP($O848,'Sample Size cal and results'!$B$26:$B$27,'Sample Size cal and results'!$I$26:$I$27)</f>
        <v>16.449009367293975</v>
      </c>
      <c r="R848" s="330"/>
    </row>
    <row r="849" spans="1:18" ht="12.75">
      <c r="A849" s="99" t="s">
        <v>143</v>
      </c>
      <c r="B849" s="100">
        <v>41776</v>
      </c>
      <c r="C849" s="100">
        <f t="shared" si="150"/>
        <v>44332</v>
      </c>
      <c r="D849" s="209">
        <v>24</v>
      </c>
      <c r="E849" s="217">
        <f t="shared" si="151"/>
        <v>5.78</v>
      </c>
      <c r="F849" s="218">
        <f t="shared" si="152"/>
        <v>6.78</v>
      </c>
      <c r="G849" s="219">
        <f t="shared" si="153"/>
        <v>6.78</v>
      </c>
      <c r="H849" s="220">
        <f t="shared" si="154"/>
        <v>7.78</v>
      </c>
      <c r="I849" s="257" t="str">
        <f t="shared" si="155"/>
        <v>6-7 years</v>
      </c>
      <c r="J849" s="211">
        <f t="shared" si="156"/>
        <v>0.83835616438356164</v>
      </c>
      <c r="K849" s="258">
        <f>$D849*J849*_xlfn.XLOOKUP($I849,'Sample Size cal and results'!$B$24:$B$25,'Sample Size cal and results'!$H$24:$H$25)</f>
        <v>16.496925428194054</v>
      </c>
      <c r="L849" s="211">
        <f t="shared" si="157"/>
        <v>0.16164383561643836</v>
      </c>
      <c r="M849" s="211">
        <f>$D849*L849*_xlfn.XLOOKUP($I849,'Sample Size cal and results'!$B$24:$B$25,'Sample Size cal and results'!$I$24:$I$25)</f>
        <v>3.2635126387655276</v>
      </c>
      <c r="N849" s="214">
        <f t="shared" si="158"/>
        <v>19.76043806695958</v>
      </c>
      <c r="O849" s="225" t="str">
        <f t="shared" si="159"/>
        <v>7-8 years</v>
      </c>
      <c r="P849" s="226">
        <f t="shared" si="160"/>
        <v>0.21095890410958903</v>
      </c>
      <c r="Q849" s="227">
        <f>$D849*P849*_xlfn.XLOOKUP($O849,'Sample Size cal and results'!$B$26:$B$27,'Sample Size cal and results'!$I$26:$I$27)</f>
        <v>3.2898018734587948</v>
      </c>
      <c r="R849" s="330"/>
    </row>
    <row r="850" spans="1:18" ht="12.75">
      <c r="A850" s="99" t="s">
        <v>145</v>
      </c>
      <c r="B850" s="100">
        <v>41775</v>
      </c>
      <c r="C850" s="100">
        <f t="shared" si="150"/>
        <v>44331</v>
      </c>
      <c r="D850" s="209">
        <v>109</v>
      </c>
      <c r="E850" s="217">
        <f t="shared" si="151"/>
        <v>5.79</v>
      </c>
      <c r="F850" s="218">
        <f t="shared" si="152"/>
        <v>6.78</v>
      </c>
      <c r="G850" s="219">
        <f t="shared" si="153"/>
        <v>6.79</v>
      </c>
      <c r="H850" s="220">
        <f t="shared" si="154"/>
        <v>7.78</v>
      </c>
      <c r="I850" s="257" t="str">
        <f t="shared" si="155"/>
        <v>6-7 years</v>
      </c>
      <c r="J850" s="211">
        <f t="shared" si="156"/>
        <v>0.83835616438356164</v>
      </c>
      <c r="K850" s="258">
        <f>$D850*J850*_xlfn.XLOOKUP($I850,'Sample Size cal and results'!$B$24:$B$25,'Sample Size cal and results'!$H$24:$H$25)</f>
        <v>74.923536319714671</v>
      </c>
      <c r="L850" s="211">
        <f t="shared" si="157"/>
        <v>0.16164383561643836</v>
      </c>
      <c r="M850" s="211">
        <f>$D850*L850*_xlfn.XLOOKUP($I850,'Sample Size cal and results'!$B$24:$B$25,'Sample Size cal and results'!$I$24:$I$25)</f>
        <v>14.82178656772677</v>
      </c>
      <c r="N850" s="214">
        <f t="shared" si="158"/>
        <v>89.745322887441446</v>
      </c>
      <c r="O850" s="225" t="str">
        <f t="shared" si="159"/>
        <v>7-8 years</v>
      </c>
      <c r="P850" s="226">
        <f t="shared" si="160"/>
        <v>0.20821917808219179</v>
      </c>
      <c r="Q850" s="227">
        <f>$D850*P850*_xlfn.XLOOKUP($O850,'Sample Size cal and results'!$B$26:$B$27,'Sample Size cal and results'!$I$26:$I$27)</f>
        <v>14.7471421643575</v>
      </c>
      <c r="R850" s="330"/>
    </row>
    <row r="851" spans="1:18" ht="12.75">
      <c r="A851" s="99" t="s">
        <v>143</v>
      </c>
      <c r="B851" s="100">
        <v>41775</v>
      </c>
      <c r="C851" s="100">
        <f t="shared" si="150"/>
        <v>44331</v>
      </c>
      <c r="D851" s="209">
        <v>18</v>
      </c>
      <c r="E851" s="217">
        <f t="shared" si="151"/>
        <v>5.79</v>
      </c>
      <c r="F851" s="218">
        <f t="shared" si="152"/>
        <v>6.78</v>
      </c>
      <c r="G851" s="219">
        <f t="shared" si="153"/>
        <v>6.79</v>
      </c>
      <c r="H851" s="220">
        <f t="shared" si="154"/>
        <v>7.78</v>
      </c>
      <c r="I851" s="257" t="str">
        <f t="shared" si="155"/>
        <v>6-7 years</v>
      </c>
      <c r="J851" s="211">
        <f t="shared" si="156"/>
        <v>0.83835616438356164</v>
      </c>
      <c r="K851" s="258">
        <f>$D851*J851*_xlfn.XLOOKUP($I851,'Sample Size cal and results'!$B$24:$B$25,'Sample Size cal and results'!$H$24:$H$25)</f>
        <v>12.372694071145542</v>
      </c>
      <c r="L851" s="211">
        <f t="shared" si="157"/>
        <v>0.16164383561643836</v>
      </c>
      <c r="M851" s="211">
        <f>$D851*L851*_xlfn.XLOOKUP($I851,'Sample Size cal and results'!$B$24:$B$25,'Sample Size cal and results'!$I$24:$I$25)</f>
        <v>2.447634479074146</v>
      </c>
      <c r="N851" s="214">
        <f t="shared" si="158"/>
        <v>14.820328550219688</v>
      </c>
      <c r="O851" s="225" t="str">
        <f t="shared" si="159"/>
        <v>7-8 years</v>
      </c>
      <c r="P851" s="226">
        <f t="shared" si="160"/>
        <v>0.20821917808219179</v>
      </c>
      <c r="Q851" s="227">
        <f>$D851*P851*_xlfn.XLOOKUP($O851,'Sample Size cal and results'!$B$26:$B$27,'Sample Size cal and results'!$I$26:$I$27)</f>
        <v>2.4353078803526147</v>
      </c>
      <c r="R851" s="330"/>
    </row>
    <row r="852" spans="1:18" ht="12.75">
      <c r="A852" s="99" t="s">
        <v>143</v>
      </c>
      <c r="B852" s="100">
        <v>41774</v>
      </c>
      <c r="C852" s="100">
        <f t="shared" si="150"/>
        <v>44330</v>
      </c>
      <c r="D852" s="209">
        <v>736</v>
      </c>
      <c r="E852" s="217">
        <f t="shared" si="151"/>
        <v>5.79</v>
      </c>
      <c r="F852" s="218">
        <f t="shared" si="152"/>
        <v>6.79</v>
      </c>
      <c r="G852" s="219">
        <f t="shared" si="153"/>
        <v>6.79</v>
      </c>
      <c r="H852" s="220">
        <f t="shared" si="154"/>
        <v>7.79</v>
      </c>
      <c r="I852" s="257" t="str">
        <f t="shared" si="155"/>
        <v>6-7 years</v>
      </c>
      <c r="J852" s="211">
        <f t="shared" si="156"/>
        <v>0.83835616438356164</v>
      </c>
      <c r="K852" s="258">
        <f>$D852*J852*_xlfn.XLOOKUP($I852,'Sample Size cal and results'!$B$24:$B$25,'Sample Size cal and results'!$H$24:$H$25)</f>
        <v>505.90571313128436</v>
      </c>
      <c r="L852" s="211">
        <f t="shared" si="157"/>
        <v>0.16164383561643836</v>
      </c>
      <c r="M852" s="211">
        <f>$D852*L852*_xlfn.XLOOKUP($I852,'Sample Size cal and results'!$B$24:$B$25,'Sample Size cal and results'!$I$24:$I$25)</f>
        <v>100.08105425547618</v>
      </c>
      <c r="N852" s="214">
        <f t="shared" si="158"/>
        <v>605.98676738676056</v>
      </c>
      <c r="O852" s="225" t="str">
        <f t="shared" si="159"/>
        <v>7-8 years</v>
      </c>
      <c r="P852" s="226">
        <f t="shared" si="160"/>
        <v>0.20547945205479451</v>
      </c>
      <c r="Q852" s="227">
        <f>$D852*P852*_xlfn.XLOOKUP($O852,'Sample Size cal and results'!$B$26:$B$27,'Sample Size cal and results'!$I$26:$I$27)</f>
        <v>98.266809207210756</v>
      </c>
      <c r="R852" s="330"/>
    </row>
    <row r="853" spans="1:18" ht="12.75">
      <c r="A853" s="99" t="s">
        <v>145</v>
      </c>
      <c r="B853" s="100">
        <v>41774</v>
      </c>
      <c r="C853" s="100">
        <f t="shared" si="150"/>
        <v>44330</v>
      </c>
      <c r="D853" s="209">
        <v>152</v>
      </c>
      <c r="E853" s="217">
        <f t="shared" si="151"/>
        <v>5.79</v>
      </c>
      <c r="F853" s="218">
        <f t="shared" si="152"/>
        <v>6.79</v>
      </c>
      <c r="G853" s="219">
        <f t="shared" si="153"/>
        <v>6.79</v>
      </c>
      <c r="H853" s="220">
        <f t="shared" si="154"/>
        <v>7.79</v>
      </c>
      <c r="I853" s="257" t="str">
        <f t="shared" si="155"/>
        <v>6-7 years</v>
      </c>
      <c r="J853" s="211">
        <f t="shared" si="156"/>
        <v>0.83835616438356164</v>
      </c>
      <c r="K853" s="258">
        <f>$D853*J853*_xlfn.XLOOKUP($I853,'Sample Size cal and results'!$B$24:$B$25,'Sample Size cal and results'!$H$24:$H$25)</f>
        <v>104.48052771189568</v>
      </c>
      <c r="L853" s="211">
        <f t="shared" si="157"/>
        <v>0.16164383561643836</v>
      </c>
      <c r="M853" s="211">
        <f>$D853*L853*_xlfn.XLOOKUP($I853,'Sample Size cal and results'!$B$24:$B$25,'Sample Size cal and results'!$I$24:$I$25)</f>
        <v>20.668913378848341</v>
      </c>
      <c r="N853" s="214">
        <f t="shared" si="158"/>
        <v>125.14944109074402</v>
      </c>
      <c r="O853" s="225" t="str">
        <f t="shared" si="159"/>
        <v>7-8 years</v>
      </c>
      <c r="P853" s="226">
        <f t="shared" si="160"/>
        <v>0.20547945205479451</v>
      </c>
      <c r="Q853" s="227">
        <f>$D853*P853*_xlfn.XLOOKUP($O853,'Sample Size cal and results'!$B$26:$B$27,'Sample Size cal and results'!$I$26:$I$27)</f>
        <v>20.294232336271786</v>
      </c>
      <c r="R853" s="330"/>
    </row>
    <row r="854" spans="1:18" ht="12.75">
      <c r="A854" s="99" t="s">
        <v>145</v>
      </c>
      <c r="B854" s="100">
        <v>41773</v>
      </c>
      <c r="C854" s="100">
        <f t="shared" si="150"/>
        <v>44329</v>
      </c>
      <c r="D854" s="209">
        <v>51</v>
      </c>
      <c r="E854" s="217">
        <f t="shared" si="151"/>
        <v>5.79</v>
      </c>
      <c r="F854" s="218">
        <f t="shared" si="152"/>
        <v>6.79</v>
      </c>
      <c r="G854" s="219">
        <f t="shared" si="153"/>
        <v>6.79</v>
      </c>
      <c r="H854" s="220">
        <f t="shared" si="154"/>
        <v>7.79</v>
      </c>
      <c r="I854" s="257" t="str">
        <f t="shared" si="155"/>
        <v>6-7 years</v>
      </c>
      <c r="J854" s="211">
        <f t="shared" si="156"/>
        <v>0.83835616438356164</v>
      </c>
      <c r="K854" s="258">
        <f>$D854*J854*_xlfn.XLOOKUP($I854,'Sample Size cal and results'!$B$24:$B$25,'Sample Size cal and results'!$H$24:$H$25)</f>
        <v>35.055966534912365</v>
      </c>
      <c r="L854" s="211">
        <f t="shared" si="157"/>
        <v>0.16164383561643836</v>
      </c>
      <c r="M854" s="211">
        <f>$D854*L854*_xlfn.XLOOKUP($I854,'Sample Size cal and results'!$B$24:$B$25,'Sample Size cal and results'!$I$24:$I$25)</f>
        <v>6.9349643573767468</v>
      </c>
      <c r="N854" s="214">
        <f t="shared" si="158"/>
        <v>41.990930892289114</v>
      </c>
      <c r="O854" s="225" t="str">
        <f t="shared" si="159"/>
        <v>7-8 years</v>
      </c>
      <c r="P854" s="226">
        <f t="shared" si="160"/>
        <v>0.20273972602739726</v>
      </c>
      <c r="Q854" s="227">
        <f>$D854*P854*_xlfn.XLOOKUP($O854,'Sample Size cal and results'!$B$26:$B$27,'Sample Size cal and results'!$I$26:$I$27)</f>
        <v>6.7184590207973445</v>
      </c>
      <c r="R854" s="330"/>
    </row>
    <row r="855" spans="1:18" ht="12.75">
      <c r="A855" s="99" t="s">
        <v>143</v>
      </c>
      <c r="B855" s="100">
        <v>41773</v>
      </c>
      <c r="C855" s="100">
        <f t="shared" si="150"/>
        <v>44329</v>
      </c>
      <c r="D855" s="209">
        <v>24</v>
      </c>
      <c r="E855" s="217">
        <f t="shared" si="151"/>
        <v>5.79</v>
      </c>
      <c r="F855" s="218">
        <f t="shared" si="152"/>
        <v>6.79</v>
      </c>
      <c r="G855" s="219">
        <f t="shared" si="153"/>
        <v>6.79</v>
      </c>
      <c r="H855" s="220">
        <f t="shared" si="154"/>
        <v>7.79</v>
      </c>
      <c r="I855" s="257" t="str">
        <f t="shared" si="155"/>
        <v>6-7 years</v>
      </c>
      <c r="J855" s="211">
        <f t="shared" si="156"/>
        <v>0.83835616438356164</v>
      </c>
      <c r="K855" s="258">
        <f>$D855*J855*_xlfn.XLOOKUP($I855,'Sample Size cal and results'!$B$24:$B$25,'Sample Size cal and results'!$H$24:$H$25)</f>
        <v>16.496925428194054</v>
      </c>
      <c r="L855" s="211">
        <f t="shared" si="157"/>
        <v>0.16164383561643836</v>
      </c>
      <c r="M855" s="211">
        <f>$D855*L855*_xlfn.XLOOKUP($I855,'Sample Size cal and results'!$B$24:$B$25,'Sample Size cal and results'!$I$24:$I$25)</f>
        <v>3.2635126387655276</v>
      </c>
      <c r="N855" s="214">
        <f t="shared" si="158"/>
        <v>19.76043806695958</v>
      </c>
      <c r="O855" s="225" t="str">
        <f t="shared" si="159"/>
        <v>7-8 years</v>
      </c>
      <c r="P855" s="226">
        <f t="shared" si="160"/>
        <v>0.20273972602739726</v>
      </c>
      <c r="Q855" s="227">
        <f>$D855*P855*_xlfn.XLOOKUP($O855,'Sample Size cal and results'!$B$26:$B$27,'Sample Size cal and results'!$I$26:$I$27)</f>
        <v>3.1616277744928674</v>
      </c>
      <c r="R855" s="330"/>
    </row>
    <row r="856" spans="1:18" ht="12.75">
      <c r="A856" s="99" t="s">
        <v>145</v>
      </c>
      <c r="B856" s="100">
        <v>41772</v>
      </c>
      <c r="C856" s="100">
        <f t="shared" si="150"/>
        <v>44328</v>
      </c>
      <c r="D856" s="209">
        <v>396</v>
      </c>
      <c r="E856" s="217">
        <f t="shared" si="151"/>
        <v>5.8</v>
      </c>
      <c r="F856" s="218">
        <f t="shared" si="152"/>
        <v>6.79</v>
      </c>
      <c r="G856" s="219">
        <f t="shared" si="153"/>
        <v>6.8</v>
      </c>
      <c r="H856" s="220">
        <f t="shared" si="154"/>
        <v>7.79</v>
      </c>
      <c r="I856" s="257" t="str">
        <f t="shared" si="155"/>
        <v>6-7 years</v>
      </c>
      <c r="J856" s="211">
        <f t="shared" si="156"/>
        <v>0.83835616438356164</v>
      </c>
      <c r="K856" s="258">
        <f>$D856*J856*_xlfn.XLOOKUP($I856,'Sample Size cal and results'!$B$24:$B$25,'Sample Size cal and results'!$H$24:$H$25)</f>
        <v>272.19926956520192</v>
      </c>
      <c r="L856" s="211">
        <f t="shared" si="157"/>
        <v>0.16164383561643836</v>
      </c>
      <c r="M856" s="211">
        <f>$D856*L856*_xlfn.XLOOKUP($I856,'Sample Size cal and results'!$B$24:$B$25,'Sample Size cal and results'!$I$24:$I$25)</f>
        <v>53.8479585396312</v>
      </c>
      <c r="N856" s="214">
        <f t="shared" si="158"/>
        <v>326.0472281048331</v>
      </c>
      <c r="O856" s="225" t="str">
        <f t="shared" si="159"/>
        <v>7-8 years</v>
      </c>
      <c r="P856" s="226">
        <f t="shared" si="160"/>
        <v>0.2</v>
      </c>
      <c r="Q856" s="227">
        <f>$D856*P856*_xlfn.XLOOKUP($O856,'Sample Size cal and results'!$B$26:$B$27,'Sample Size cal and results'!$I$26:$I$27)</f>
        <v>51.461900734819721</v>
      </c>
      <c r="R856" s="330"/>
    </row>
    <row r="857" spans="1:18" ht="12.75">
      <c r="A857" s="99" t="s">
        <v>143</v>
      </c>
      <c r="B857" s="100">
        <v>41772</v>
      </c>
      <c r="C857" s="100">
        <f t="shared" si="150"/>
        <v>44328</v>
      </c>
      <c r="D857" s="209">
        <v>24</v>
      </c>
      <c r="E857" s="217">
        <f t="shared" si="151"/>
        <v>5.8</v>
      </c>
      <c r="F857" s="218">
        <f t="shared" si="152"/>
        <v>6.79</v>
      </c>
      <c r="G857" s="219">
        <f t="shared" si="153"/>
        <v>6.8</v>
      </c>
      <c r="H857" s="220">
        <f t="shared" si="154"/>
        <v>7.79</v>
      </c>
      <c r="I857" s="257" t="str">
        <f t="shared" si="155"/>
        <v>6-7 years</v>
      </c>
      <c r="J857" s="211">
        <f t="shared" si="156"/>
        <v>0.83835616438356164</v>
      </c>
      <c r="K857" s="258">
        <f>$D857*J857*_xlfn.XLOOKUP($I857,'Sample Size cal and results'!$B$24:$B$25,'Sample Size cal and results'!$H$24:$H$25)</f>
        <v>16.496925428194054</v>
      </c>
      <c r="L857" s="211">
        <f t="shared" si="157"/>
        <v>0.16164383561643836</v>
      </c>
      <c r="M857" s="211">
        <f>$D857*L857*_xlfn.XLOOKUP($I857,'Sample Size cal and results'!$B$24:$B$25,'Sample Size cal and results'!$I$24:$I$25)</f>
        <v>3.2635126387655276</v>
      </c>
      <c r="N857" s="214">
        <f t="shared" si="158"/>
        <v>19.76043806695958</v>
      </c>
      <c r="O857" s="225" t="str">
        <f t="shared" si="159"/>
        <v>7-8 years</v>
      </c>
      <c r="P857" s="226">
        <f t="shared" si="160"/>
        <v>0.2</v>
      </c>
      <c r="Q857" s="227">
        <f>$D857*P857*_xlfn.XLOOKUP($O857,'Sample Size cal and results'!$B$26:$B$27,'Sample Size cal and results'!$I$26:$I$27)</f>
        <v>3.1189030748375592</v>
      </c>
      <c r="R857" s="330"/>
    </row>
    <row r="858" spans="1:18" ht="12.75">
      <c r="A858" s="99" t="s">
        <v>143</v>
      </c>
      <c r="B858" s="100">
        <v>41771</v>
      </c>
      <c r="C858" s="100">
        <f t="shared" si="150"/>
        <v>44327</v>
      </c>
      <c r="D858" s="209">
        <v>44</v>
      </c>
      <c r="E858" s="217">
        <f t="shared" si="151"/>
        <v>5.8</v>
      </c>
      <c r="F858" s="218">
        <f t="shared" si="152"/>
        <v>6.8</v>
      </c>
      <c r="G858" s="219">
        <f t="shared" si="153"/>
        <v>6.8</v>
      </c>
      <c r="H858" s="220">
        <f t="shared" si="154"/>
        <v>7.8</v>
      </c>
      <c r="I858" s="257" t="str">
        <f t="shared" si="155"/>
        <v>6-7 years</v>
      </c>
      <c r="J858" s="211">
        <f t="shared" si="156"/>
        <v>0.83835616438356164</v>
      </c>
      <c r="K858" s="258">
        <f>$D858*J858*_xlfn.XLOOKUP($I858,'Sample Size cal and results'!$B$24:$B$25,'Sample Size cal and results'!$H$24:$H$25)</f>
        <v>30.244363285022434</v>
      </c>
      <c r="L858" s="211">
        <f t="shared" si="157"/>
        <v>0.16164383561643836</v>
      </c>
      <c r="M858" s="211">
        <f>$D858*L858*_xlfn.XLOOKUP($I858,'Sample Size cal and results'!$B$24:$B$25,'Sample Size cal and results'!$I$24:$I$25)</f>
        <v>5.9831065044034668</v>
      </c>
      <c r="N858" s="214">
        <f t="shared" si="158"/>
        <v>36.227469789425903</v>
      </c>
      <c r="O858" s="225" t="str">
        <f t="shared" si="159"/>
        <v>7-8 years</v>
      </c>
      <c r="P858" s="226">
        <f t="shared" si="160"/>
        <v>0.19726027397260273</v>
      </c>
      <c r="Q858" s="227">
        <f>$D858*P858*_xlfn.XLOOKUP($O858,'Sample Size cal and results'!$B$26:$B$27,'Sample Size cal and results'!$I$26:$I$27)</f>
        <v>5.6396603545007915</v>
      </c>
      <c r="R858" s="330"/>
    </row>
    <row r="859" spans="1:18" ht="12.75">
      <c r="A859" s="99" t="s">
        <v>143</v>
      </c>
      <c r="B859" s="100">
        <v>41770</v>
      </c>
      <c r="C859" s="100">
        <f t="shared" si="150"/>
        <v>44326</v>
      </c>
      <c r="D859" s="209">
        <v>27</v>
      </c>
      <c r="E859" s="217">
        <f t="shared" si="151"/>
        <v>5.8</v>
      </c>
      <c r="F859" s="218">
        <f t="shared" si="152"/>
        <v>6.8</v>
      </c>
      <c r="G859" s="219">
        <f t="shared" si="153"/>
        <v>6.8</v>
      </c>
      <c r="H859" s="220">
        <f t="shared" si="154"/>
        <v>7.8</v>
      </c>
      <c r="I859" s="257" t="str">
        <f t="shared" si="155"/>
        <v>6-7 years</v>
      </c>
      <c r="J859" s="211">
        <f t="shared" si="156"/>
        <v>0.83835616438356164</v>
      </c>
      <c r="K859" s="258">
        <f>$D859*J859*_xlfn.XLOOKUP($I859,'Sample Size cal and results'!$B$24:$B$25,'Sample Size cal and results'!$H$24:$H$25)</f>
        <v>18.559041106718311</v>
      </c>
      <c r="L859" s="211">
        <f t="shared" si="157"/>
        <v>0.16164383561643836</v>
      </c>
      <c r="M859" s="211">
        <f>$D859*L859*_xlfn.XLOOKUP($I859,'Sample Size cal and results'!$B$24:$B$25,'Sample Size cal and results'!$I$24:$I$25)</f>
        <v>3.6714517186112183</v>
      </c>
      <c r="N859" s="214">
        <f t="shared" si="158"/>
        <v>22.230492825329531</v>
      </c>
      <c r="O859" s="225" t="str">
        <f t="shared" si="159"/>
        <v>7-8 years</v>
      </c>
      <c r="P859" s="226">
        <f t="shared" si="160"/>
        <v>0.19452054794520549</v>
      </c>
      <c r="Q859" s="227">
        <f>$D859*P859*_xlfn.XLOOKUP($O859,'Sample Size cal and results'!$B$26:$B$27,'Sample Size cal and results'!$I$26:$I$27)</f>
        <v>3.4126353849678086</v>
      </c>
      <c r="R859" s="330"/>
    </row>
    <row r="860" spans="1:18" ht="12.75">
      <c r="A860" s="99" t="s">
        <v>143</v>
      </c>
      <c r="B860" s="100">
        <v>41769</v>
      </c>
      <c r="C860" s="100">
        <f t="shared" si="150"/>
        <v>44325</v>
      </c>
      <c r="D860" s="209">
        <v>35</v>
      </c>
      <c r="E860" s="217">
        <f t="shared" si="151"/>
        <v>5.8</v>
      </c>
      <c r="F860" s="218">
        <f t="shared" si="152"/>
        <v>6.8</v>
      </c>
      <c r="G860" s="219">
        <f t="shared" si="153"/>
        <v>6.8</v>
      </c>
      <c r="H860" s="220">
        <f t="shared" si="154"/>
        <v>7.8</v>
      </c>
      <c r="I860" s="257" t="str">
        <f t="shared" si="155"/>
        <v>6-7 years</v>
      </c>
      <c r="J860" s="211">
        <f t="shared" si="156"/>
        <v>0.83835616438356164</v>
      </c>
      <c r="K860" s="258">
        <f>$D860*J860*_xlfn.XLOOKUP($I860,'Sample Size cal and results'!$B$24:$B$25,'Sample Size cal and results'!$H$24:$H$25)</f>
        <v>24.058016249449665</v>
      </c>
      <c r="L860" s="211">
        <f t="shared" si="157"/>
        <v>0.16164383561643836</v>
      </c>
      <c r="M860" s="211">
        <f>$D860*L860*_xlfn.XLOOKUP($I860,'Sample Size cal and results'!$B$24:$B$25,'Sample Size cal and results'!$I$24:$I$25)</f>
        <v>4.7592892648663945</v>
      </c>
      <c r="N860" s="214">
        <f t="shared" si="158"/>
        <v>28.817305514316061</v>
      </c>
      <c r="O860" s="225" t="str">
        <f t="shared" si="159"/>
        <v>7-8 years</v>
      </c>
      <c r="P860" s="226">
        <f t="shared" si="160"/>
        <v>0.19178082191780821</v>
      </c>
      <c r="Q860" s="227">
        <f>$D860*P860*_xlfn.XLOOKUP($O860,'Sample Size cal and results'!$B$26:$B$27,'Sample Size cal and results'!$I$26:$I$27)</f>
        <v>4.3614797564794623</v>
      </c>
      <c r="R860" s="330"/>
    </row>
    <row r="861" spans="1:18" ht="12.75">
      <c r="A861" s="99" t="s">
        <v>143</v>
      </c>
      <c r="B861" s="100">
        <v>41768</v>
      </c>
      <c r="C861" s="100">
        <f t="shared" si="150"/>
        <v>44324</v>
      </c>
      <c r="D861" s="209">
        <v>29</v>
      </c>
      <c r="E861" s="217">
        <f t="shared" si="151"/>
        <v>5.81</v>
      </c>
      <c r="F861" s="218">
        <f t="shared" si="152"/>
        <v>6.8</v>
      </c>
      <c r="G861" s="219">
        <f t="shared" si="153"/>
        <v>6.81</v>
      </c>
      <c r="H861" s="220">
        <f t="shared" si="154"/>
        <v>7.8</v>
      </c>
      <c r="I861" s="257" t="str">
        <f t="shared" si="155"/>
        <v>6-7 years</v>
      </c>
      <c r="J861" s="211">
        <f t="shared" si="156"/>
        <v>0.83835616438356164</v>
      </c>
      <c r="K861" s="258">
        <f>$D861*J861*_xlfn.XLOOKUP($I861,'Sample Size cal and results'!$B$24:$B$25,'Sample Size cal and results'!$H$24:$H$25)</f>
        <v>19.93378489240115</v>
      </c>
      <c r="L861" s="211">
        <f t="shared" si="157"/>
        <v>0.16164383561643836</v>
      </c>
      <c r="M861" s="211">
        <f>$D861*L861*_xlfn.XLOOKUP($I861,'Sample Size cal and results'!$B$24:$B$25,'Sample Size cal and results'!$I$24:$I$25)</f>
        <v>3.9434111051750125</v>
      </c>
      <c r="N861" s="214">
        <f t="shared" si="158"/>
        <v>23.877195997576163</v>
      </c>
      <c r="O861" s="225" t="str">
        <f t="shared" si="159"/>
        <v>7-8 years</v>
      </c>
      <c r="P861" s="226">
        <f t="shared" si="160"/>
        <v>0.18904109589041096</v>
      </c>
      <c r="Q861" s="227">
        <f>$D861*P861*_xlfn.XLOOKUP($O861,'Sample Size cal and results'!$B$26:$B$27,'Sample Size cal and results'!$I$26:$I$27)</f>
        <v>3.5621718337613899</v>
      </c>
      <c r="R861" s="330"/>
    </row>
    <row r="862" spans="1:18" ht="12.75">
      <c r="A862" s="99" t="s">
        <v>145</v>
      </c>
      <c r="B862" s="100">
        <v>41768</v>
      </c>
      <c r="C862" s="100">
        <f t="shared" si="150"/>
        <v>44324</v>
      </c>
      <c r="D862" s="209">
        <v>1</v>
      </c>
      <c r="E862" s="217">
        <f t="shared" si="151"/>
        <v>5.81</v>
      </c>
      <c r="F862" s="218">
        <f t="shared" si="152"/>
        <v>6.8</v>
      </c>
      <c r="G862" s="219">
        <f t="shared" si="153"/>
        <v>6.81</v>
      </c>
      <c r="H862" s="220">
        <f t="shared" si="154"/>
        <v>7.8</v>
      </c>
      <c r="I862" s="257" t="str">
        <f t="shared" si="155"/>
        <v>6-7 years</v>
      </c>
      <c r="J862" s="211">
        <f t="shared" si="156"/>
        <v>0.83835616438356164</v>
      </c>
      <c r="K862" s="258">
        <f>$D862*J862*_xlfn.XLOOKUP($I862,'Sample Size cal and results'!$B$24:$B$25,'Sample Size cal and results'!$H$24:$H$25)</f>
        <v>0.68737189284141897</v>
      </c>
      <c r="L862" s="211">
        <f t="shared" si="157"/>
        <v>0.16164383561643836</v>
      </c>
      <c r="M862" s="211">
        <f>$D862*L862*_xlfn.XLOOKUP($I862,'Sample Size cal and results'!$B$24:$B$25,'Sample Size cal and results'!$I$24:$I$25)</f>
        <v>0.13597969328189699</v>
      </c>
      <c r="N862" s="214">
        <f t="shared" si="158"/>
        <v>0.82335158612331594</v>
      </c>
      <c r="O862" s="225" t="str">
        <f t="shared" si="159"/>
        <v>7-8 years</v>
      </c>
      <c r="P862" s="226">
        <f t="shared" si="160"/>
        <v>0.18904109589041096</v>
      </c>
      <c r="Q862" s="227">
        <f>$D862*P862*_xlfn.XLOOKUP($O862,'Sample Size cal and results'!$B$26:$B$27,'Sample Size cal and results'!$I$26:$I$27)</f>
        <v>0.12283351150901345</v>
      </c>
      <c r="R862" s="330"/>
    </row>
    <row r="863" spans="1:18" ht="12.75">
      <c r="A863" s="99" t="s">
        <v>143</v>
      </c>
      <c r="B863" s="100">
        <v>41767</v>
      </c>
      <c r="C863" s="100">
        <f t="shared" si="150"/>
        <v>44323</v>
      </c>
      <c r="D863" s="209">
        <v>45</v>
      </c>
      <c r="E863" s="217">
        <f t="shared" si="151"/>
        <v>5.81</v>
      </c>
      <c r="F863" s="218">
        <f t="shared" si="152"/>
        <v>6.81</v>
      </c>
      <c r="G863" s="219">
        <f t="shared" si="153"/>
        <v>6.81</v>
      </c>
      <c r="H863" s="220">
        <f t="shared" si="154"/>
        <v>7.81</v>
      </c>
      <c r="I863" s="257" t="str">
        <f t="shared" si="155"/>
        <v>6-7 years</v>
      </c>
      <c r="J863" s="211">
        <f t="shared" si="156"/>
        <v>0.83835616438356164</v>
      </c>
      <c r="K863" s="258">
        <f>$D863*J863*_xlfn.XLOOKUP($I863,'Sample Size cal and results'!$B$24:$B$25,'Sample Size cal and results'!$H$24:$H$25)</f>
        <v>30.931735177863853</v>
      </c>
      <c r="L863" s="211">
        <f t="shared" si="157"/>
        <v>0.16164383561643836</v>
      </c>
      <c r="M863" s="211">
        <f>$D863*L863*_xlfn.XLOOKUP($I863,'Sample Size cal and results'!$B$24:$B$25,'Sample Size cal and results'!$I$24:$I$25)</f>
        <v>6.1190861976853643</v>
      </c>
      <c r="N863" s="214">
        <f t="shared" si="158"/>
        <v>37.050821375549219</v>
      </c>
      <c r="O863" s="225" t="str">
        <f t="shared" si="159"/>
        <v>7-8 years</v>
      </c>
      <c r="P863" s="226">
        <f t="shared" si="160"/>
        <v>0.18630136986301371</v>
      </c>
      <c r="Q863" s="227">
        <f>$D863*P863*_xlfn.XLOOKUP($O863,'Sample Size cal and results'!$B$26:$B$27,'Sample Size cal and results'!$I$26:$I$27)</f>
        <v>5.4473992060519008</v>
      </c>
      <c r="R863" s="330"/>
    </row>
    <row r="864" spans="1:18" ht="12.75">
      <c r="A864" s="99" t="s">
        <v>145</v>
      </c>
      <c r="B864" s="100">
        <v>41767</v>
      </c>
      <c r="C864" s="100">
        <f t="shared" si="150"/>
        <v>44323</v>
      </c>
      <c r="D864" s="209">
        <v>1</v>
      </c>
      <c r="E864" s="217">
        <f t="shared" si="151"/>
        <v>5.81</v>
      </c>
      <c r="F864" s="218">
        <f t="shared" si="152"/>
        <v>6.81</v>
      </c>
      <c r="G864" s="219">
        <f t="shared" si="153"/>
        <v>6.81</v>
      </c>
      <c r="H864" s="220">
        <f t="shared" si="154"/>
        <v>7.81</v>
      </c>
      <c r="I864" s="257" t="str">
        <f t="shared" si="155"/>
        <v>6-7 years</v>
      </c>
      <c r="J864" s="211">
        <f t="shared" si="156"/>
        <v>0.83835616438356164</v>
      </c>
      <c r="K864" s="258">
        <f>$D864*J864*_xlfn.XLOOKUP($I864,'Sample Size cal and results'!$B$24:$B$25,'Sample Size cal and results'!$H$24:$H$25)</f>
        <v>0.68737189284141897</v>
      </c>
      <c r="L864" s="211">
        <f t="shared" si="157"/>
        <v>0.16164383561643836</v>
      </c>
      <c r="M864" s="211">
        <f>$D864*L864*_xlfn.XLOOKUP($I864,'Sample Size cal and results'!$B$24:$B$25,'Sample Size cal and results'!$I$24:$I$25)</f>
        <v>0.13597969328189699</v>
      </c>
      <c r="N864" s="214">
        <f t="shared" si="158"/>
        <v>0.82335158612331594</v>
      </c>
      <c r="O864" s="225" t="str">
        <f t="shared" si="159"/>
        <v>7-8 years</v>
      </c>
      <c r="P864" s="226">
        <f t="shared" si="160"/>
        <v>0.18630136986301371</v>
      </c>
      <c r="Q864" s="227">
        <f>$D864*P864*_xlfn.XLOOKUP($O864,'Sample Size cal and results'!$B$26:$B$27,'Sample Size cal and results'!$I$26:$I$27)</f>
        <v>0.12105331569004224</v>
      </c>
      <c r="R864" s="330"/>
    </row>
    <row r="865" spans="1:18" ht="12.75">
      <c r="A865" s="99" t="s">
        <v>143</v>
      </c>
      <c r="B865" s="100">
        <v>41766</v>
      </c>
      <c r="C865" s="100">
        <f t="shared" si="150"/>
        <v>44322</v>
      </c>
      <c r="D865" s="209">
        <v>26</v>
      </c>
      <c r="E865" s="217">
        <f t="shared" si="151"/>
        <v>5.81</v>
      </c>
      <c r="F865" s="218">
        <f t="shared" si="152"/>
        <v>6.81</v>
      </c>
      <c r="G865" s="219">
        <f t="shared" si="153"/>
        <v>6.81</v>
      </c>
      <c r="H865" s="220">
        <f t="shared" si="154"/>
        <v>7.81</v>
      </c>
      <c r="I865" s="257" t="str">
        <f t="shared" si="155"/>
        <v>6-7 years</v>
      </c>
      <c r="J865" s="211">
        <f t="shared" si="156"/>
        <v>0.83835616438356164</v>
      </c>
      <c r="K865" s="258">
        <f>$D865*J865*_xlfn.XLOOKUP($I865,'Sample Size cal and results'!$B$24:$B$25,'Sample Size cal and results'!$H$24:$H$25)</f>
        <v>17.871669213876892</v>
      </c>
      <c r="L865" s="211">
        <f t="shared" si="157"/>
        <v>0.16164383561643836</v>
      </c>
      <c r="M865" s="211">
        <f>$D865*L865*_xlfn.XLOOKUP($I865,'Sample Size cal and results'!$B$24:$B$25,'Sample Size cal and results'!$I$24:$I$25)</f>
        <v>3.5354720253293217</v>
      </c>
      <c r="N865" s="214">
        <f t="shared" si="158"/>
        <v>21.407141239206215</v>
      </c>
      <c r="O865" s="225" t="str">
        <f t="shared" si="159"/>
        <v>7-8 years</v>
      </c>
      <c r="P865" s="226">
        <f t="shared" si="160"/>
        <v>0.18356164383561643</v>
      </c>
      <c r="Q865" s="227">
        <f>$D865*P865*_xlfn.XLOOKUP($O865,'Sample Size cal and results'!$B$26:$B$27,'Sample Size cal and results'!$I$26:$I$27)</f>
        <v>3.1011011166478464</v>
      </c>
      <c r="R865" s="330"/>
    </row>
    <row r="866" spans="1:18" ht="12.75">
      <c r="A866" s="99" t="s">
        <v>145</v>
      </c>
      <c r="B866" s="100">
        <v>41766</v>
      </c>
      <c r="C866" s="100">
        <f t="shared" si="150"/>
        <v>44322</v>
      </c>
      <c r="D866" s="209">
        <v>1</v>
      </c>
      <c r="E866" s="217">
        <f t="shared" si="151"/>
        <v>5.81</v>
      </c>
      <c r="F866" s="218">
        <f t="shared" si="152"/>
        <v>6.81</v>
      </c>
      <c r="G866" s="219">
        <f t="shared" si="153"/>
        <v>6.81</v>
      </c>
      <c r="H866" s="220">
        <f t="shared" si="154"/>
        <v>7.81</v>
      </c>
      <c r="I866" s="257" t="str">
        <f t="shared" si="155"/>
        <v>6-7 years</v>
      </c>
      <c r="J866" s="211">
        <f t="shared" si="156"/>
        <v>0.83835616438356164</v>
      </c>
      <c r="K866" s="258">
        <f>$D866*J866*_xlfn.XLOOKUP($I866,'Sample Size cal and results'!$B$24:$B$25,'Sample Size cal and results'!$H$24:$H$25)</f>
        <v>0.68737189284141897</v>
      </c>
      <c r="L866" s="211">
        <f t="shared" si="157"/>
        <v>0.16164383561643836</v>
      </c>
      <c r="M866" s="211">
        <f>$D866*L866*_xlfn.XLOOKUP($I866,'Sample Size cal and results'!$B$24:$B$25,'Sample Size cal and results'!$I$24:$I$25)</f>
        <v>0.13597969328189699</v>
      </c>
      <c r="N866" s="214">
        <f t="shared" si="158"/>
        <v>0.82335158612331594</v>
      </c>
      <c r="O866" s="225" t="str">
        <f t="shared" si="159"/>
        <v>7-8 years</v>
      </c>
      <c r="P866" s="226">
        <f t="shared" si="160"/>
        <v>0.18356164383561643</v>
      </c>
      <c r="Q866" s="227">
        <f>$D866*P866*_xlfn.XLOOKUP($O866,'Sample Size cal and results'!$B$26:$B$27,'Sample Size cal and results'!$I$26:$I$27)</f>
        <v>0.11927311987107102</v>
      </c>
      <c r="R866" s="330"/>
    </row>
    <row r="867" spans="1:18" ht="12.75">
      <c r="A867" s="99" t="s">
        <v>143</v>
      </c>
      <c r="B867" s="100">
        <v>41765</v>
      </c>
      <c r="C867" s="100">
        <f t="shared" si="150"/>
        <v>44321</v>
      </c>
      <c r="D867" s="209">
        <v>23</v>
      </c>
      <c r="E867" s="217">
        <f t="shared" si="151"/>
        <v>5.82</v>
      </c>
      <c r="F867" s="218">
        <f t="shared" si="152"/>
        <v>6.81</v>
      </c>
      <c r="G867" s="219">
        <f t="shared" si="153"/>
        <v>6.81</v>
      </c>
      <c r="H867" s="220">
        <f t="shared" si="154"/>
        <v>7.81</v>
      </c>
      <c r="I867" s="257" t="str">
        <f t="shared" si="155"/>
        <v>6-7 years</v>
      </c>
      <c r="J867" s="211">
        <f t="shared" si="156"/>
        <v>0.83835616438356164</v>
      </c>
      <c r="K867" s="258">
        <f>$D867*J867*_xlfn.XLOOKUP($I867,'Sample Size cal and results'!$B$24:$B$25,'Sample Size cal and results'!$H$24:$H$25)</f>
        <v>15.809553535352636</v>
      </c>
      <c r="L867" s="211">
        <f t="shared" si="157"/>
        <v>0.16164383561643836</v>
      </c>
      <c r="M867" s="211">
        <f>$D867*L867*_xlfn.XLOOKUP($I867,'Sample Size cal and results'!$B$24:$B$25,'Sample Size cal and results'!$I$24:$I$25)</f>
        <v>3.1275329454836305</v>
      </c>
      <c r="N867" s="214">
        <f t="shared" si="158"/>
        <v>18.937086480836268</v>
      </c>
      <c r="O867" s="225" t="str">
        <f t="shared" si="159"/>
        <v>7-8 years</v>
      </c>
      <c r="P867" s="226">
        <f t="shared" si="160"/>
        <v>0.18082191780821918</v>
      </c>
      <c r="Q867" s="227">
        <f>$D867*P867*_xlfn.XLOOKUP($O867,'Sample Size cal and results'!$B$26:$B$27,'Sample Size cal and results'!$I$26:$I$27)</f>
        <v>2.7023372531982961</v>
      </c>
      <c r="R867" s="330"/>
    </row>
    <row r="868" spans="1:18" ht="12.75">
      <c r="A868" s="99" t="s">
        <v>145</v>
      </c>
      <c r="B868" s="100">
        <v>41765</v>
      </c>
      <c r="C868" s="100">
        <f t="shared" si="150"/>
        <v>44321</v>
      </c>
      <c r="D868" s="209">
        <v>1</v>
      </c>
      <c r="E868" s="217">
        <f t="shared" si="151"/>
        <v>5.82</v>
      </c>
      <c r="F868" s="218">
        <f t="shared" si="152"/>
        <v>6.81</v>
      </c>
      <c r="G868" s="219">
        <f t="shared" si="153"/>
        <v>6.81</v>
      </c>
      <c r="H868" s="220">
        <f t="shared" si="154"/>
        <v>7.81</v>
      </c>
      <c r="I868" s="257" t="str">
        <f t="shared" si="155"/>
        <v>6-7 years</v>
      </c>
      <c r="J868" s="211">
        <f t="shared" si="156"/>
        <v>0.83835616438356164</v>
      </c>
      <c r="K868" s="258">
        <f>$D868*J868*_xlfn.XLOOKUP($I868,'Sample Size cal and results'!$B$24:$B$25,'Sample Size cal and results'!$H$24:$H$25)</f>
        <v>0.68737189284141897</v>
      </c>
      <c r="L868" s="211">
        <f t="shared" si="157"/>
        <v>0.16164383561643836</v>
      </c>
      <c r="M868" s="211">
        <f>$D868*L868*_xlfn.XLOOKUP($I868,'Sample Size cal and results'!$B$24:$B$25,'Sample Size cal and results'!$I$24:$I$25)</f>
        <v>0.13597969328189699</v>
      </c>
      <c r="N868" s="214">
        <f t="shared" si="158"/>
        <v>0.82335158612331594</v>
      </c>
      <c r="O868" s="225" t="str">
        <f t="shared" si="159"/>
        <v>7-8 years</v>
      </c>
      <c r="P868" s="226">
        <f t="shared" si="160"/>
        <v>0.18082191780821918</v>
      </c>
      <c r="Q868" s="227">
        <f>$D868*P868*_xlfn.XLOOKUP($O868,'Sample Size cal and results'!$B$26:$B$27,'Sample Size cal and results'!$I$26:$I$27)</f>
        <v>0.11749292405209982</v>
      </c>
      <c r="R868" s="330"/>
    </row>
    <row r="869" spans="1:18" ht="12.75">
      <c r="A869" s="99" t="s">
        <v>143</v>
      </c>
      <c r="B869" s="100">
        <v>41764</v>
      </c>
      <c r="C869" s="100">
        <f t="shared" si="150"/>
        <v>44320</v>
      </c>
      <c r="D869" s="209">
        <v>41</v>
      </c>
      <c r="E869" s="217">
        <f t="shared" si="151"/>
        <v>5.82</v>
      </c>
      <c r="F869" s="218">
        <f t="shared" si="152"/>
        <v>6.81</v>
      </c>
      <c r="G869" s="219">
        <f t="shared" si="153"/>
        <v>6.82</v>
      </c>
      <c r="H869" s="220">
        <f t="shared" si="154"/>
        <v>7.81</v>
      </c>
      <c r="I869" s="257" t="str">
        <f t="shared" si="155"/>
        <v>6-7 years</v>
      </c>
      <c r="J869" s="211">
        <f t="shared" si="156"/>
        <v>0.83835616438356164</v>
      </c>
      <c r="K869" s="258">
        <f>$D869*J869*_xlfn.XLOOKUP($I869,'Sample Size cal and results'!$B$24:$B$25,'Sample Size cal and results'!$H$24:$H$25)</f>
        <v>28.182247606498176</v>
      </c>
      <c r="L869" s="211">
        <f t="shared" si="157"/>
        <v>0.16164383561643836</v>
      </c>
      <c r="M869" s="211">
        <f>$D869*L869*_xlfn.XLOOKUP($I869,'Sample Size cal and results'!$B$24:$B$25,'Sample Size cal and results'!$I$24:$I$25)</f>
        <v>5.575167424557776</v>
      </c>
      <c r="N869" s="214">
        <f t="shared" si="158"/>
        <v>33.757415031055956</v>
      </c>
      <c r="O869" s="225" t="str">
        <f t="shared" si="159"/>
        <v>7-8 years</v>
      </c>
      <c r="P869" s="226">
        <f t="shared" si="160"/>
        <v>0.17808219178082191</v>
      </c>
      <c r="Q869" s="227">
        <f>$D869*P869*_xlfn.XLOOKUP($O869,'Sample Size cal and results'!$B$26:$B$27,'Sample Size cal and results'!$I$26:$I$27)</f>
        <v>4.7442218575582729</v>
      </c>
      <c r="R869" s="330"/>
    </row>
    <row r="870" spans="1:18" ht="12.75">
      <c r="A870" s="99" t="s">
        <v>145</v>
      </c>
      <c r="B870" s="100">
        <v>41764</v>
      </c>
      <c r="C870" s="100">
        <f t="shared" si="150"/>
        <v>44320</v>
      </c>
      <c r="D870" s="209">
        <v>1</v>
      </c>
      <c r="E870" s="217">
        <f t="shared" si="151"/>
        <v>5.82</v>
      </c>
      <c r="F870" s="218">
        <f t="shared" si="152"/>
        <v>6.81</v>
      </c>
      <c r="G870" s="219">
        <f t="shared" si="153"/>
        <v>6.82</v>
      </c>
      <c r="H870" s="220">
        <f t="shared" si="154"/>
        <v>7.81</v>
      </c>
      <c r="I870" s="257" t="str">
        <f t="shared" si="155"/>
        <v>6-7 years</v>
      </c>
      <c r="J870" s="211">
        <f t="shared" si="156"/>
        <v>0.83835616438356164</v>
      </c>
      <c r="K870" s="258">
        <f>$D870*J870*_xlfn.XLOOKUP($I870,'Sample Size cal and results'!$B$24:$B$25,'Sample Size cal and results'!$H$24:$H$25)</f>
        <v>0.68737189284141897</v>
      </c>
      <c r="L870" s="211">
        <f t="shared" si="157"/>
        <v>0.16164383561643836</v>
      </c>
      <c r="M870" s="211">
        <f>$D870*L870*_xlfn.XLOOKUP($I870,'Sample Size cal and results'!$B$24:$B$25,'Sample Size cal and results'!$I$24:$I$25)</f>
        <v>0.13597969328189699</v>
      </c>
      <c r="N870" s="214">
        <f t="shared" si="158"/>
        <v>0.82335158612331594</v>
      </c>
      <c r="O870" s="225" t="str">
        <f t="shared" si="159"/>
        <v>7-8 years</v>
      </c>
      <c r="P870" s="226">
        <f t="shared" si="160"/>
        <v>0.17808219178082191</v>
      </c>
      <c r="Q870" s="227">
        <f>$D870*P870*_xlfn.XLOOKUP($O870,'Sample Size cal and results'!$B$26:$B$27,'Sample Size cal and results'!$I$26:$I$27)</f>
        <v>0.1157127282331286</v>
      </c>
      <c r="R870" s="330"/>
    </row>
    <row r="871" spans="1:18" ht="12.75">
      <c r="A871" s="99" t="s">
        <v>143</v>
      </c>
      <c r="B871" s="100">
        <v>41763</v>
      </c>
      <c r="C871" s="100">
        <f t="shared" si="150"/>
        <v>44319</v>
      </c>
      <c r="D871" s="209">
        <v>19</v>
      </c>
      <c r="E871" s="217">
        <f t="shared" si="151"/>
        <v>5.82</v>
      </c>
      <c r="F871" s="218">
        <f t="shared" si="152"/>
        <v>6.82</v>
      </c>
      <c r="G871" s="219">
        <f t="shared" si="153"/>
        <v>6.82</v>
      </c>
      <c r="H871" s="220">
        <f t="shared" si="154"/>
        <v>7.82</v>
      </c>
      <c r="I871" s="257" t="str">
        <f t="shared" si="155"/>
        <v>6-7 years</v>
      </c>
      <c r="J871" s="211">
        <f t="shared" si="156"/>
        <v>0.83835616438356164</v>
      </c>
      <c r="K871" s="258">
        <f>$D871*J871*_xlfn.XLOOKUP($I871,'Sample Size cal and results'!$B$24:$B$25,'Sample Size cal and results'!$H$24:$H$25)</f>
        <v>13.060065963986959</v>
      </c>
      <c r="L871" s="211">
        <f t="shared" si="157"/>
        <v>0.16164383561643836</v>
      </c>
      <c r="M871" s="211">
        <f>$D871*L871*_xlfn.XLOOKUP($I871,'Sample Size cal and results'!$B$24:$B$25,'Sample Size cal and results'!$I$24:$I$25)</f>
        <v>2.5836141723560426</v>
      </c>
      <c r="N871" s="214">
        <f t="shared" si="158"/>
        <v>15.643680136343002</v>
      </c>
      <c r="O871" s="225" t="str">
        <f t="shared" si="159"/>
        <v>7-8 years</v>
      </c>
      <c r="P871" s="226">
        <f t="shared" si="160"/>
        <v>0.17534246575342466</v>
      </c>
      <c r="Q871" s="227">
        <f>$D871*P871*_xlfn.XLOOKUP($O871,'Sample Size cal and results'!$B$26:$B$27,'Sample Size cal and results'!$I$26:$I$27)</f>
        <v>2.1647181158689905</v>
      </c>
      <c r="R871" s="330"/>
    </row>
    <row r="872" spans="1:18" ht="12.75">
      <c r="A872" s="99" t="s">
        <v>143</v>
      </c>
      <c r="B872" s="100">
        <v>41762</v>
      </c>
      <c r="C872" s="100">
        <f t="shared" si="150"/>
        <v>44318</v>
      </c>
      <c r="D872" s="209">
        <v>17</v>
      </c>
      <c r="E872" s="217">
        <f t="shared" si="151"/>
        <v>5.82</v>
      </c>
      <c r="F872" s="218">
        <f t="shared" si="152"/>
        <v>6.82</v>
      </c>
      <c r="G872" s="219">
        <f t="shared" si="153"/>
        <v>6.82</v>
      </c>
      <c r="H872" s="220">
        <f t="shared" si="154"/>
        <v>7.82</v>
      </c>
      <c r="I872" s="257" t="str">
        <f t="shared" si="155"/>
        <v>6-7 years</v>
      </c>
      <c r="J872" s="211">
        <f t="shared" si="156"/>
        <v>0.83835616438356164</v>
      </c>
      <c r="K872" s="258">
        <f>$D872*J872*_xlfn.XLOOKUP($I872,'Sample Size cal and results'!$B$24:$B$25,'Sample Size cal and results'!$H$24:$H$25)</f>
        <v>11.685322178304123</v>
      </c>
      <c r="L872" s="211">
        <f t="shared" si="157"/>
        <v>0.16164383561643836</v>
      </c>
      <c r="M872" s="211">
        <f>$D872*L872*_xlfn.XLOOKUP($I872,'Sample Size cal and results'!$B$24:$B$25,'Sample Size cal and results'!$I$24:$I$25)</f>
        <v>2.3116547857922489</v>
      </c>
      <c r="N872" s="214">
        <f t="shared" si="158"/>
        <v>13.996976964096373</v>
      </c>
      <c r="O872" s="225" t="str">
        <f t="shared" si="159"/>
        <v>7-8 years</v>
      </c>
      <c r="P872" s="226">
        <f t="shared" si="160"/>
        <v>0.17260273972602741</v>
      </c>
      <c r="Q872" s="227">
        <f>$D872*P872*_xlfn.XLOOKUP($O872,'Sample Size cal and results'!$B$26:$B$27,'Sample Size cal and results'!$I$26:$I$27)</f>
        <v>1.9065897221181654</v>
      </c>
      <c r="R872" s="330"/>
    </row>
    <row r="873" spans="1:18" ht="12.75">
      <c r="A873" s="99" t="s">
        <v>143</v>
      </c>
      <c r="B873" s="100">
        <v>41761</v>
      </c>
      <c r="C873" s="100">
        <f t="shared" si="150"/>
        <v>44317</v>
      </c>
      <c r="D873" s="209">
        <v>21</v>
      </c>
      <c r="E873" s="217">
        <f t="shared" si="151"/>
        <v>5.83</v>
      </c>
      <c r="F873" s="218">
        <f t="shared" si="152"/>
        <v>6.82</v>
      </c>
      <c r="G873" s="219">
        <f t="shared" si="153"/>
        <v>6.83</v>
      </c>
      <c r="H873" s="220">
        <f t="shared" si="154"/>
        <v>7.82</v>
      </c>
      <c r="I873" s="257" t="str">
        <f t="shared" si="155"/>
        <v>6-7 years</v>
      </c>
      <c r="J873" s="211">
        <f t="shared" si="156"/>
        <v>0.83835616438356164</v>
      </c>
      <c r="K873" s="258">
        <f>$D873*J873*_xlfn.XLOOKUP($I873,'Sample Size cal and results'!$B$24:$B$25,'Sample Size cal and results'!$H$24:$H$25)</f>
        <v>14.434809749669798</v>
      </c>
      <c r="L873" s="211">
        <f t="shared" si="157"/>
        <v>0.16164383561643836</v>
      </c>
      <c r="M873" s="211">
        <f>$D873*L873*_xlfn.XLOOKUP($I873,'Sample Size cal and results'!$B$24:$B$25,'Sample Size cal and results'!$I$24:$I$25)</f>
        <v>2.8555735589198368</v>
      </c>
      <c r="N873" s="214">
        <f t="shared" si="158"/>
        <v>17.290383308589636</v>
      </c>
      <c r="O873" s="225" t="str">
        <f t="shared" si="159"/>
        <v>7-8 years</v>
      </c>
      <c r="P873" s="226">
        <f t="shared" si="160"/>
        <v>0.16986301369863013</v>
      </c>
      <c r="Q873" s="227">
        <f>$D873*P873*_xlfn.XLOOKUP($O873,'Sample Size cal and results'!$B$26:$B$27,'Sample Size cal and results'!$I$26:$I$27)</f>
        <v>2.3178149563005146</v>
      </c>
      <c r="R873" s="330"/>
    </row>
    <row r="874" spans="1:18" ht="12.75">
      <c r="A874" s="99" t="s">
        <v>143</v>
      </c>
      <c r="B874" s="100">
        <v>41760</v>
      </c>
      <c r="C874" s="100">
        <f t="shared" si="150"/>
        <v>44316</v>
      </c>
      <c r="D874" s="209">
        <v>10</v>
      </c>
      <c r="E874" s="217">
        <f t="shared" si="151"/>
        <v>5.83</v>
      </c>
      <c r="F874" s="218">
        <f t="shared" si="152"/>
        <v>6.83</v>
      </c>
      <c r="G874" s="219">
        <f t="shared" si="153"/>
        <v>6.83</v>
      </c>
      <c r="H874" s="220">
        <f t="shared" si="154"/>
        <v>7.83</v>
      </c>
      <c r="I874" s="257" t="str">
        <f t="shared" si="155"/>
        <v>6-7 years</v>
      </c>
      <c r="J874" s="211">
        <f t="shared" si="156"/>
        <v>0.83835616438356164</v>
      </c>
      <c r="K874" s="258">
        <f>$D874*J874*_xlfn.XLOOKUP($I874,'Sample Size cal and results'!$B$24:$B$25,'Sample Size cal and results'!$H$24:$H$25)</f>
        <v>6.8737189284141893</v>
      </c>
      <c r="L874" s="211">
        <f t="shared" si="157"/>
        <v>0.16164383561643836</v>
      </c>
      <c r="M874" s="211">
        <f>$D874*L874*_xlfn.XLOOKUP($I874,'Sample Size cal and results'!$B$24:$B$25,'Sample Size cal and results'!$I$24:$I$25)</f>
        <v>1.3597969328189699</v>
      </c>
      <c r="N874" s="214">
        <f t="shared" si="158"/>
        <v>8.2335158612331583</v>
      </c>
      <c r="O874" s="225" t="str">
        <f t="shared" si="159"/>
        <v>7-8 years</v>
      </c>
      <c r="P874" s="226">
        <f t="shared" si="160"/>
        <v>0.16712328767123288</v>
      </c>
      <c r="Q874" s="227">
        <f>$D874*P874*_xlfn.XLOOKUP($O874,'Sample Size cal and results'!$B$26:$B$27,'Sample Size cal and results'!$I$26:$I$27)</f>
        <v>1.0859194495724378</v>
      </c>
      <c r="R874" s="330"/>
    </row>
    <row r="875" spans="1:18" ht="12.75">
      <c r="A875" s="99" t="s">
        <v>143</v>
      </c>
      <c r="B875" s="100">
        <v>41759</v>
      </c>
      <c r="C875" s="100">
        <f t="shared" si="150"/>
        <v>44315</v>
      </c>
      <c r="D875" s="209">
        <v>69</v>
      </c>
      <c r="E875" s="217">
        <f t="shared" si="151"/>
        <v>5.83</v>
      </c>
      <c r="F875" s="218">
        <f t="shared" si="152"/>
        <v>6.83</v>
      </c>
      <c r="G875" s="219">
        <f t="shared" si="153"/>
        <v>6.83</v>
      </c>
      <c r="H875" s="220">
        <f t="shared" si="154"/>
        <v>7.83</v>
      </c>
      <c r="I875" s="257" t="str">
        <f t="shared" si="155"/>
        <v>6-7 years</v>
      </c>
      <c r="J875" s="211">
        <f t="shared" si="156"/>
        <v>0.83835616438356164</v>
      </c>
      <c r="K875" s="258">
        <f>$D875*J875*_xlfn.XLOOKUP($I875,'Sample Size cal and results'!$B$24:$B$25,'Sample Size cal and results'!$H$24:$H$25)</f>
        <v>47.42866060605791</v>
      </c>
      <c r="L875" s="211">
        <f t="shared" si="157"/>
        <v>0.16164383561643836</v>
      </c>
      <c r="M875" s="211">
        <f>$D875*L875*_xlfn.XLOOKUP($I875,'Sample Size cal and results'!$B$24:$B$25,'Sample Size cal and results'!$I$24:$I$25)</f>
        <v>9.3825988364508923</v>
      </c>
      <c r="N875" s="214">
        <f t="shared" si="158"/>
        <v>56.811259442508799</v>
      </c>
      <c r="O875" s="225" t="str">
        <f t="shared" si="159"/>
        <v>7-8 years</v>
      </c>
      <c r="P875" s="226">
        <f t="shared" si="160"/>
        <v>0.16438356164383561</v>
      </c>
      <c r="Q875" s="227">
        <f>$D875*P875*_xlfn.XLOOKUP($O875,'Sample Size cal and results'!$B$26:$B$27,'Sample Size cal and results'!$I$26:$I$27)</f>
        <v>7.3700106905408065</v>
      </c>
      <c r="R875" s="330"/>
    </row>
    <row r="876" spans="1:18" ht="12.75">
      <c r="A876" s="99" t="s">
        <v>143</v>
      </c>
      <c r="B876" s="100">
        <v>41758</v>
      </c>
      <c r="C876" s="100">
        <f t="shared" si="150"/>
        <v>44314</v>
      </c>
      <c r="D876" s="209">
        <v>34</v>
      </c>
      <c r="E876" s="217">
        <f t="shared" si="151"/>
        <v>5.83</v>
      </c>
      <c r="F876" s="218">
        <f t="shared" si="152"/>
        <v>6.83</v>
      </c>
      <c r="G876" s="219">
        <f t="shared" si="153"/>
        <v>6.83</v>
      </c>
      <c r="H876" s="220">
        <f t="shared" si="154"/>
        <v>7.83</v>
      </c>
      <c r="I876" s="257" t="str">
        <f t="shared" si="155"/>
        <v>6-7 years</v>
      </c>
      <c r="J876" s="211">
        <f t="shared" si="156"/>
        <v>0.83835616438356164</v>
      </c>
      <c r="K876" s="258">
        <f>$D876*J876*_xlfn.XLOOKUP($I876,'Sample Size cal and results'!$B$24:$B$25,'Sample Size cal and results'!$H$24:$H$25)</f>
        <v>23.370644356608246</v>
      </c>
      <c r="L876" s="211">
        <f t="shared" si="157"/>
        <v>0.16164383561643836</v>
      </c>
      <c r="M876" s="211">
        <f>$D876*L876*_xlfn.XLOOKUP($I876,'Sample Size cal and results'!$B$24:$B$25,'Sample Size cal and results'!$I$24:$I$25)</f>
        <v>4.6233095715844978</v>
      </c>
      <c r="N876" s="214">
        <f t="shared" si="158"/>
        <v>27.993953928192745</v>
      </c>
      <c r="O876" s="225" t="str">
        <f t="shared" si="159"/>
        <v>7-8 years</v>
      </c>
      <c r="P876" s="226">
        <f t="shared" si="160"/>
        <v>0.16164383561643836</v>
      </c>
      <c r="Q876" s="227">
        <f>$D876*P876*_xlfn.XLOOKUP($O876,'Sample Size cal and results'!$B$26:$B$27,'Sample Size cal and results'!$I$26:$I$27)</f>
        <v>3.5710728128562463</v>
      </c>
      <c r="R876" s="330"/>
    </row>
    <row r="877" spans="1:18" ht="12.75">
      <c r="A877" s="99" t="s">
        <v>143</v>
      </c>
      <c r="B877" s="100">
        <v>41757</v>
      </c>
      <c r="C877" s="100">
        <f t="shared" si="150"/>
        <v>44313</v>
      </c>
      <c r="D877" s="209">
        <v>35</v>
      </c>
      <c r="E877" s="217">
        <f t="shared" si="151"/>
        <v>5.84</v>
      </c>
      <c r="F877" s="218">
        <f t="shared" si="152"/>
        <v>6.83</v>
      </c>
      <c r="G877" s="219">
        <f t="shared" si="153"/>
        <v>6.84</v>
      </c>
      <c r="H877" s="220">
        <f t="shared" si="154"/>
        <v>7.83</v>
      </c>
      <c r="I877" s="257" t="str">
        <f t="shared" si="155"/>
        <v>6-7 years</v>
      </c>
      <c r="J877" s="211">
        <f t="shared" si="156"/>
        <v>0.83835616438356164</v>
      </c>
      <c r="K877" s="258">
        <f>$D877*J877*_xlfn.XLOOKUP($I877,'Sample Size cal and results'!$B$24:$B$25,'Sample Size cal and results'!$H$24:$H$25)</f>
        <v>24.058016249449665</v>
      </c>
      <c r="L877" s="211">
        <f t="shared" si="157"/>
        <v>0.16164383561643836</v>
      </c>
      <c r="M877" s="211">
        <f>$D877*L877*_xlfn.XLOOKUP($I877,'Sample Size cal and results'!$B$24:$B$25,'Sample Size cal and results'!$I$24:$I$25)</f>
        <v>4.7592892648663945</v>
      </c>
      <c r="N877" s="214">
        <f t="shared" si="158"/>
        <v>28.817305514316061</v>
      </c>
      <c r="O877" s="225" t="str">
        <f t="shared" si="159"/>
        <v>7-8 years</v>
      </c>
      <c r="P877" s="226">
        <f t="shared" si="160"/>
        <v>0.15890410958904111</v>
      </c>
      <c r="Q877" s="227">
        <f>$D877*P877*_xlfn.XLOOKUP($O877,'Sample Size cal and results'!$B$26:$B$27,'Sample Size cal and results'!$I$26:$I$27)</f>
        <v>3.6137975125115549</v>
      </c>
      <c r="R877" s="330"/>
    </row>
    <row r="878" spans="1:18" ht="12.75">
      <c r="A878" s="99" t="s">
        <v>143</v>
      </c>
      <c r="B878" s="100">
        <v>41756</v>
      </c>
      <c r="C878" s="100">
        <f t="shared" si="150"/>
        <v>44312</v>
      </c>
      <c r="D878" s="209">
        <v>44</v>
      </c>
      <c r="E878" s="217">
        <f t="shared" si="151"/>
        <v>5.84</v>
      </c>
      <c r="F878" s="218">
        <f t="shared" si="152"/>
        <v>6.84</v>
      </c>
      <c r="G878" s="219">
        <f t="shared" si="153"/>
        <v>6.84</v>
      </c>
      <c r="H878" s="220">
        <f t="shared" si="154"/>
        <v>7.84</v>
      </c>
      <c r="I878" s="257" t="str">
        <f t="shared" si="155"/>
        <v>6-7 years</v>
      </c>
      <c r="J878" s="211">
        <f t="shared" si="156"/>
        <v>0.83835616438356164</v>
      </c>
      <c r="K878" s="258">
        <f>$D878*J878*_xlfn.XLOOKUP($I878,'Sample Size cal and results'!$B$24:$B$25,'Sample Size cal and results'!$H$24:$H$25)</f>
        <v>30.244363285022434</v>
      </c>
      <c r="L878" s="211">
        <f t="shared" si="157"/>
        <v>0.16164383561643836</v>
      </c>
      <c r="M878" s="211">
        <f>$D878*L878*_xlfn.XLOOKUP($I878,'Sample Size cal and results'!$B$24:$B$25,'Sample Size cal and results'!$I$24:$I$25)</f>
        <v>5.9831065044034668</v>
      </c>
      <c r="N878" s="214">
        <f t="shared" si="158"/>
        <v>36.227469789425903</v>
      </c>
      <c r="O878" s="225" t="str">
        <f t="shared" si="159"/>
        <v>7-8 years</v>
      </c>
      <c r="P878" s="226">
        <f t="shared" si="160"/>
        <v>0.15616438356164383</v>
      </c>
      <c r="Q878" s="227">
        <f>$D878*P878*_xlfn.XLOOKUP($O878,'Sample Size cal and results'!$B$26:$B$27,'Sample Size cal and results'!$I$26:$I$27)</f>
        <v>4.4647311139797932</v>
      </c>
      <c r="R878" s="330"/>
    </row>
    <row r="879" spans="1:18" ht="12.75">
      <c r="A879" s="99" t="s">
        <v>143</v>
      </c>
      <c r="B879" s="100">
        <v>41755</v>
      </c>
      <c r="C879" s="100">
        <f t="shared" si="150"/>
        <v>44311</v>
      </c>
      <c r="D879" s="209">
        <v>35</v>
      </c>
      <c r="E879" s="217">
        <f t="shared" si="151"/>
        <v>5.84</v>
      </c>
      <c r="F879" s="218">
        <f t="shared" si="152"/>
        <v>6.84</v>
      </c>
      <c r="G879" s="219">
        <f t="shared" si="153"/>
        <v>6.84</v>
      </c>
      <c r="H879" s="220">
        <f t="shared" si="154"/>
        <v>7.84</v>
      </c>
      <c r="I879" s="257" t="str">
        <f t="shared" si="155"/>
        <v>6-7 years</v>
      </c>
      <c r="J879" s="211">
        <f t="shared" si="156"/>
        <v>0.83835616438356164</v>
      </c>
      <c r="K879" s="258">
        <f>$D879*J879*_xlfn.XLOOKUP($I879,'Sample Size cal and results'!$B$24:$B$25,'Sample Size cal and results'!$H$24:$H$25)</f>
        <v>24.058016249449665</v>
      </c>
      <c r="L879" s="211">
        <f t="shared" si="157"/>
        <v>0.16164383561643836</v>
      </c>
      <c r="M879" s="211">
        <f>$D879*L879*_xlfn.XLOOKUP($I879,'Sample Size cal and results'!$B$24:$B$25,'Sample Size cal and results'!$I$24:$I$25)</f>
        <v>4.7592892648663945</v>
      </c>
      <c r="N879" s="214">
        <f t="shared" si="158"/>
        <v>28.817305514316061</v>
      </c>
      <c r="O879" s="225" t="str">
        <f t="shared" si="159"/>
        <v>7-8 years</v>
      </c>
      <c r="P879" s="226">
        <f t="shared" si="160"/>
        <v>0.15342465753424658</v>
      </c>
      <c r="Q879" s="227">
        <f>$D879*P879*_xlfn.XLOOKUP($O879,'Sample Size cal and results'!$B$26:$B$27,'Sample Size cal and results'!$I$26:$I$27)</f>
        <v>3.4891838051835706</v>
      </c>
      <c r="R879" s="330"/>
    </row>
    <row r="880" spans="1:18" ht="12.75">
      <c r="A880" s="99" t="s">
        <v>143</v>
      </c>
      <c r="B880" s="100">
        <v>41754</v>
      </c>
      <c r="C880" s="100">
        <f t="shared" si="150"/>
        <v>44310</v>
      </c>
      <c r="D880" s="209">
        <v>42</v>
      </c>
      <c r="E880" s="217">
        <f t="shared" si="151"/>
        <v>5.85</v>
      </c>
      <c r="F880" s="218">
        <f t="shared" si="152"/>
        <v>6.84</v>
      </c>
      <c r="G880" s="219">
        <f t="shared" si="153"/>
        <v>6.85</v>
      </c>
      <c r="H880" s="220">
        <f t="shared" si="154"/>
        <v>7.84</v>
      </c>
      <c r="I880" s="257" t="str">
        <f t="shared" si="155"/>
        <v>6-7 years</v>
      </c>
      <c r="J880" s="211">
        <f t="shared" si="156"/>
        <v>0.83835616438356164</v>
      </c>
      <c r="K880" s="258">
        <f>$D880*J880*_xlfn.XLOOKUP($I880,'Sample Size cal and results'!$B$24:$B$25,'Sample Size cal and results'!$H$24:$H$25)</f>
        <v>28.869619499339596</v>
      </c>
      <c r="L880" s="211">
        <f t="shared" si="157"/>
        <v>0.16164383561643836</v>
      </c>
      <c r="M880" s="211">
        <f>$D880*L880*_xlfn.XLOOKUP($I880,'Sample Size cal and results'!$B$24:$B$25,'Sample Size cal and results'!$I$24:$I$25)</f>
        <v>5.7111471178396735</v>
      </c>
      <c r="N880" s="214">
        <f t="shared" si="158"/>
        <v>34.580766617179272</v>
      </c>
      <c r="O880" s="225" t="str">
        <f t="shared" si="159"/>
        <v>7-8 years</v>
      </c>
      <c r="P880" s="226">
        <f t="shared" si="160"/>
        <v>0.15068493150684931</v>
      </c>
      <c r="Q880" s="227">
        <f>$D880*P880*_xlfn.XLOOKUP($O880,'Sample Size cal and results'!$B$26:$B$27,'Sample Size cal and results'!$I$26:$I$27)</f>
        <v>4.1122523418234938</v>
      </c>
      <c r="R880" s="330"/>
    </row>
    <row r="881" spans="1:18" ht="12.75">
      <c r="A881" s="99" t="s">
        <v>143</v>
      </c>
      <c r="B881" s="100">
        <v>41753</v>
      </c>
      <c r="C881" s="100">
        <f t="shared" si="150"/>
        <v>44309</v>
      </c>
      <c r="D881" s="209">
        <v>36</v>
      </c>
      <c r="E881" s="217">
        <f t="shared" si="151"/>
        <v>5.85</v>
      </c>
      <c r="F881" s="218">
        <f t="shared" si="152"/>
        <v>6.85</v>
      </c>
      <c r="G881" s="219">
        <f t="shared" si="153"/>
        <v>6.85</v>
      </c>
      <c r="H881" s="220">
        <f t="shared" si="154"/>
        <v>7.85</v>
      </c>
      <c r="I881" s="257" t="str">
        <f t="shared" si="155"/>
        <v>6-7 years</v>
      </c>
      <c r="J881" s="211">
        <f t="shared" si="156"/>
        <v>0.83835616438356164</v>
      </c>
      <c r="K881" s="258">
        <f>$D881*J881*_xlfn.XLOOKUP($I881,'Sample Size cal and results'!$B$24:$B$25,'Sample Size cal and results'!$H$24:$H$25)</f>
        <v>24.745388142291084</v>
      </c>
      <c r="L881" s="211">
        <f t="shared" si="157"/>
        <v>0.16164383561643836</v>
      </c>
      <c r="M881" s="211">
        <f>$D881*L881*_xlfn.XLOOKUP($I881,'Sample Size cal and results'!$B$24:$B$25,'Sample Size cal and results'!$I$24:$I$25)</f>
        <v>4.895268958148292</v>
      </c>
      <c r="N881" s="214">
        <f t="shared" si="158"/>
        <v>29.640657100439377</v>
      </c>
      <c r="O881" s="225" t="str">
        <f t="shared" si="159"/>
        <v>7-8 years</v>
      </c>
      <c r="P881" s="226">
        <f t="shared" si="160"/>
        <v>0.14794520547945206</v>
      </c>
      <c r="Q881" s="227">
        <f>$D881*P881*_xlfn.XLOOKUP($O881,'Sample Size cal and results'!$B$26:$B$27,'Sample Size cal and results'!$I$26:$I$27)</f>
        <v>3.4607006720800313</v>
      </c>
      <c r="R881" s="330"/>
    </row>
    <row r="882" spans="1:18" ht="12.75">
      <c r="A882" s="99" t="s">
        <v>143</v>
      </c>
      <c r="B882" s="100">
        <v>41752</v>
      </c>
      <c r="C882" s="100">
        <f t="shared" si="150"/>
        <v>44308</v>
      </c>
      <c r="D882" s="209">
        <v>23</v>
      </c>
      <c r="E882" s="217">
        <f t="shared" si="151"/>
        <v>5.85</v>
      </c>
      <c r="F882" s="218">
        <f t="shared" si="152"/>
        <v>6.85</v>
      </c>
      <c r="G882" s="219">
        <f t="shared" si="153"/>
        <v>6.85</v>
      </c>
      <c r="H882" s="220">
        <f t="shared" si="154"/>
        <v>7.85</v>
      </c>
      <c r="I882" s="257" t="str">
        <f t="shared" si="155"/>
        <v>6-7 years</v>
      </c>
      <c r="J882" s="211">
        <f t="shared" si="156"/>
        <v>0.83835616438356164</v>
      </c>
      <c r="K882" s="258">
        <f>$D882*J882*_xlfn.XLOOKUP($I882,'Sample Size cal and results'!$B$24:$B$25,'Sample Size cal and results'!$H$24:$H$25)</f>
        <v>15.809553535352636</v>
      </c>
      <c r="L882" s="211">
        <f t="shared" si="157"/>
        <v>0.16164383561643836</v>
      </c>
      <c r="M882" s="211">
        <f>$D882*L882*_xlfn.XLOOKUP($I882,'Sample Size cal and results'!$B$24:$B$25,'Sample Size cal and results'!$I$24:$I$25)</f>
        <v>3.1275329454836305</v>
      </c>
      <c r="N882" s="214">
        <f t="shared" si="158"/>
        <v>18.937086480836268</v>
      </c>
      <c r="O882" s="225" t="str">
        <f t="shared" si="159"/>
        <v>7-8 years</v>
      </c>
      <c r="P882" s="226">
        <f t="shared" si="160"/>
        <v>0.14520547945205478</v>
      </c>
      <c r="Q882" s="227">
        <f>$D882*P882*_xlfn.XLOOKUP($O882,'Sample Size cal and results'!$B$26:$B$27,'Sample Size cal and results'!$I$26:$I$27)</f>
        <v>2.1700587033259038</v>
      </c>
      <c r="R882" s="330"/>
    </row>
    <row r="883" spans="1:18" ht="12.75">
      <c r="A883" s="99" t="s">
        <v>143</v>
      </c>
      <c r="B883" s="100">
        <v>41751</v>
      </c>
      <c r="C883" s="100">
        <f t="shared" si="150"/>
        <v>44307</v>
      </c>
      <c r="D883" s="209">
        <v>39</v>
      </c>
      <c r="E883" s="217">
        <f t="shared" si="151"/>
        <v>5.85</v>
      </c>
      <c r="F883" s="218">
        <f t="shared" si="152"/>
        <v>6.85</v>
      </c>
      <c r="G883" s="219">
        <f t="shared" si="153"/>
        <v>6.85</v>
      </c>
      <c r="H883" s="220">
        <f t="shared" si="154"/>
        <v>7.85</v>
      </c>
      <c r="I883" s="257" t="str">
        <f t="shared" si="155"/>
        <v>6-7 years</v>
      </c>
      <c r="J883" s="211">
        <f t="shared" si="156"/>
        <v>0.83835616438356164</v>
      </c>
      <c r="K883" s="258">
        <f>$D883*J883*_xlfn.XLOOKUP($I883,'Sample Size cal and results'!$B$24:$B$25,'Sample Size cal and results'!$H$24:$H$25)</f>
        <v>26.807503820815338</v>
      </c>
      <c r="L883" s="211">
        <f t="shared" si="157"/>
        <v>0.16164383561643836</v>
      </c>
      <c r="M883" s="211">
        <f>$D883*L883*_xlfn.XLOOKUP($I883,'Sample Size cal and results'!$B$24:$B$25,'Sample Size cal and results'!$I$24:$I$25)</f>
        <v>5.3032080379939828</v>
      </c>
      <c r="N883" s="214">
        <f t="shared" si="158"/>
        <v>32.110711858809324</v>
      </c>
      <c r="O883" s="225" t="str">
        <f t="shared" si="159"/>
        <v>7-8 years</v>
      </c>
      <c r="P883" s="226">
        <f t="shared" si="160"/>
        <v>0.14246575342465753</v>
      </c>
      <c r="Q883" s="227">
        <f>$D883*P883*_xlfn.XLOOKUP($O883,'Sample Size cal and results'!$B$26:$B$27,'Sample Size cal and results'!$I$26:$I$27)</f>
        <v>3.6102371208736126</v>
      </c>
      <c r="R883" s="330"/>
    </row>
    <row r="884" spans="1:18" ht="12.75">
      <c r="A884" s="99" t="s">
        <v>143</v>
      </c>
      <c r="B884" s="100">
        <v>41750</v>
      </c>
      <c r="C884" s="100">
        <f t="shared" si="150"/>
        <v>44306</v>
      </c>
      <c r="D884" s="209">
        <v>30</v>
      </c>
      <c r="E884" s="217">
        <f t="shared" si="151"/>
        <v>5.86</v>
      </c>
      <c r="F884" s="218">
        <f t="shared" si="152"/>
        <v>6.85</v>
      </c>
      <c r="G884" s="219">
        <f t="shared" si="153"/>
        <v>6.86</v>
      </c>
      <c r="H884" s="220">
        <f t="shared" si="154"/>
        <v>7.85</v>
      </c>
      <c r="I884" s="257" t="str">
        <f t="shared" si="155"/>
        <v>6-7 years</v>
      </c>
      <c r="J884" s="211">
        <f t="shared" si="156"/>
        <v>0.83835616438356164</v>
      </c>
      <c r="K884" s="258">
        <f>$D884*J884*_xlfn.XLOOKUP($I884,'Sample Size cal and results'!$B$24:$B$25,'Sample Size cal and results'!$H$24:$H$25)</f>
        <v>20.621156785242569</v>
      </c>
      <c r="L884" s="211">
        <f t="shared" si="157"/>
        <v>0.16164383561643836</v>
      </c>
      <c r="M884" s="211">
        <f>$D884*L884*_xlfn.XLOOKUP($I884,'Sample Size cal and results'!$B$24:$B$25,'Sample Size cal and results'!$I$24:$I$25)</f>
        <v>4.0793907984569096</v>
      </c>
      <c r="N884" s="214">
        <f t="shared" si="158"/>
        <v>24.700547583699478</v>
      </c>
      <c r="O884" s="225" t="str">
        <f t="shared" si="159"/>
        <v>7-8 years</v>
      </c>
      <c r="P884" s="226">
        <f t="shared" si="160"/>
        <v>0.13972602739726028</v>
      </c>
      <c r="Q884" s="227">
        <f>$D884*P884*_xlfn.XLOOKUP($O884,'Sample Size cal and results'!$B$26:$B$27,'Sample Size cal and results'!$I$26:$I$27)</f>
        <v>2.7236996030259504</v>
      </c>
      <c r="R884" s="330"/>
    </row>
    <row r="885" spans="1:18" ht="12.75">
      <c r="A885" s="99" t="s">
        <v>143</v>
      </c>
      <c r="B885" s="100">
        <v>41749</v>
      </c>
      <c r="C885" s="100">
        <f t="shared" si="150"/>
        <v>44305</v>
      </c>
      <c r="D885" s="209">
        <v>46</v>
      </c>
      <c r="E885" s="217">
        <f t="shared" si="151"/>
        <v>5.86</v>
      </c>
      <c r="F885" s="218">
        <f t="shared" si="152"/>
        <v>6.86</v>
      </c>
      <c r="G885" s="219">
        <f t="shared" si="153"/>
        <v>6.86</v>
      </c>
      <c r="H885" s="220">
        <f t="shared" si="154"/>
        <v>7.86</v>
      </c>
      <c r="I885" s="257" t="str">
        <f t="shared" si="155"/>
        <v>6-7 years</v>
      </c>
      <c r="J885" s="211">
        <f t="shared" si="156"/>
        <v>0.83835616438356164</v>
      </c>
      <c r="K885" s="258">
        <f>$D885*J885*_xlfn.XLOOKUP($I885,'Sample Size cal and results'!$B$24:$B$25,'Sample Size cal and results'!$H$24:$H$25)</f>
        <v>31.619107070705272</v>
      </c>
      <c r="L885" s="211">
        <f t="shared" si="157"/>
        <v>0.16164383561643836</v>
      </c>
      <c r="M885" s="211">
        <f>$D885*L885*_xlfn.XLOOKUP($I885,'Sample Size cal and results'!$B$24:$B$25,'Sample Size cal and results'!$I$24:$I$25)</f>
        <v>6.255065890967261</v>
      </c>
      <c r="N885" s="214">
        <f t="shared" si="158"/>
        <v>37.874172961672535</v>
      </c>
      <c r="O885" s="225" t="str">
        <f t="shared" si="159"/>
        <v>7-8 years</v>
      </c>
      <c r="P885" s="226">
        <f t="shared" si="160"/>
        <v>0.13698630136986301</v>
      </c>
      <c r="Q885" s="227">
        <f>$D885*P885*_xlfn.XLOOKUP($O885,'Sample Size cal and results'!$B$26:$B$27,'Sample Size cal and results'!$I$26:$I$27)</f>
        <v>4.0944503836337809</v>
      </c>
      <c r="R885" s="330"/>
    </row>
    <row r="886" spans="1:18" ht="12.75">
      <c r="A886" s="99" t="s">
        <v>143</v>
      </c>
      <c r="B886" s="100">
        <v>41748</v>
      </c>
      <c r="C886" s="100">
        <f t="shared" si="150"/>
        <v>44304</v>
      </c>
      <c r="D886" s="209">
        <v>28</v>
      </c>
      <c r="E886" s="217">
        <f t="shared" si="151"/>
        <v>5.86</v>
      </c>
      <c r="F886" s="218">
        <f t="shared" si="152"/>
        <v>6.86</v>
      </c>
      <c r="G886" s="219">
        <f t="shared" si="153"/>
        <v>6.86</v>
      </c>
      <c r="H886" s="220">
        <f t="shared" si="154"/>
        <v>7.86</v>
      </c>
      <c r="I886" s="257" t="str">
        <f t="shared" si="155"/>
        <v>6-7 years</v>
      </c>
      <c r="J886" s="211">
        <f t="shared" si="156"/>
        <v>0.83835616438356164</v>
      </c>
      <c r="K886" s="258">
        <f>$D886*J886*_xlfn.XLOOKUP($I886,'Sample Size cal and results'!$B$24:$B$25,'Sample Size cal and results'!$H$24:$H$25)</f>
        <v>19.24641299955973</v>
      </c>
      <c r="L886" s="211">
        <f t="shared" si="157"/>
        <v>0.16164383561643836</v>
      </c>
      <c r="M886" s="211">
        <f>$D886*L886*_xlfn.XLOOKUP($I886,'Sample Size cal and results'!$B$24:$B$25,'Sample Size cal and results'!$I$24:$I$25)</f>
        <v>3.807431411893115</v>
      </c>
      <c r="N886" s="214">
        <f t="shared" si="158"/>
        <v>23.053844411452847</v>
      </c>
      <c r="O886" s="225" t="str">
        <f t="shared" si="159"/>
        <v>7-8 years</v>
      </c>
      <c r="P886" s="226">
        <f t="shared" si="160"/>
        <v>0.13424657534246576</v>
      </c>
      <c r="Q886" s="227">
        <f>$D886*P886*_xlfn.XLOOKUP($O886,'Sample Size cal and results'!$B$26:$B$27,'Sample Size cal and results'!$I$26:$I$27)</f>
        <v>2.4424286636284993</v>
      </c>
      <c r="R886" s="330"/>
    </row>
    <row r="887" spans="1:18" ht="12.75">
      <c r="A887" s="99" t="s">
        <v>143</v>
      </c>
      <c r="B887" s="100">
        <v>41747</v>
      </c>
      <c r="C887" s="100">
        <f t="shared" si="150"/>
        <v>44303</v>
      </c>
      <c r="D887" s="209">
        <v>31</v>
      </c>
      <c r="E887" s="217">
        <f t="shared" si="151"/>
        <v>5.86</v>
      </c>
      <c r="F887" s="218">
        <f t="shared" si="152"/>
        <v>6.86</v>
      </c>
      <c r="G887" s="219">
        <f t="shared" si="153"/>
        <v>6.86</v>
      </c>
      <c r="H887" s="220">
        <f t="shared" si="154"/>
        <v>7.86</v>
      </c>
      <c r="I887" s="257" t="str">
        <f t="shared" si="155"/>
        <v>6-7 years</v>
      </c>
      <c r="J887" s="211">
        <f t="shared" si="156"/>
        <v>0.83835616438356164</v>
      </c>
      <c r="K887" s="258">
        <f>$D887*J887*_xlfn.XLOOKUP($I887,'Sample Size cal and results'!$B$24:$B$25,'Sample Size cal and results'!$H$24:$H$25)</f>
        <v>21.308528678083988</v>
      </c>
      <c r="L887" s="211">
        <f t="shared" si="157"/>
        <v>0.16164383561643836</v>
      </c>
      <c r="M887" s="211">
        <f>$D887*L887*_xlfn.XLOOKUP($I887,'Sample Size cal and results'!$B$24:$B$25,'Sample Size cal and results'!$I$24:$I$25)</f>
        <v>4.2153704917388062</v>
      </c>
      <c r="N887" s="214">
        <f t="shared" si="158"/>
        <v>25.523899169822794</v>
      </c>
      <c r="O887" s="225" t="str">
        <f t="shared" si="159"/>
        <v>7-8 years</v>
      </c>
      <c r="P887" s="226">
        <f t="shared" si="160"/>
        <v>0.13150684931506848</v>
      </c>
      <c r="Q887" s="227">
        <f>$D887*P887*_xlfn.XLOOKUP($O887,'Sample Size cal and results'!$B$26:$B$27,'Sample Size cal and results'!$I$26:$I$27)</f>
        <v>2.6489313786291588</v>
      </c>
      <c r="R887" s="330"/>
    </row>
    <row r="888" spans="1:18" ht="12.75">
      <c r="A888" s="99" t="s">
        <v>143</v>
      </c>
      <c r="B888" s="100">
        <v>41746</v>
      </c>
      <c r="C888" s="100">
        <f t="shared" si="150"/>
        <v>44302</v>
      </c>
      <c r="D888" s="209">
        <v>31</v>
      </c>
      <c r="E888" s="217">
        <f t="shared" si="151"/>
        <v>5.87</v>
      </c>
      <c r="F888" s="218">
        <f t="shared" si="152"/>
        <v>6.86</v>
      </c>
      <c r="G888" s="219">
        <f t="shared" si="153"/>
        <v>6.87</v>
      </c>
      <c r="H888" s="220">
        <f t="shared" si="154"/>
        <v>7.86</v>
      </c>
      <c r="I888" s="257" t="str">
        <f t="shared" si="155"/>
        <v>6-7 years</v>
      </c>
      <c r="J888" s="211">
        <f t="shared" si="156"/>
        <v>0.83835616438356164</v>
      </c>
      <c r="K888" s="258">
        <f>$D888*J888*_xlfn.XLOOKUP($I888,'Sample Size cal and results'!$B$24:$B$25,'Sample Size cal and results'!$H$24:$H$25)</f>
        <v>21.308528678083988</v>
      </c>
      <c r="L888" s="211">
        <f t="shared" si="157"/>
        <v>0.16164383561643836</v>
      </c>
      <c r="M888" s="211">
        <f>$D888*L888*_xlfn.XLOOKUP($I888,'Sample Size cal and results'!$B$24:$B$25,'Sample Size cal and results'!$I$24:$I$25)</f>
        <v>4.2153704917388062</v>
      </c>
      <c r="N888" s="214">
        <f t="shared" si="158"/>
        <v>25.523899169822794</v>
      </c>
      <c r="O888" s="225" t="str">
        <f t="shared" si="159"/>
        <v>7-8 years</v>
      </c>
      <c r="P888" s="226">
        <f t="shared" si="160"/>
        <v>0.12876712328767123</v>
      </c>
      <c r="Q888" s="227">
        <f>$D888*P888*_xlfn.XLOOKUP($O888,'Sample Size cal and results'!$B$26:$B$27,'Sample Size cal and results'!$I$26:$I$27)</f>
        <v>2.593745308241052</v>
      </c>
      <c r="R888" s="330"/>
    </row>
    <row r="889" spans="1:18" ht="12.75">
      <c r="A889" s="99" t="s">
        <v>143</v>
      </c>
      <c r="B889" s="100">
        <v>41745</v>
      </c>
      <c r="C889" s="100">
        <f t="shared" si="150"/>
        <v>44301</v>
      </c>
      <c r="D889" s="209">
        <v>41</v>
      </c>
      <c r="E889" s="217">
        <f t="shared" si="151"/>
        <v>5.87</v>
      </c>
      <c r="F889" s="218">
        <f t="shared" si="152"/>
        <v>6.87</v>
      </c>
      <c r="G889" s="219">
        <f t="shared" si="153"/>
        <v>6.87</v>
      </c>
      <c r="H889" s="220">
        <f t="shared" si="154"/>
        <v>7.87</v>
      </c>
      <c r="I889" s="257" t="str">
        <f t="shared" si="155"/>
        <v>6-7 years</v>
      </c>
      <c r="J889" s="211">
        <f t="shared" si="156"/>
        <v>0.83835616438356164</v>
      </c>
      <c r="K889" s="258">
        <f>$D889*J889*_xlfn.XLOOKUP($I889,'Sample Size cal and results'!$B$24:$B$25,'Sample Size cal and results'!$H$24:$H$25)</f>
        <v>28.182247606498176</v>
      </c>
      <c r="L889" s="211">
        <f t="shared" si="157"/>
        <v>0.16164383561643836</v>
      </c>
      <c r="M889" s="211">
        <f>$D889*L889*_xlfn.XLOOKUP($I889,'Sample Size cal and results'!$B$24:$B$25,'Sample Size cal and results'!$I$24:$I$25)</f>
        <v>5.575167424557776</v>
      </c>
      <c r="N889" s="214">
        <f t="shared" si="158"/>
        <v>33.757415031055956</v>
      </c>
      <c r="O889" s="225" t="str">
        <f t="shared" si="159"/>
        <v>7-8 years</v>
      </c>
      <c r="P889" s="226">
        <f t="shared" si="160"/>
        <v>0.12602739726027398</v>
      </c>
      <c r="Q889" s="227">
        <f>$D889*P889*_xlfn.XLOOKUP($O889,'Sample Size cal and results'!$B$26:$B$27,'Sample Size cal and results'!$I$26:$I$27)</f>
        <v>3.3574493145797013</v>
      </c>
      <c r="R889" s="330"/>
    </row>
    <row r="890" spans="1:18" ht="12.75">
      <c r="A890" s="99" t="s">
        <v>143</v>
      </c>
      <c r="B890" s="100">
        <v>41744</v>
      </c>
      <c r="C890" s="100">
        <f t="shared" si="150"/>
        <v>44300</v>
      </c>
      <c r="D890" s="209">
        <v>731</v>
      </c>
      <c r="E890" s="217">
        <f t="shared" si="151"/>
        <v>5.87</v>
      </c>
      <c r="F890" s="218">
        <f t="shared" si="152"/>
        <v>6.87</v>
      </c>
      <c r="G890" s="219">
        <f t="shared" si="153"/>
        <v>6.87</v>
      </c>
      <c r="H890" s="220">
        <f t="shared" si="154"/>
        <v>7.87</v>
      </c>
      <c r="I890" s="257" t="str">
        <f t="shared" si="155"/>
        <v>6-7 years</v>
      </c>
      <c r="J890" s="211">
        <f t="shared" si="156"/>
        <v>0.83835616438356164</v>
      </c>
      <c r="K890" s="258">
        <f>$D890*J890*_xlfn.XLOOKUP($I890,'Sample Size cal and results'!$B$24:$B$25,'Sample Size cal and results'!$H$24:$H$25)</f>
        <v>502.46885366707721</v>
      </c>
      <c r="L890" s="211">
        <f t="shared" si="157"/>
        <v>0.16164383561643836</v>
      </c>
      <c r="M890" s="211">
        <f>$D890*L890*_xlfn.XLOOKUP($I890,'Sample Size cal and results'!$B$24:$B$25,'Sample Size cal and results'!$I$24:$I$25)</f>
        <v>99.401155789066692</v>
      </c>
      <c r="N890" s="214">
        <f t="shared" si="158"/>
        <v>601.87000945614386</v>
      </c>
      <c r="O890" s="225" t="str">
        <f t="shared" si="159"/>
        <v>7-8 years</v>
      </c>
      <c r="P890" s="226">
        <f t="shared" si="160"/>
        <v>0.12328767123287671</v>
      </c>
      <c r="Q890" s="227">
        <f>$D890*P890*_xlfn.XLOOKUP($O890,'Sample Size cal and results'!$B$26:$B$27,'Sample Size cal and results'!$I$26:$I$27)</f>
        <v>58.559541465057933</v>
      </c>
      <c r="R890" s="330"/>
    </row>
    <row r="891" spans="1:18" ht="12.75">
      <c r="A891" s="99" t="s">
        <v>143</v>
      </c>
      <c r="B891" s="100">
        <v>41743</v>
      </c>
      <c r="C891" s="100">
        <f t="shared" si="150"/>
        <v>44299</v>
      </c>
      <c r="D891" s="209">
        <v>25</v>
      </c>
      <c r="E891" s="217">
        <f t="shared" si="151"/>
        <v>5.88</v>
      </c>
      <c r="F891" s="218">
        <f t="shared" si="152"/>
        <v>6.87</v>
      </c>
      <c r="G891" s="219">
        <f t="shared" si="153"/>
        <v>6.88</v>
      </c>
      <c r="H891" s="220">
        <f t="shared" si="154"/>
        <v>7.87</v>
      </c>
      <c r="I891" s="257" t="str">
        <f t="shared" si="155"/>
        <v>6-7 years</v>
      </c>
      <c r="J891" s="211">
        <f t="shared" si="156"/>
        <v>0.83835616438356164</v>
      </c>
      <c r="K891" s="258">
        <f>$D891*J891*_xlfn.XLOOKUP($I891,'Sample Size cal and results'!$B$24:$B$25,'Sample Size cal and results'!$H$24:$H$25)</f>
        <v>17.184297321035473</v>
      </c>
      <c r="L891" s="211">
        <f t="shared" si="157"/>
        <v>0.16164383561643836</v>
      </c>
      <c r="M891" s="211">
        <f>$D891*L891*_xlfn.XLOOKUP($I891,'Sample Size cal and results'!$B$24:$B$25,'Sample Size cal and results'!$I$24:$I$25)</f>
        <v>3.3994923320474242</v>
      </c>
      <c r="N891" s="214">
        <f t="shared" si="158"/>
        <v>20.583789653082896</v>
      </c>
      <c r="O891" s="225" t="str">
        <f t="shared" si="159"/>
        <v>7-8 years</v>
      </c>
      <c r="P891" s="226">
        <f t="shared" si="160"/>
        <v>0.12054794520547946</v>
      </c>
      <c r="Q891" s="227">
        <f>$D891*P891*_xlfn.XLOOKUP($O891,'Sample Size cal and results'!$B$26:$B$27,'Sample Size cal and results'!$I$26:$I$27)</f>
        <v>1.9582154008683303</v>
      </c>
      <c r="R891" s="330"/>
    </row>
    <row r="892" spans="1:18" ht="12.75">
      <c r="A892" s="99" t="s">
        <v>143</v>
      </c>
      <c r="B892" s="100">
        <v>41742</v>
      </c>
      <c r="C892" s="100">
        <f t="shared" si="150"/>
        <v>44298</v>
      </c>
      <c r="D892" s="209">
        <v>41</v>
      </c>
      <c r="E892" s="217">
        <f t="shared" si="151"/>
        <v>5.88</v>
      </c>
      <c r="F892" s="218">
        <f t="shared" si="152"/>
        <v>6.88</v>
      </c>
      <c r="G892" s="219">
        <f t="shared" si="153"/>
        <v>6.88</v>
      </c>
      <c r="H892" s="220">
        <f t="shared" si="154"/>
        <v>7.88</v>
      </c>
      <c r="I892" s="257" t="str">
        <f t="shared" si="155"/>
        <v>6-7 years</v>
      </c>
      <c r="J892" s="211">
        <f t="shared" si="156"/>
        <v>0.83835616438356164</v>
      </c>
      <c r="K892" s="258">
        <f>$D892*J892*_xlfn.XLOOKUP($I892,'Sample Size cal and results'!$B$24:$B$25,'Sample Size cal and results'!$H$24:$H$25)</f>
        <v>28.182247606498176</v>
      </c>
      <c r="L892" s="211">
        <f t="shared" si="157"/>
        <v>0.16164383561643836</v>
      </c>
      <c r="M892" s="211">
        <f>$D892*L892*_xlfn.XLOOKUP($I892,'Sample Size cal and results'!$B$24:$B$25,'Sample Size cal and results'!$I$24:$I$25)</f>
        <v>5.575167424557776</v>
      </c>
      <c r="N892" s="214">
        <f t="shared" si="158"/>
        <v>33.757415031055956</v>
      </c>
      <c r="O892" s="225" t="str">
        <f t="shared" si="159"/>
        <v>7-8 years</v>
      </c>
      <c r="P892" s="226">
        <f t="shared" si="160"/>
        <v>0.11780821917808219</v>
      </c>
      <c r="Q892" s="227">
        <f>$D892*P892*_xlfn.XLOOKUP($O892,'Sample Size cal and results'!$B$26:$B$27,'Sample Size cal and results'!$I$26:$I$27)</f>
        <v>3.1384852288462421</v>
      </c>
      <c r="R892" s="330"/>
    </row>
    <row r="893" spans="1:18" ht="12.75">
      <c r="A893" s="99" t="s">
        <v>143</v>
      </c>
      <c r="B893" s="100">
        <v>41741</v>
      </c>
      <c r="C893" s="100">
        <f t="shared" si="150"/>
        <v>44297</v>
      </c>
      <c r="D893" s="209">
        <v>41</v>
      </c>
      <c r="E893" s="217">
        <f t="shared" si="151"/>
        <v>5.88</v>
      </c>
      <c r="F893" s="218">
        <f t="shared" si="152"/>
        <v>6.88</v>
      </c>
      <c r="G893" s="219">
        <f t="shared" si="153"/>
        <v>6.88</v>
      </c>
      <c r="H893" s="220">
        <f t="shared" si="154"/>
        <v>7.88</v>
      </c>
      <c r="I893" s="257" t="str">
        <f t="shared" si="155"/>
        <v>6-7 years</v>
      </c>
      <c r="J893" s="211">
        <f t="shared" si="156"/>
        <v>0.83835616438356164</v>
      </c>
      <c r="K893" s="258">
        <f>$D893*J893*_xlfn.XLOOKUP($I893,'Sample Size cal and results'!$B$24:$B$25,'Sample Size cal and results'!$H$24:$H$25)</f>
        <v>28.182247606498176</v>
      </c>
      <c r="L893" s="211">
        <f t="shared" si="157"/>
        <v>0.16164383561643836</v>
      </c>
      <c r="M893" s="211">
        <f>$D893*L893*_xlfn.XLOOKUP($I893,'Sample Size cal and results'!$B$24:$B$25,'Sample Size cal and results'!$I$24:$I$25)</f>
        <v>5.575167424557776</v>
      </c>
      <c r="N893" s="214">
        <f t="shared" si="158"/>
        <v>33.757415031055956</v>
      </c>
      <c r="O893" s="225" t="str">
        <f t="shared" si="159"/>
        <v>7-8 years</v>
      </c>
      <c r="P893" s="226">
        <f t="shared" si="160"/>
        <v>0.11506849315068493</v>
      </c>
      <c r="Q893" s="227">
        <f>$D893*P893*_xlfn.XLOOKUP($O893,'Sample Size cal and results'!$B$26:$B$27,'Sample Size cal and results'!$I$26:$I$27)</f>
        <v>3.0654972002684229</v>
      </c>
      <c r="R893" s="330"/>
    </row>
    <row r="894" spans="1:18" ht="12.75">
      <c r="A894" s="99" t="s">
        <v>143</v>
      </c>
      <c r="B894" s="100">
        <v>41740</v>
      </c>
      <c r="C894" s="100">
        <f t="shared" si="150"/>
        <v>44296</v>
      </c>
      <c r="D894" s="209">
        <v>60</v>
      </c>
      <c r="E894" s="217">
        <f t="shared" si="151"/>
        <v>5.88</v>
      </c>
      <c r="F894" s="218">
        <f t="shared" si="152"/>
        <v>6.88</v>
      </c>
      <c r="G894" s="219">
        <f t="shared" si="153"/>
        <v>6.88</v>
      </c>
      <c r="H894" s="220">
        <f t="shared" si="154"/>
        <v>7.88</v>
      </c>
      <c r="I894" s="257" t="str">
        <f t="shared" si="155"/>
        <v>6-7 years</v>
      </c>
      <c r="J894" s="211">
        <f t="shared" si="156"/>
        <v>0.83835616438356164</v>
      </c>
      <c r="K894" s="258">
        <f>$D894*J894*_xlfn.XLOOKUP($I894,'Sample Size cal and results'!$B$24:$B$25,'Sample Size cal and results'!$H$24:$H$25)</f>
        <v>41.242313570485138</v>
      </c>
      <c r="L894" s="211">
        <f t="shared" si="157"/>
        <v>0.16164383561643836</v>
      </c>
      <c r="M894" s="211">
        <f>$D894*L894*_xlfn.XLOOKUP($I894,'Sample Size cal and results'!$B$24:$B$25,'Sample Size cal and results'!$I$24:$I$25)</f>
        <v>8.1587815969138191</v>
      </c>
      <c r="N894" s="214">
        <f t="shared" si="158"/>
        <v>49.401095167398957</v>
      </c>
      <c r="O894" s="225" t="str">
        <f t="shared" si="159"/>
        <v>7-8 years</v>
      </c>
      <c r="P894" s="226">
        <f t="shared" si="160"/>
        <v>0.11232876712328767</v>
      </c>
      <c r="Q894" s="227">
        <f>$D894*P894*_xlfn.XLOOKUP($O894,'Sample Size cal and results'!$B$26:$B$27,'Sample Size cal and results'!$I$26:$I$27)</f>
        <v>4.3792817146691743</v>
      </c>
      <c r="R894" s="330"/>
    </row>
    <row r="895" spans="1:18" ht="12.75">
      <c r="A895" s="99" t="s">
        <v>143</v>
      </c>
      <c r="B895" s="100">
        <v>41739</v>
      </c>
      <c r="C895" s="100">
        <f t="shared" si="150"/>
        <v>44295</v>
      </c>
      <c r="D895" s="209">
        <v>42</v>
      </c>
      <c r="E895" s="217">
        <f t="shared" si="151"/>
        <v>5.89</v>
      </c>
      <c r="F895" s="218">
        <f t="shared" si="152"/>
        <v>6.88</v>
      </c>
      <c r="G895" s="219">
        <f t="shared" si="153"/>
        <v>6.89</v>
      </c>
      <c r="H895" s="220">
        <f t="shared" si="154"/>
        <v>7.88</v>
      </c>
      <c r="I895" s="257" t="str">
        <f t="shared" si="155"/>
        <v>6-7 years</v>
      </c>
      <c r="J895" s="211">
        <f t="shared" si="156"/>
        <v>0.83835616438356164</v>
      </c>
      <c r="K895" s="258">
        <f>$D895*J895*_xlfn.XLOOKUP($I895,'Sample Size cal and results'!$B$24:$B$25,'Sample Size cal and results'!$H$24:$H$25)</f>
        <v>28.869619499339596</v>
      </c>
      <c r="L895" s="211">
        <f t="shared" si="157"/>
        <v>0.16164383561643836</v>
      </c>
      <c r="M895" s="211">
        <f>$D895*L895*_xlfn.XLOOKUP($I895,'Sample Size cal and results'!$B$24:$B$25,'Sample Size cal and results'!$I$24:$I$25)</f>
        <v>5.7111471178396735</v>
      </c>
      <c r="N895" s="214">
        <f t="shared" si="158"/>
        <v>34.580766617179272</v>
      </c>
      <c r="O895" s="225" t="str">
        <f t="shared" si="159"/>
        <v>7-8 years</v>
      </c>
      <c r="P895" s="226">
        <f t="shared" si="160"/>
        <v>0.1095890410958904</v>
      </c>
      <c r="Q895" s="227">
        <f>$D895*P895*_xlfn.XLOOKUP($O895,'Sample Size cal and results'!$B$26:$B$27,'Sample Size cal and results'!$I$26:$I$27)</f>
        <v>2.9907289758716318</v>
      </c>
      <c r="R895" s="330"/>
    </row>
    <row r="896" spans="1:18" ht="12.75">
      <c r="A896" s="99" t="s">
        <v>143</v>
      </c>
      <c r="B896" s="100">
        <v>41738</v>
      </c>
      <c r="C896" s="100">
        <f t="shared" si="150"/>
        <v>44294</v>
      </c>
      <c r="D896" s="209">
        <v>83</v>
      </c>
      <c r="E896" s="217">
        <f t="shared" si="151"/>
        <v>5.89</v>
      </c>
      <c r="F896" s="218">
        <f t="shared" si="152"/>
        <v>6.89</v>
      </c>
      <c r="G896" s="219">
        <f t="shared" si="153"/>
        <v>6.89</v>
      </c>
      <c r="H896" s="220">
        <f t="shared" si="154"/>
        <v>7.89</v>
      </c>
      <c r="I896" s="257" t="str">
        <f t="shared" si="155"/>
        <v>6-7 years</v>
      </c>
      <c r="J896" s="211">
        <f t="shared" si="156"/>
        <v>0.83835616438356164</v>
      </c>
      <c r="K896" s="258">
        <f>$D896*J896*_xlfn.XLOOKUP($I896,'Sample Size cal and results'!$B$24:$B$25,'Sample Size cal and results'!$H$24:$H$25)</f>
        <v>57.051867105837779</v>
      </c>
      <c r="L896" s="211">
        <f t="shared" si="157"/>
        <v>0.16164383561643836</v>
      </c>
      <c r="M896" s="211">
        <f>$D896*L896*_xlfn.XLOOKUP($I896,'Sample Size cal and results'!$B$24:$B$25,'Sample Size cal and results'!$I$24:$I$25)</f>
        <v>11.28631454239745</v>
      </c>
      <c r="N896" s="214">
        <f t="shared" si="158"/>
        <v>68.338181648235235</v>
      </c>
      <c r="O896" s="225" t="str">
        <f t="shared" si="159"/>
        <v>7-8 years</v>
      </c>
      <c r="P896" s="226">
        <f t="shared" si="160"/>
        <v>0.10684931506849316</v>
      </c>
      <c r="Q896" s="227">
        <f>$D896*P896*_xlfn.XLOOKUP($O896,'Sample Size cal and results'!$B$26:$B$27,'Sample Size cal and results'!$I$26:$I$27)</f>
        <v>5.7624938660098053</v>
      </c>
      <c r="R896" s="330"/>
    </row>
    <row r="897" spans="1:18" ht="12.75">
      <c r="A897" s="99" t="s">
        <v>143</v>
      </c>
      <c r="B897" s="100">
        <v>41737</v>
      </c>
      <c r="C897" s="100">
        <f t="shared" si="150"/>
        <v>44293</v>
      </c>
      <c r="D897" s="209">
        <v>32</v>
      </c>
      <c r="E897" s="217">
        <f t="shared" si="151"/>
        <v>5.89</v>
      </c>
      <c r="F897" s="218">
        <f t="shared" si="152"/>
        <v>6.89</v>
      </c>
      <c r="G897" s="219">
        <f t="shared" si="153"/>
        <v>6.89</v>
      </c>
      <c r="H897" s="220">
        <f t="shared" si="154"/>
        <v>7.89</v>
      </c>
      <c r="I897" s="257" t="str">
        <f t="shared" si="155"/>
        <v>6-7 years</v>
      </c>
      <c r="J897" s="211">
        <f t="shared" si="156"/>
        <v>0.83835616438356164</v>
      </c>
      <c r="K897" s="258">
        <f>$D897*J897*_xlfn.XLOOKUP($I897,'Sample Size cal and results'!$B$24:$B$25,'Sample Size cal and results'!$H$24:$H$25)</f>
        <v>21.995900570925407</v>
      </c>
      <c r="L897" s="211">
        <f t="shared" si="157"/>
        <v>0.16164383561643836</v>
      </c>
      <c r="M897" s="211">
        <f>$D897*L897*_xlfn.XLOOKUP($I897,'Sample Size cal and results'!$B$24:$B$25,'Sample Size cal and results'!$I$24:$I$25)</f>
        <v>4.3513501850207037</v>
      </c>
      <c r="N897" s="214">
        <f t="shared" si="158"/>
        <v>26.34725075594611</v>
      </c>
      <c r="O897" s="225" t="str">
        <f t="shared" si="159"/>
        <v>7-8 years</v>
      </c>
      <c r="P897" s="226">
        <f t="shared" si="160"/>
        <v>0.10410958904109589</v>
      </c>
      <c r="Q897" s="227">
        <f>$D897*P897*_xlfn.XLOOKUP($O897,'Sample Size cal and results'!$B$26:$B$27,'Sample Size cal and results'!$I$26:$I$27)</f>
        <v>2.1647181158689905</v>
      </c>
      <c r="R897" s="330"/>
    </row>
    <row r="898" spans="1:18" ht="12.75">
      <c r="A898" s="99" t="s">
        <v>143</v>
      </c>
      <c r="B898" s="100">
        <v>41736</v>
      </c>
      <c r="C898" s="100">
        <f t="shared" si="150"/>
        <v>44292</v>
      </c>
      <c r="D898" s="209">
        <v>27</v>
      </c>
      <c r="E898" s="217">
        <f t="shared" si="151"/>
        <v>5.89</v>
      </c>
      <c r="F898" s="218">
        <f t="shared" si="152"/>
        <v>6.89</v>
      </c>
      <c r="G898" s="219">
        <f t="shared" si="153"/>
        <v>6.89</v>
      </c>
      <c r="H898" s="220">
        <f t="shared" si="154"/>
        <v>7.89</v>
      </c>
      <c r="I898" s="257" t="str">
        <f t="shared" si="155"/>
        <v>6-7 years</v>
      </c>
      <c r="J898" s="211">
        <f t="shared" si="156"/>
        <v>0.83835616438356164</v>
      </c>
      <c r="K898" s="258">
        <f>$D898*J898*_xlfn.XLOOKUP($I898,'Sample Size cal and results'!$B$24:$B$25,'Sample Size cal and results'!$H$24:$H$25)</f>
        <v>18.559041106718311</v>
      </c>
      <c r="L898" s="211">
        <f t="shared" si="157"/>
        <v>0.16164383561643836</v>
      </c>
      <c r="M898" s="211">
        <f>$D898*L898*_xlfn.XLOOKUP($I898,'Sample Size cal and results'!$B$24:$B$25,'Sample Size cal and results'!$I$24:$I$25)</f>
        <v>3.6714517186112183</v>
      </c>
      <c r="N898" s="214">
        <f t="shared" si="158"/>
        <v>22.230492825329531</v>
      </c>
      <c r="O898" s="225" t="str">
        <f t="shared" si="159"/>
        <v>7-8 years</v>
      </c>
      <c r="P898" s="226">
        <f t="shared" si="160"/>
        <v>0.10136986301369863</v>
      </c>
      <c r="Q898" s="227">
        <f>$D898*P898*_xlfn.XLOOKUP($O898,'Sample Size cal and results'!$B$26:$B$27,'Sample Size cal and results'!$I$26:$I$27)</f>
        <v>1.7784156231522383</v>
      </c>
      <c r="R898" s="330"/>
    </row>
    <row r="899" spans="1:18" ht="12.75">
      <c r="A899" s="99" t="s">
        <v>143</v>
      </c>
      <c r="B899" s="100">
        <v>41735</v>
      </c>
      <c r="C899" s="100">
        <f t="shared" ref="C899:C904" si="161">EDATE(B899,84)-1</f>
        <v>44291</v>
      </c>
      <c r="D899" s="209">
        <v>26</v>
      </c>
      <c r="E899" s="217">
        <f t="shared" ref="E899:E904" si="162">ROUNDDOWN(YEARFRAC($B899,$AB$4,1),2)</f>
        <v>5.9</v>
      </c>
      <c r="F899" s="218">
        <f t="shared" ref="F899:F904" si="163">ROUNDDOWN(YEARFRAC($B899,$AB$5,1),2)</f>
        <v>6.89</v>
      </c>
      <c r="G899" s="219">
        <f t="shared" ref="G899:G904" si="164">ROUNDDOWN(YEARFRAC($B899,$AC$4,1),2)</f>
        <v>6.9</v>
      </c>
      <c r="H899" s="220">
        <f t="shared" ref="H899:H904" si="165">ROUNDDOWN(YEARFRAC($B899,$AC$5,1),2)</f>
        <v>7.89</v>
      </c>
      <c r="I899" s="257" t="str">
        <f t="shared" ref="I899:I904" si="166">IF(DATEDIF($B899,$AB$5,"y")=5,"5-6 years","6-7 years")</f>
        <v>6-7 years</v>
      </c>
      <c r="J899" s="211">
        <f t="shared" ref="J899:J904" si="167">MAX(MIN($AC$7,C899)-MAX($AB$4,$B899,_xlfn.XLOOKUP($A899,$AE$3:$AE$37,$AF$3:$AF$37))+1,0)/365</f>
        <v>0.83835616438356164</v>
      </c>
      <c r="K899" s="258">
        <f>$D899*J899*_xlfn.XLOOKUP($I899,'Sample Size cal and results'!$B$24:$B$25,'Sample Size cal and results'!$H$24:$H$25)</f>
        <v>17.871669213876892</v>
      </c>
      <c r="L899" s="211">
        <f t="shared" ref="L899:L904" si="168">MAX(MIN($AB$5,C899)-MAX($AC$8,$B899,_xlfn.XLOOKUP($A899,$AE$3:$AE$37,$AF$3:$AF$37))+1,0)/365</f>
        <v>0.16164383561643836</v>
      </c>
      <c r="M899" s="211">
        <f>$D899*L899*_xlfn.XLOOKUP($I899,'Sample Size cal and results'!$B$24:$B$25,'Sample Size cal and results'!$I$24:$I$25)</f>
        <v>3.5354720253293217</v>
      </c>
      <c r="N899" s="214">
        <f t="shared" ref="N899:N904" si="169">M899+K899</f>
        <v>21.407141239206215</v>
      </c>
      <c r="O899" s="225" t="str">
        <f t="shared" ref="O899:O904" si="170">IF(DATEDIF($B899,$AC$5,"y")=6,"6-7 years","7-8 years")</f>
        <v>7-8 years</v>
      </c>
      <c r="P899" s="226">
        <f t="shared" ref="P899:P904" si="171">MAX(MIN($AC$5,C899)-MAX($AC$4,$B899,_xlfn.XLOOKUP($A899,$AE$3:$AE$37,$AF$3:$AF$37))+1,0)/365</f>
        <v>9.8630136986301367E-2</v>
      </c>
      <c r="Q899" s="227">
        <f>$D899*P899*_xlfn.XLOOKUP($O899,'Sample Size cal and results'!$B$26:$B$27,'Sample Size cal and results'!$I$26:$I$27)</f>
        <v>1.6662632865570521</v>
      </c>
      <c r="R899" s="330"/>
    </row>
    <row r="900" spans="1:18" ht="12.75">
      <c r="A900" s="99" t="s">
        <v>143</v>
      </c>
      <c r="B900" s="100">
        <v>41734</v>
      </c>
      <c r="C900" s="100">
        <f t="shared" si="161"/>
        <v>44290</v>
      </c>
      <c r="D900" s="209">
        <v>26</v>
      </c>
      <c r="E900" s="217">
        <f t="shared" si="162"/>
        <v>5.9</v>
      </c>
      <c r="F900" s="218">
        <f t="shared" si="163"/>
        <v>6.9</v>
      </c>
      <c r="G900" s="219">
        <f t="shared" si="164"/>
        <v>6.9</v>
      </c>
      <c r="H900" s="220">
        <f t="shared" si="165"/>
        <v>7.9</v>
      </c>
      <c r="I900" s="257" t="str">
        <f t="shared" si="166"/>
        <v>6-7 years</v>
      </c>
      <c r="J900" s="211">
        <f t="shared" si="167"/>
        <v>0.83835616438356164</v>
      </c>
      <c r="K900" s="258">
        <f>$D900*J900*_xlfn.XLOOKUP($I900,'Sample Size cal and results'!$B$24:$B$25,'Sample Size cal and results'!$H$24:$H$25)</f>
        <v>17.871669213876892</v>
      </c>
      <c r="L900" s="211">
        <f t="shared" si="168"/>
        <v>0.16164383561643836</v>
      </c>
      <c r="M900" s="211">
        <f>$D900*L900*_xlfn.XLOOKUP($I900,'Sample Size cal and results'!$B$24:$B$25,'Sample Size cal and results'!$I$24:$I$25)</f>
        <v>3.5354720253293217</v>
      </c>
      <c r="N900" s="214">
        <f t="shared" si="169"/>
        <v>21.407141239206215</v>
      </c>
      <c r="O900" s="225" t="str">
        <f t="shared" si="170"/>
        <v>7-8 years</v>
      </c>
      <c r="P900" s="226">
        <f t="shared" si="171"/>
        <v>9.5890410958904104E-2</v>
      </c>
      <c r="Q900" s="227">
        <f>$D900*P900*_xlfn.XLOOKUP($O900,'Sample Size cal and results'!$B$26:$B$27,'Sample Size cal and results'!$I$26:$I$27)</f>
        <v>1.6199781952638004</v>
      </c>
      <c r="R900" s="330"/>
    </row>
    <row r="901" spans="1:18" ht="12.75">
      <c r="A901" s="99" t="s">
        <v>143</v>
      </c>
      <c r="B901" s="100">
        <v>41733</v>
      </c>
      <c r="C901" s="100">
        <f t="shared" si="161"/>
        <v>44289</v>
      </c>
      <c r="D901" s="209">
        <v>21</v>
      </c>
      <c r="E901" s="217">
        <f t="shared" si="162"/>
        <v>5.9</v>
      </c>
      <c r="F901" s="218">
        <f t="shared" si="163"/>
        <v>6.9</v>
      </c>
      <c r="G901" s="219">
        <f t="shared" si="164"/>
        <v>6.9</v>
      </c>
      <c r="H901" s="220">
        <f t="shared" si="165"/>
        <v>7.9</v>
      </c>
      <c r="I901" s="257" t="str">
        <f t="shared" si="166"/>
        <v>6-7 years</v>
      </c>
      <c r="J901" s="211">
        <f t="shared" si="167"/>
        <v>0.83835616438356164</v>
      </c>
      <c r="K901" s="258">
        <f>$D901*J901*_xlfn.XLOOKUP($I901,'Sample Size cal and results'!$B$24:$B$25,'Sample Size cal and results'!$H$24:$H$25)</f>
        <v>14.434809749669798</v>
      </c>
      <c r="L901" s="211">
        <f t="shared" si="168"/>
        <v>0.16164383561643836</v>
      </c>
      <c r="M901" s="211">
        <f>$D901*L901*_xlfn.XLOOKUP($I901,'Sample Size cal and results'!$B$24:$B$25,'Sample Size cal and results'!$I$24:$I$25)</f>
        <v>2.8555735589198368</v>
      </c>
      <c r="N901" s="214">
        <f t="shared" si="169"/>
        <v>17.290383308589636</v>
      </c>
      <c r="O901" s="225" t="str">
        <f t="shared" si="170"/>
        <v>7-8 years</v>
      </c>
      <c r="P901" s="226">
        <f t="shared" si="171"/>
        <v>9.3150684931506855E-2</v>
      </c>
      <c r="Q901" s="227">
        <f>$D901*P901*_xlfn.XLOOKUP($O901,'Sample Size cal and results'!$B$26:$B$27,'Sample Size cal and results'!$I$26:$I$27)</f>
        <v>1.2710598147454435</v>
      </c>
      <c r="R901" s="330"/>
    </row>
    <row r="902" spans="1:18" ht="12.75">
      <c r="A902" s="99" t="s">
        <v>143</v>
      </c>
      <c r="B902" s="100">
        <v>41732</v>
      </c>
      <c r="C902" s="100">
        <f t="shared" si="161"/>
        <v>44288</v>
      </c>
      <c r="D902" s="209">
        <v>23</v>
      </c>
      <c r="E902" s="217">
        <f t="shared" si="162"/>
        <v>5.91</v>
      </c>
      <c r="F902" s="218">
        <f t="shared" si="163"/>
        <v>6.9</v>
      </c>
      <c r="G902" s="219">
        <f t="shared" si="164"/>
        <v>6.91</v>
      </c>
      <c r="H902" s="220">
        <f t="shared" si="165"/>
        <v>7.9</v>
      </c>
      <c r="I902" s="257" t="str">
        <f t="shared" si="166"/>
        <v>6-7 years</v>
      </c>
      <c r="J902" s="211">
        <f t="shared" si="167"/>
        <v>0.83835616438356164</v>
      </c>
      <c r="K902" s="258">
        <f>$D902*J902*_xlfn.XLOOKUP($I902,'Sample Size cal and results'!$B$24:$B$25,'Sample Size cal and results'!$H$24:$H$25)</f>
        <v>15.809553535352636</v>
      </c>
      <c r="L902" s="211">
        <f t="shared" si="168"/>
        <v>0.16164383561643836</v>
      </c>
      <c r="M902" s="211">
        <f>$D902*L902*_xlfn.XLOOKUP($I902,'Sample Size cal and results'!$B$24:$B$25,'Sample Size cal and results'!$I$24:$I$25)</f>
        <v>3.1275329454836305</v>
      </c>
      <c r="N902" s="214">
        <f t="shared" si="169"/>
        <v>18.937086480836268</v>
      </c>
      <c r="O902" s="225" t="str">
        <f t="shared" si="170"/>
        <v>7-8 years</v>
      </c>
      <c r="P902" s="226">
        <f t="shared" si="171"/>
        <v>9.0410958904109592E-2</v>
      </c>
      <c r="Q902" s="227">
        <f>$D902*P902*_xlfn.XLOOKUP($O902,'Sample Size cal and results'!$B$26:$B$27,'Sample Size cal and results'!$I$26:$I$27)</f>
        <v>1.351168626599148</v>
      </c>
      <c r="R902" s="330"/>
    </row>
    <row r="903" spans="1:18" ht="12.75">
      <c r="A903" s="99" t="s">
        <v>143</v>
      </c>
      <c r="B903" s="100">
        <v>41731</v>
      </c>
      <c r="C903" s="100">
        <f t="shared" si="161"/>
        <v>44287</v>
      </c>
      <c r="D903" s="209">
        <v>15</v>
      </c>
      <c r="E903" s="217">
        <f t="shared" si="162"/>
        <v>5.91</v>
      </c>
      <c r="F903" s="218">
        <f t="shared" si="163"/>
        <v>6.91</v>
      </c>
      <c r="G903" s="219">
        <f t="shared" si="164"/>
        <v>6.91</v>
      </c>
      <c r="H903" s="220">
        <f t="shared" si="165"/>
        <v>7.91</v>
      </c>
      <c r="I903" s="257" t="str">
        <f t="shared" si="166"/>
        <v>6-7 years</v>
      </c>
      <c r="J903" s="211">
        <f t="shared" si="167"/>
        <v>0.83835616438356164</v>
      </c>
      <c r="K903" s="258">
        <f>$D903*J903*_xlfn.XLOOKUP($I903,'Sample Size cal and results'!$B$24:$B$25,'Sample Size cal and results'!$H$24:$H$25)</f>
        <v>10.310578392621284</v>
      </c>
      <c r="L903" s="211">
        <f t="shared" si="168"/>
        <v>0.16164383561643836</v>
      </c>
      <c r="M903" s="211">
        <f>$D903*L903*_xlfn.XLOOKUP($I903,'Sample Size cal and results'!$B$24:$B$25,'Sample Size cal and results'!$I$24:$I$25)</f>
        <v>2.0396953992284548</v>
      </c>
      <c r="N903" s="214">
        <f t="shared" si="169"/>
        <v>12.350273791849739</v>
      </c>
      <c r="O903" s="225" t="str">
        <f t="shared" si="170"/>
        <v>7-8 years</v>
      </c>
      <c r="P903" s="226">
        <f t="shared" si="171"/>
        <v>8.7671232876712329E-2</v>
      </c>
      <c r="Q903" s="227">
        <f>$D903*P903*_xlfn.XLOOKUP($O903,'Sample Size cal and results'!$B$26:$B$27,'Sample Size cal and results'!$I$26:$I$27)</f>
        <v>0.85449399310618046</v>
      </c>
      <c r="R903" s="330"/>
    </row>
    <row r="904" spans="1:18" ht="13.5" thickBot="1">
      <c r="A904" s="111" t="s">
        <v>143</v>
      </c>
      <c r="B904" s="112">
        <v>41730</v>
      </c>
      <c r="C904" s="112">
        <f t="shared" si="161"/>
        <v>44286</v>
      </c>
      <c r="D904" s="210">
        <v>33</v>
      </c>
      <c r="E904" s="221">
        <f t="shared" si="162"/>
        <v>5.91</v>
      </c>
      <c r="F904" s="222">
        <f t="shared" si="163"/>
        <v>6.91</v>
      </c>
      <c r="G904" s="223">
        <f t="shared" si="164"/>
        <v>6.91</v>
      </c>
      <c r="H904" s="224">
        <f t="shared" si="165"/>
        <v>7.91</v>
      </c>
      <c r="I904" s="259" t="str">
        <f t="shared" si="166"/>
        <v>6-7 years</v>
      </c>
      <c r="J904" s="215">
        <f t="shared" si="167"/>
        <v>0.83835616438356164</v>
      </c>
      <c r="K904" s="260">
        <f>$D904*J904*_xlfn.XLOOKUP($I904,'Sample Size cal and results'!$B$24:$B$25,'Sample Size cal and results'!$H$24:$H$25)</f>
        <v>22.683272463766826</v>
      </c>
      <c r="L904" s="215">
        <f t="shared" si="168"/>
        <v>0.16164383561643836</v>
      </c>
      <c r="M904" s="215">
        <f>$D904*L904*_xlfn.XLOOKUP($I904,'Sample Size cal and results'!$B$24:$B$25,'Sample Size cal and results'!$I$24:$I$25)</f>
        <v>4.4873298783026003</v>
      </c>
      <c r="N904" s="216">
        <f t="shared" si="169"/>
        <v>27.170602342069426</v>
      </c>
      <c r="O904" s="228" t="str">
        <f t="shared" si="170"/>
        <v>7-8 years</v>
      </c>
      <c r="P904" s="229">
        <f t="shared" si="171"/>
        <v>8.4931506849315067E-2</v>
      </c>
      <c r="Q904" s="230">
        <f>$D904*P904*_xlfn.XLOOKUP($O904,'Sample Size cal and results'!$B$26:$B$27,'Sample Size cal and results'!$I$26:$I$27)</f>
        <v>1.8211403228075471</v>
      </c>
      <c r="R904" s="330"/>
    </row>
  </sheetData>
  <autoFilter ref="A2:Q904" xr:uid="{00000000-0009-0000-0000-000002000000}">
    <sortState xmlns:xlrd2="http://schemas.microsoft.com/office/spreadsheetml/2017/richdata2" ref="A3:Q904">
      <sortCondition descending="1" ref="B2:B904"/>
    </sortState>
  </autoFilter>
  <mergeCells count="12">
    <mergeCell ref="AA7:AB7"/>
    <mergeCell ref="AA8:AB8"/>
    <mergeCell ref="AA2:AC2"/>
    <mergeCell ref="V3:V4"/>
    <mergeCell ref="T2:V2"/>
    <mergeCell ref="I1:N1"/>
    <mergeCell ref="O1:Q1"/>
    <mergeCell ref="S2:S4"/>
    <mergeCell ref="T3:U3"/>
    <mergeCell ref="W2:Y2"/>
    <mergeCell ref="W3:X3"/>
    <mergeCell ref="Y3:Y4"/>
  </mergeCells>
  <phoneticPr fontId="3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2"/>
  <sheetViews>
    <sheetView zoomScale="90" zoomScaleNormal="90" workbookViewId="0"/>
  </sheetViews>
  <sheetFormatPr defaultColWidth="8.5" defaultRowHeight="14.25" customHeight="1"/>
  <cols>
    <col min="1" max="1" width="21.5" style="50" customWidth="1"/>
    <col min="2" max="2" width="18" style="37" bestFit="1" customWidth="1"/>
    <col min="3" max="4" width="13" style="37" customWidth="1"/>
    <col min="5" max="5" width="17.625" style="37" customWidth="1"/>
    <col min="6" max="6" width="21.625" style="37" customWidth="1"/>
    <col min="7" max="7" width="14.5" customWidth="1"/>
    <col min="8" max="9" width="10" style="37" bestFit="1" customWidth="1"/>
    <col min="10" max="10" width="8.5" style="37"/>
    <col min="11" max="11" width="9" style="37" bestFit="1" customWidth="1"/>
    <col min="12" max="16384" width="8.5" style="37"/>
  </cols>
  <sheetData>
    <row r="1" spans="1:6" ht="34.5">
      <c r="A1" s="51" t="s">
        <v>806</v>
      </c>
      <c r="B1" s="42" t="s">
        <v>807</v>
      </c>
      <c r="C1" s="35"/>
      <c r="D1" s="52" t="s">
        <v>806</v>
      </c>
      <c r="E1" s="53" t="s">
        <v>808</v>
      </c>
      <c r="F1" s="36"/>
    </row>
    <row r="2" spans="1:6" ht="14.25" customHeight="1">
      <c r="A2" s="38" t="s">
        <v>143</v>
      </c>
      <c r="B2" s="169">
        <f>'Inst summary and ER calculation'!V5+'Inst summary and ER calculation'!Y5</f>
        <v>9345</v>
      </c>
      <c r="C2" s="35"/>
      <c r="D2" s="38" t="s">
        <v>143</v>
      </c>
      <c r="E2" s="283">
        <f>'Inst summary and ER calculation'!T5+'Inst summary and ER calculation'!U5</f>
        <v>9029</v>
      </c>
      <c r="F2" s="36"/>
    </row>
    <row r="3" spans="1:6" ht="14.25" customHeight="1">
      <c r="A3" s="38" t="s">
        <v>145</v>
      </c>
      <c r="B3" s="169">
        <f>'Inst summary and ER calculation'!V6+'Inst summary and ER calculation'!Y6</f>
        <v>9183</v>
      </c>
      <c r="C3" s="35"/>
      <c r="D3" s="38" t="s">
        <v>145</v>
      </c>
      <c r="E3" s="283">
        <f>'Inst summary and ER calculation'!T6+'Inst summary and ER calculation'!U6</f>
        <v>8623</v>
      </c>
      <c r="F3" s="36"/>
    </row>
    <row r="4" spans="1:6" ht="15.95" hidden="1" customHeight="1">
      <c r="A4" s="38" t="s">
        <v>144</v>
      </c>
      <c r="B4" s="169">
        <f>'Inst summary and ER calculation'!V7+'Inst summary and ER calculation'!Y7</f>
        <v>0</v>
      </c>
      <c r="C4" s="35"/>
      <c r="D4" s="38" t="s">
        <v>144</v>
      </c>
      <c r="E4" s="283">
        <f>'Inst summary and ER calculation'!T7+'Inst summary and ER calculation'!U7</f>
        <v>0</v>
      </c>
      <c r="F4" s="36"/>
    </row>
    <row r="5" spans="1:6" ht="14.25" customHeight="1">
      <c r="A5" s="38" t="s">
        <v>146</v>
      </c>
      <c r="B5" s="169">
        <f>'Inst summary and ER calculation'!V8+'Inst summary and ER calculation'!Y8</f>
        <v>11575</v>
      </c>
      <c r="C5" s="35"/>
      <c r="D5" s="38" t="s">
        <v>146</v>
      </c>
      <c r="E5" s="283">
        <f>'Inst summary and ER calculation'!T8+'Inst summary and ER calculation'!U8</f>
        <v>9083</v>
      </c>
      <c r="F5" s="36"/>
    </row>
    <row r="6" spans="1:6" ht="14.25" customHeight="1">
      <c r="A6" s="38" t="s">
        <v>147</v>
      </c>
      <c r="B6" s="169">
        <f>'Inst summary and ER calculation'!V9+'Inst summary and ER calculation'!Y9</f>
        <v>10806</v>
      </c>
      <c r="C6" s="35"/>
      <c r="D6" s="38" t="s">
        <v>147</v>
      </c>
      <c r="E6" s="283">
        <f>'Inst summary and ER calculation'!T9+'Inst summary and ER calculation'!U9</f>
        <v>8837</v>
      </c>
      <c r="F6" s="36"/>
    </row>
    <row r="7" spans="1:6" ht="14.25" customHeight="1">
      <c r="A7" s="38" t="s">
        <v>148</v>
      </c>
      <c r="B7" s="169">
        <f>'Inst summary and ER calculation'!V10+'Inst summary and ER calculation'!Y10</f>
        <v>11562</v>
      </c>
      <c r="C7" s="35"/>
      <c r="D7" s="38" t="s">
        <v>148</v>
      </c>
      <c r="E7" s="283">
        <f>'Inst summary and ER calculation'!T10+'Inst summary and ER calculation'!U10</f>
        <v>8656</v>
      </c>
      <c r="F7" s="36"/>
    </row>
    <row r="8" spans="1:6" ht="14.25" customHeight="1">
      <c r="A8" s="38" t="s">
        <v>149</v>
      </c>
      <c r="B8" s="169">
        <f>'Inst summary and ER calculation'!V11+'Inst summary and ER calculation'!Y11</f>
        <v>3801</v>
      </c>
      <c r="C8" s="35"/>
      <c r="D8" s="38" t="s">
        <v>149</v>
      </c>
      <c r="E8" s="283">
        <f>'Inst summary and ER calculation'!T11+'Inst summary and ER calculation'!U11</f>
        <v>3425</v>
      </c>
      <c r="F8" s="36"/>
    </row>
    <row r="9" spans="1:6" ht="14.25" customHeight="1">
      <c r="A9" s="38" t="s">
        <v>150</v>
      </c>
      <c r="B9" s="169">
        <f>'Inst summary and ER calculation'!V12+'Inst summary and ER calculation'!Y12</f>
        <v>4916</v>
      </c>
      <c r="C9" s="35"/>
      <c r="D9" s="38" t="s">
        <v>150</v>
      </c>
      <c r="E9" s="283">
        <f>'Inst summary and ER calculation'!T12+'Inst summary and ER calculation'!U12</f>
        <v>4354</v>
      </c>
      <c r="F9" s="36"/>
    </row>
    <row r="10" spans="1:6" ht="14.25" customHeight="1">
      <c r="A10" s="38" t="s">
        <v>151</v>
      </c>
      <c r="B10" s="169">
        <f>'Inst summary and ER calculation'!V13+'Inst summary and ER calculation'!Y13</f>
        <v>3392</v>
      </c>
      <c r="C10" s="35"/>
      <c r="D10" s="38" t="s">
        <v>151</v>
      </c>
      <c r="E10" s="283">
        <f>'Inst summary and ER calculation'!T13+'Inst summary and ER calculation'!U13</f>
        <v>2943</v>
      </c>
      <c r="F10" s="36"/>
    </row>
    <row r="11" spans="1:6" ht="14.25" customHeight="1">
      <c r="A11" s="38" t="s">
        <v>48</v>
      </c>
      <c r="B11" s="169">
        <f>'Inst summary and ER calculation'!V14+'Inst summary and ER calculation'!Y14</f>
        <v>4065</v>
      </c>
      <c r="C11" s="35"/>
      <c r="D11" s="38" t="s">
        <v>48</v>
      </c>
      <c r="E11" s="283">
        <f>'Inst summary and ER calculation'!T14+'Inst summary and ER calculation'!U14</f>
        <v>3424</v>
      </c>
      <c r="F11" s="36"/>
    </row>
    <row r="12" spans="1:6" ht="14.25" customHeight="1">
      <c r="A12" s="38" t="s">
        <v>49</v>
      </c>
      <c r="B12" s="169">
        <f>'Inst summary and ER calculation'!V15+'Inst summary and ER calculation'!Y15</f>
        <v>2832</v>
      </c>
      <c r="C12" s="35"/>
      <c r="D12" s="38" t="s">
        <v>49</v>
      </c>
      <c r="E12" s="283">
        <f>'Inst summary and ER calculation'!T15+'Inst summary and ER calculation'!U15</f>
        <v>2350</v>
      </c>
      <c r="F12" s="36"/>
    </row>
    <row r="13" spans="1:6" ht="14.25" customHeight="1">
      <c r="A13" s="38" t="s">
        <v>50</v>
      </c>
      <c r="B13" s="169">
        <f>'Inst summary and ER calculation'!V16+'Inst summary and ER calculation'!Y16</f>
        <v>5552</v>
      </c>
      <c r="C13" s="35"/>
      <c r="D13" s="38" t="s">
        <v>50</v>
      </c>
      <c r="E13" s="283">
        <f>'Inst summary and ER calculation'!T16+'Inst summary and ER calculation'!U16</f>
        <v>4507</v>
      </c>
      <c r="F13" s="36"/>
    </row>
    <row r="14" spans="1:6" ht="14.25" customHeight="1">
      <c r="A14" s="38" t="s">
        <v>51</v>
      </c>
      <c r="B14" s="169">
        <f>'Inst summary and ER calculation'!V17+'Inst summary and ER calculation'!Y17</f>
        <v>4682</v>
      </c>
      <c r="C14" s="35"/>
      <c r="D14" s="38" t="s">
        <v>51</v>
      </c>
      <c r="E14" s="283">
        <f>'Inst summary and ER calculation'!T17+'Inst summary and ER calculation'!U17</f>
        <v>3744</v>
      </c>
      <c r="F14" s="36"/>
    </row>
    <row r="15" spans="1:6" ht="14.25" customHeight="1">
      <c r="A15" s="38" t="s">
        <v>52</v>
      </c>
      <c r="B15" s="169">
        <f>'Inst summary and ER calculation'!V18+'Inst summary and ER calculation'!Y18</f>
        <v>8002</v>
      </c>
      <c r="C15" s="35"/>
      <c r="D15" s="38" t="s">
        <v>52</v>
      </c>
      <c r="E15" s="283">
        <f>'Inst summary and ER calculation'!T18+'Inst summary and ER calculation'!U18</f>
        <v>6266</v>
      </c>
      <c r="F15" s="36"/>
    </row>
    <row r="16" spans="1:6" ht="14.25" customHeight="1">
      <c r="A16" s="38" t="s">
        <v>53</v>
      </c>
      <c r="B16" s="169">
        <f>'Inst summary and ER calculation'!V19+'Inst summary and ER calculation'!Y19</f>
        <v>5021</v>
      </c>
      <c r="C16" s="35"/>
      <c r="D16" s="38" t="s">
        <v>53</v>
      </c>
      <c r="E16" s="283">
        <f>'Inst summary and ER calculation'!T19+'Inst summary and ER calculation'!U19</f>
        <v>3882</v>
      </c>
      <c r="F16" s="36"/>
    </row>
    <row r="17" spans="1:6" ht="14.25" customHeight="1">
      <c r="A17" s="38" t="s">
        <v>54</v>
      </c>
      <c r="B17" s="169">
        <f>'Inst summary and ER calculation'!V20+'Inst summary and ER calculation'!Y20</f>
        <v>4034</v>
      </c>
      <c r="C17" s="35"/>
      <c r="D17" s="38" t="s">
        <v>54</v>
      </c>
      <c r="E17" s="283">
        <f>'Inst summary and ER calculation'!T20+'Inst summary and ER calculation'!U20</f>
        <v>3082</v>
      </c>
      <c r="F17" s="36"/>
    </row>
    <row r="18" spans="1:6" ht="14.25" customHeight="1">
      <c r="A18" s="38" t="s">
        <v>55</v>
      </c>
      <c r="B18" s="169">
        <f>'Inst summary and ER calculation'!V21+'Inst summary and ER calculation'!Y21</f>
        <v>6270</v>
      </c>
      <c r="C18" s="35"/>
      <c r="D18" s="38" t="s">
        <v>55</v>
      </c>
      <c r="E18" s="283">
        <f>'Inst summary and ER calculation'!T21+'Inst summary and ER calculation'!U21</f>
        <v>4705</v>
      </c>
      <c r="F18" s="36"/>
    </row>
    <row r="19" spans="1:6" ht="14.25" customHeight="1">
      <c r="A19" s="38" t="s">
        <v>56</v>
      </c>
      <c r="B19" s="169">
        <f>'Inst summary and ER calculation'!V22+'Inst summary and ER calculation'!Y22</f>
        <v>3812</v>
      </c>
      <c r="C19" s="35"/>
      <c r="D19" s="38" t="s">
        <v>56</v>
      </c>
      <c r="E19" s="283">
        <f>'Inst summary and ER calculation'!T22+'Inst summary and ER calculation'!U22</f>
        <v>2843</v>
      </c>
      <c r="F19" s="36"/>
    </row>
    <row r="20" spans="1:6" ht="14.25" customHeight="1">
      <c r="A20" s="38" t="s">
        <v>57</v>
      </c>
      <c r="B20" s="169">
        <f>'Inst summary and ER calculation'!V23+'Inst summary and ER calculation'!Y23</f>
        <v>5872</v>
      </c>
      <c r="C20" s="35"/>
      <c r="D20" s="38" t="s">
        <v>57</v>
      </c>
      <c r="E20" s="283">
        <f>'Inst summary and ER calculation'!T23+'Inst summary and ER calculation'!U23</f>
        <v>4330</v>
      </c>
      <c r="F20" s="36"/>
    </row>
    <row r="21" spans="1:6" ht="14.25" customHeight="1">
      <c r="A21" s="38" t="s">
        <v>58</v>
      </c>
      <c r="B21" s="169">
        <f>'Inst summary and ER calculation'!V24+'Inst summary and ER calculation'!Y24</f>
        <v>5195</v>
      </c>
      <c r="C21" s="35"/>
      <c r="D21" s="38" t="s">
        <v>58</v>
      </c>
      <c r="E21" s="283">
        <f>'Inst summary and ER calculation'!T24+'Inst summary and ER calculation'!U24</f>
        <v>3801</v>
      </c>
      <c r="F21" s="36"/>
    </row>
    <row r="22" spans="1:6" ht="14.25" customHeight="1">
      <c r="A22" s="38" t="s">
        <v>59</v>
      </c>
      <c r="B22" s="169">
        <f>'Inst summary and ER calculation'!V25+'Inst summary and ER calculation'!Y25</f>
        <v>10579</v>
      </c>
      <c r="C22" s="35"/>
      <c r="D22" s="38" t="s">
        <v>59</v>
      </c>
      <c r="E22" s="283">
        <f>'Inst summary and ER calculation'!T25+'Inst summary and ER calculation'!U25</f>
        <v>7622</v>
      </c>
      <c r="F22" s="35"/>
    </row>
    <row r="23" spans="1:6" ht="14.25" customHeight="1">
      <c r="A23" s="38" t="s">
        <v>60</v>
      </c>
      <c r="B23" s="169">
        <f>'Inst summary and ER calculation'!V26+'Inst summary and ER calculation'!Y26</f>
        <v>7468</v>
      </c>
      <c r="C23" s="35"/>
      <c r="D23" s="38" t="s">
        <v>60</v>
      </c>
      <c r="E23" s="283">
        <f>'Inst summary and ER calculation'!T26+'Inst summary and ER calculation'!U26</f>
        <v>5332</v>
      </c>
      <c r="F23" s="35"/>
    </row>
    <row r="24" spans="1:6" ht="14.25" customHeight="1">
      <c r="A24" s="38" t="s">
        <v>61</v>
      </c>
      <c r="B24" s="169">
        <f>'Inst summary and ER calculation'!V27+'Inst summary and ER calculation'!Y27</f>
        <v>8274</v>
      </c>
      <c r="C24" s="35"/>
      <c r="D24" s="38" t="s">
        <v>61</v>
      </c>
      <c r="E24" s="283">
        <f>'Inst summary and ER calculation'!T27+'Inst summary and ER calculation'!U27</f>
        <v>5799</v>
      </c>
      <c r="F24" s="35"/>
    </row>
    <row r="25" spans="1:6" ht="14.25" customHeight="1">
      <c r="A25" s="38" t="s">
        <v>62</v>
      </c>
      <c r="B25" s="169">
        <f>'Inst summary and ER calculation'!V28+'Inst summary and ER calculation'!Y28</f>
        <v>6957</v>
      </c>
      <c r="C25" s="35"/>
      <c r="D25" s="38" t="s">
        <v>62</v>
      </c>
      <c r="E25" s="283">
        <f>'Inst summary and ER calculation'!T28+'Inst summary and ER calculation'!U28</f>
        <v>4793</v>
      </c>
      <c r="F25" s="35"/>
    </row>
    <row r="26" spans="1:6" ht="14.25" customHeight="1">
      <c r="A26" s="38" t="s">
        <v>63</v>
      </c>
      <c r="B26" s="169">
        <f>'Inst summary and ER calculation'!V29+'Inst summary and ER calculation'!Y29</f>
        <v>902</v>
      </c>
      <c r="C26" s="35"/>
      <c r="D26" s="38" t="s">
        <v>63</v>
      </c>
      <c r="E26" s="283">
        <f>'Inst summary and ER calculation'!T29+'Inst summary and ER calculation'!U29</f>
        <v>619</v>
      </c>
      <c r="F26" s="35"/>
    </row>
    <row r="27" spans="1:6" ht="14.25" customHeight="1">
      <c r="A27" s="38" t="s">
        <v>64</v>
      </c>
      <c r="B27" s="169">
        <f>'Inst summary and ER calculation'!V30+'Inst summary and ER calculation'!Y30</f>
        <v>9796</v>
      </c>
      <c r="C27" s="35"/>
      <c r="D27" s="38" t="s">
        <v>64</v>
      </c>
      <c r="E27" s="283">
        <f>'Inst summary and ER calculation'!T30+'Inst summary and ER calculation'!U30</f>
        <v>5968</v>
      </c>
      <c r="F27" s="35"/>
    </row>
    <row r="28" spans="1:6" ht="14.25" customHeight="1">
      <c r="A28" s="38" t="s">
        <v>65</v>
      </c>
      <c r="B28" s="169">
        <f>'Inst summary and ER calculation'!V31+'Inst summary and ER calculation'!Y31</f>
        <v>2888</v>
      </c>
      <c r="C28" s="35"/>
      <c r="D28" s="38" t="s">
        <v>65</v>
      </c>
      <c r="E28" s="283">
        <f>'Inst summary and ER calculation'!T31+'Inst summary and ER calculation'!U31</f>
        <v>1642</v>
      </c>
      <c r="F28" s="35"/>
    </row>
    <row r="29" spans="1:6" ht="14.25" customHeight="1">
      <c r="A29" s="38" t="s">
        <v>66</v>
      </c>
      <c r="B29" s="169">
        <f>'Inst summary and ER calculation'!V32+'Inst summary and ER calculation'!Y32</f>
        <v>6978</v>
      </c>
      <c r="C29" s="35"/>
      <c r="D29" s="38" t="s">
        <v>66</v>
      </c>
      <c r="E29" s="283">
        <f>'Inst summary and ER calculation'!T32+'Inst summary and ER calculation'!U32</f>
        <v>3966</v>
      </c>
      <c r="F29" s="35"/>
    </row>
    <row r="30" spans="1:6" ht="14.25" customHeight="1">
      <c r="A30" s="38" t="s">
        <v>67</v>
      </c>
      <c r="B30" s="169">
        <f>'Inst summary and ER calculation'!V33+'Inst summary and ER calculation'!Y33</f>
        <v>15544</v>
      </c>
      <c r="C30" s="35"/>
      <c r="D30" s="38" t="s">
        <v>67</v>
      </c>
      <c r="E30" s="283">
        <f>'Inst summary and ER calculation'!T33+'Inst summary and ER calculation'!U33</f>
        <v>8834</v>
      </c>
      <c r="F30" s="35"/>
    </row>
    <row r="31" spans="1:6" ht="14.25" customHeight="1">
      <c r="A31" s="38" t="s">
        <v>68</v>
      </c>
      <c r="B31" s="169">
        <f>'Inst summary and ER calculation'!V34+'Inst summary and ER calculation'!Y34</f>
        <v>9168</v>
      </c>
      <c r="C31" s="35"/>
      <c r="D31" s="38" t="s">
        <v>68</v>
      </c>
      <c r="E31" s="283">
        <f>'Inst summary and ER calculation'!T34+'Inst summary and ER calculation'!U34</f>
        <v>5211</v>
      </c>
      <c r="F31" s="35"/>
    </row>
    <row r="32" spans="1:6" ht="14.25" customHeight="1">
      <c r="A32" s="38" t="s">
        <v>69</v>
      </c>
      <c r="B32" s="169">
        <f>'Inst summary and ER calculation'!V35+'Inst summary and ER calculation'!Y35</f>
        <v>11347</v>
      </c>
      <c r="C32" s="35"/>
      <c r="D32" s="38" t="s">
        <v>69</v>
      </c>
      <c r="E32" s="283">
        <f>'Inst summary and ER calculation'!T35+'Inst summary and ER calculation'!U35</f>
        <v>6449</v>
      </c>
      <c r="F32" s="35"/>
    </row>
    <row r="33" spans="1:13" ht="14.25" customHeight="1">
      <c r="A33" s="38" t="s">
        <v>70</v>
      </c>
      <c r="B33" s="169">
        <f>'Inst summary and ER calculation'!V36+'Inst summary and ER calculation'!Y36</f>
        <v>15903</v>
      </c>
      <c r="C33" s="35"/>
      <c r="D33" s="38" t="s">
        <v>70</v>
      </c>
      <c r="E33" s="283">
        <f>'Inst summary and ER calculation'!T36+'Inst summary and ER calculation'!U36</f>
        <v>9038</v>
      </c>
      <c r="F33" s="35"/>
    </row>
    <row r="34" spans="1:13" ht="14.25" customHeight="1">
      <c r="A34" s="38" t="s">
        <v>71</v>
      </c>
      <c r="B34" s="169">
        <f>'Inst summary and ER calculation'!V37+'Inst summary and ER calculation'!Y37</f>
        <v>3566</v>
      </c>
      <c r="C34" s="35"/>
      <c r="D34" s="38" t="s">
        <v>71</v>
      </c>
      <c r="E34" s="283">
        <f>'Inst summary and ER calculation'!T37+'Inst summary and ER calculation'!U37</f>
        <v>2027</v>
      </c>
      <c r="F34" s="35"/>
    </row>
    <row r="35" spans="1:13" ht="15.95" customHeight="1">
      <c r="A35" s="38" t="s">
        <v>72</v>
      </c>
      <c r="B35" s="169">
        <f>'Inst summary and ER calculation'!V38+'Inst summary and ER calculation'!Y38</f>
        <v>504</v>
      </c>
      <c r="C35" s="35"/>
      <c r="D35" s="38" t="s">
        <v>72</v>
      </c>
      <c r="E35" s="283">
        <f>'Inst summary and ER calculation'!T38+'Inst summary and ER calculation'!U38</f>
        <v>287</v>
      </c>
      <c r="F35" s="35"/>
    </row>
    <row r="36" spans="1:13" ht="14.25" customHeight="1">
      <c r="A36" s="38" t="s">
        <v>73</v>
      </c>
      <c r="B36" s="169">
        <f>'Inst summary and ER calculation'!V39+'Inst summary and ER calculation'!Y39</f>
        <v>16173</v>
      </c>
      <c r="C36" s="35"/>
      <c r="D36" s="38" t="s">
        <v>73</v>
      </c>
      <c r="E36" s="283">
        <f>'Inst summary and ER calculation'!T39+'Inst summary and ER calculation'!U39</f>
        <v>9192</v>
      </c>
      <c r="F36" s="35"/>
    </row>
    <row r="37" spans="1:13" ht="14.25" customHeight="1">
      <c r="A37" s="38" t="s">
        <v>74</v>
      </c>
      <c r="B37" s="169">
        <f>'Inst summary and ER calculation'!V40+'Inst summary and ER calculation'!Y40</f>
        <v>16221</v>
      </c>
      <c r="C37" s="35"/>
      <c r="D37" s="38" t="s">
        <v>74</v>
      </c>
      <c r="E37" s="283">
        <f>'Inst summary and ER calculation'!T40+'Inst summary and ER calculation'!U40</f>
        <v>9219</v>
      </c>
      <c r="F37" s="35"/>
    </row>
    <row r="38" spans="1:13" ht="14.25" customHeight="1">
      <c r="A38" s="40" t="s">
        <v>5</v>
      </c>
      <c r="B38" s="176">
        <f>SUM(B2:B37)</f>
        <v>262185</v>
      </c>
      <c r="C38" s="213"/>
      <c r="D38" s="40" t="s">
        <v>5</v>
      </c>
      <c r="E38" s="177">
        <f>SUM(E2:E37)</f>
        <v>183882</v>
      </c>
      <c r="F38" s="35"/>
    </row>
    <row r="39" spans="1:13" ht="14.25" customHeight="1">
      <c r="A39" s="34"/>
      <c r="B39" s="36"/>
      <c r="C39" s="36"/>
      <c r="D39" s="36"/>
      <c r="E39" s="36"/>
      <c r="F39" s="36"/>
    </row>
    <row r="40" spans="1:13" ht="14.25" customHeight="1">
      <c r="A40" s="34"/>
      <c r="B40" s="36"/>
      <c r="C40" s="36"/>
      <c r="D40" s="36"/>
      <c r="E40" s="36"/>
      <c r="F40" s="36"/>
      <c r="H40"/>
      <c r="I40"/>
      <c r="J40"/>
      <c r="K40"/>
      <c r="L40"/>
      <c r="M40"/>
    </row>
    <row r="41" spans="1:13" ht="14.25" customHeight="1">
      <c r="A41" s="369" t="s">
        <v>809</v>
      </c>
      <c r="B41" s="369" t="s">
        <v>810</v>
      </c>
      <c r="C41" s="369"/>
      <c r="D41" s="369"/>
      <c r="E41" s="369"/>
      <c r="F41" s="369"/>
      <c r="H41"/>
      <c r="I41"/>
      <c r="J41"/>
      <c r="K41"/>
      <c r="L41"/>
      <c r="M41"/>
    </row>
    <row r="42" spans="1:13" ht="14.25" customHeight="1">
      <c r="A42" s="369"/>
      <c r="B42" s="369" t="s">
        <v>811</v>
      </c>
      <c r="C42" s="369"/>
      <c r="D42" s="369"/>
      <c r="E42" s="369"/>
      <c r="F42" s="369"/>
      <c r="H42"/>
      <c r="I42"/>
      <c r="J42"/>
      <c r="K42"/>
      <c r="L42"/>
      <c r="M42"/>
    </row>
    <row r="43" spans="1:13" ht="14.25" customHeight="1">
      <c r="A43" s="369"/>
      <c r="B43" s="369" t="s">
        <v>812</v>
      </c>
      <c r="C43" s="370" t="s">
        <v>813</v>
      </c>
      <c r="D43" s="371"/>
      <c r="E43" s="372"/>
      <c r="F43" s="369" t="s">
        <v>814</v>
      </c>
      <c r="H43"/>
      <c r="I43"/>
      <c r="J43"/>
      <c r="K43"/>
      <c r="L43"/>
      <c r="M43"/>
    </row>
    <row r="44" spans="1:13" ht="14.25" customHeight="1">
      <c r="A44" s="369"/>
      <c r="B44" s="369"/>
      <c r="C44" s="42">
        <v>2020</v>
      </c>
      <c r="D44" s="42">
        <v>2021</v>
      </c>
      <c r="E44" s="42">
        <v>2022</v>
      </c>
      <c r="F44" s="369"/>
      <c r="H44"/>
      <c r="I44"/>
      <c r="J44"/>
      <c r="K44"/>
      <c r="L44"/>
      <c r="M44"/>
    </row>
    <row r="45" spans="1:13" ht="14.25" customHeight="1">
      <c r="A45" s="38" t="s">
        <v>143</v>
      </c>
      <c r="B45" s="43">
        <v>0</v>
      </c>
      <c r="C45" s="169">
        <f>ROUNDDOWN('Inst summary and ER calculation'!V5*(DATE(2020,12,31)-'Inst summary and ER calculation'!$AB$4+1)/('Inst summary and ER calculation'!$AB$5-'Inst summary and ER calculation'!$AB$4+1),0)</f>
        <v>6232</v>
      </c>
      <c r="D45" s="169">
        <f>ROUNDDOWN(('Inst summary and ER calculation'!V5-'Monitoring Report Tables'!C45)+'Inst summary and ER calculation'!Y5*(DATE(2021,12,31)-'Inst summary and ER calculation'!$AC$4+1)/('Inst summary and ER calculation'!$AC$5-'Inst summary and ER calculation'!$AC$4+1),0)</f>
        <v>2804</v>
      </c>
      <c r="E45" s="169">
        <f>ROUNDDOWN(('Inst summary and ER calculation'!V5+'Inst summary and ER calculation'!Y5)-('Monitoring Report Tables'!C45+'Monitoring Report Tables'!D45),0)</f>
        <v>309</v>
      </c>
      <c r="F45" s="172">
        <f t="shared" ref="F45:F80" si="0">SUM(C45:E45)</f>
        <v>9345</v>
      </c>
      <c r="H45"/>
      <c r="I45"/>
      <c r="J45"/>
      <c r="K45"/>
      <c r="L45"/>
      <c r="M45"/>
    </row>
    <row r="46" spans="1:13" ht="14.25" customHeight="1">
      <c r="A46" s="38" t="s">
        <v>145</v>
      </c>
      <c r="B46" s="43">
        <v>0</v>
      </c>
      <c r="C46" s="169">
        <f>ROUNDDOWN('Inst summary and ER calculation'!V6*(DATE(2020,12,31)-'Inst summary and ER calculation'!$AB$4+1)/('Inst summary and ER calculation'!$AB$5-'Inst summary and ER calculation'!$AB$4+1),0)</f>
        <v>5951</v>
      </c>
      <c r="D46" s="169">
        <f>ROUNDDOWN(('Inst summary and ER calculation'!V6-'Monitoring Report Tables'!C46)+'Inst summary and ER calculation'!Y6*(DATE(2021,12,31)-'Inst summary and ER calculation'!$AC$4+1)/('Inst summary and ER calculation'!$AC$5-'Inst summary and ER calculation'!$AC$4+1),0)</f>
        <v>2895</v>
      </c>
      <c r="E46" s="169">
        <f>ROUNDDOWN(('Inst summary and ER calculation'!V6+'Inst summary and ER calculation'!Y6)-('Monitoring Report Tables'!C46+'Monitoring Report Tables'!D46),0)</f>
        <v>337</v>
      </c>
      <c r="F46" s="172">
        <f t="shared" si="0"/>
        <v>9183</v>
      </c>
      <c r="H46"/>
      <c r="I46"/>
      <c r="J46"/>
      <c r="K46"/>
      <c r="L46"/>
      <c r="M46"/>
    </row>
    <row r="47" spans="1:13" ht="14.25" customHeight="1">
      <c r="A47" s="38" t="s">
        <v>144</v>
      </c>
      <c r="B47" s="43">
        <v>0</v>
      </c>
      <c r="C47" s="169">
        <f>ROUNDDOWN('Inst summary and ER calculation'!V7*(DATE(2020,12,31)-'Inst summary and ER calculation'!$AB$4+1)/('Inst summary and ER calculation'!$AB$5-'Inst summary and ER calculation'!$AB$4+1),0)</f>
        <v>0</v>
      </c>
      <c r="D47" s="169">
        <f>ROUNDDOWN(('Inst summary and ER calculation'!V7-'Monitoring Report Tables'!C47)+'Inst summary and ER calculation'!Y7*(DATE(2021,12,31)-'Inst summary and ER calculation'!$AC$4+1)/('Inst summary and ER calculation'!$AC$5-'Inst summary and ER calculation'!$AC$4+1),0)</f>
        <v>0</v>
      </c>
      <c r="E47" s="169">
        <f>ROUNDDOWN(('Inst summary and ER calculation'!V7+'Inst summary and ER calculation'!Y7)-('Monitoring Report Tables'!C47+'Monitoring Report Tables'!D47),0)</f>
        <v>0</v>
      </c>
      <c r="F47" s="172">
        <f t="shared" si="0"/>
        <v>0</v>
      </c>
      <c r="H47"/>
      <c r="I47"/>
      <c r="J47"/>
      <c r="K47"/>
      <c r="L47"/>
      <c r="M47"/>
    </row>
    <row r="48" spans="1:13" ht="14.25" customHeight="1">
      <c r="A48" s="38" t="s">
        <v>146</v>
      </c>
      <c r="B48" s="43">
        <v>0</v>
      </c>
      <c r="C48" s="169">
        <f>ROUNDDOWN('Inst summary and ER calculation'!V8*(DATE(2020,12,31)-'Inst summary and ER calculation'!$AB$4+1)/('Inst summary and ER calculation'!$AB$5-'Inst summary and ER calculation'!$AB$4+1),0)</f>
        <v>6269</v>
      </c>
      <c r="D48" s="169">
        <f>ROUNDDOWN(('Inst summary and ER calculation'!V8-'Monitoring Report Tables'!C48)+'Inst summary and ER calculation'!Y8*(DATE(2021,12,31)-'Inst summary and ER calculation'!$AC$4+1)/('Inst summary and ER calculation'!$AC$5-'Inst summary and ER calculation'!$AC$4+1),0)</f>
        <v>4643</v>
      </c>
      <c r="E48" s="169">
        <f>ROUNDDOWN(('Inst summary and ER calculation'!V8+'Inst summary and ER calculation'!Y8)-('Monitoring Report Tables'!C48+'Monitoring Report Tables'!D48),0)</f>
        <v>663</v>
      </c>
      <c r="F48" s="172">
        <f t="shared" si="0"/>
        <v>11575</v>
      </c>
      <c r="H48"/>
      <c r="I48"/>
      <c r="J48"/>
      <c r="K48"/>
      <c r="L48"/>
      <c r="M48"/>
    </row>
    <row r="49" spans="1:13" ht="14.25" customHeight="1">
      <c r="A49" s="38" t="s">
        <v>147</v>
      </c>
      <c r="B49" s="43">
        <v>0</v>
      </c>
      <c r="C49" s="169">
        <f>ROUNDDOWN('Inst summary and ER calculation'!V9*(DATE(2020,12,31)-'Inst summary and ER calculation'!$AB$4+1)/('Inst summary and ER calculation'!$AB$5-'Inst summary and ER calculation'!$AB$4+1),0)</f>
        <v>6099</v>
      </c>
      <c r="D49" s="169">
        <f>ROUNDDOWN(('Inst summary and ER calculation'!V9-'Monitoring Report Tables'!C49)+'Inst summary and ER calculation'!Y9*(DATE(2021,12,31)-'Inst summary and ER calculation'!$AC$4+1)/('Inst summary and ER calculation'!$AC$5-'Inst summary and ER calculation'!$AC$4+1),0)</f>
        <v>4136</v>
      </c>
      <c r="E49" s="169">
        <f>ROUNDDOWN(('Inst summary and ER calculation'!V9+'Inst summary and ER calculation'!Y9)-('Monitoring Report Tables'!C49+'Monitoring Report Tables'!D49),0)</f>
        <v>571</v>
      </c>
      <c r="F49" s="172">
        <f t="shared" si="0"/>
        <v>10806</v>
      </c>
      <c r="H49"/>
      <c r="I49"/>
      <c r="J49"/>
      <c r="K49"/>
      <c r="L49"/>
      <c r="M49"/>
    </row>
    <row r="50" spans="1:13" ht="14.25" customHeight="1">
      <c r="A50" s="38" t="s">
        <v>148</v>
      </c>
      <c r="B50" s="43">
        <v>0</v>
      </c>
      <c r="C50" s="169">
        <f>ROUNDDOWN('Inst summary and ER calculation'!V10*(DATE(2020,12,31)-'Inst summary and ER calculation'!$AB$4+1)/('Inst summary and ER calculation'!$AB$5-'Inst summary and ER calculation'!$AB$4+1),0)</f>
        <v>5974</v>
      </c>
      <c r="D50" s="169">
        <f>ROUNDDOWN(('Inst summary and ER calculation'!V10-'Monitoring Report Tables'!C50)+'Inst summary and ER calculation'!Y10*(DATE(2021,12,31)-'Inst summary and ER calculation'!$AC$4+1)/('Inst summary and ER calculation'!$AC$5-'Inst summary and ER calculation'!$AC$4+1),0)</f>
        <v>4870</v>
      </c>
      <c r="E50" s="169">
        <f>ROUNDDOWN(('Inst summary and ER calculation'!V10+'Inst summary and ER calculation'!Y10)-('Monitoring Report Tables'!C50+'Monitoring Report Tables'!D50),0)</f>
        <v>718</v>
      </c>
      <c r="F50" s="172">
        <f t="shared" si="0"/>
        <v>11562</v>
      </c>
      <c r="H50"/>
      <c r="I50"/>
      <c r="J50"/>
      <c r="K50"/>
      <c r="L50"/>
      <c r="M50"/>
    </row>
    <row r="51" spans="1:13" ht="14.25" customHeight="1">
      <c r="A51" s="38" t="s">
        <v>149</v>
      </c>
      <c r="B51" s="43">
        <v>0</v>
      </c>
      <c r="C51" s="169">
        <f>ROUNDDOWN('Inst summary and ER calculation'!V11*(DATE(2020,12,31)-'Inst summary and ER calculation'!$AB$4+1)/('Inst summary and ER calculation'!$AB$5-'Inst summary and ER calculation'!$AB$4+1),0)</f>
        <v>2363</v>
      </c>
      <c r="D51" s="169">
        <f>ROUNDDOWN(('Inst summary and ER calculation'!V11-'Monitoring Report Tables'!C51)+'Inst summary and ER calculation'!Y11*(DATE(2021,12,31)-'Inst summary and ER calculation'!$AC$4+1)/('Inst summary and ER calculation'!$AC$5-'Inst summary and ER calculation'!$AC$4+1),0)</f>
        <v>1279</v>
      </c>
      <c r="E51" s="169">
        <f>ROUNDDOWN(('Inst summary and ER calculation'!V11+'Inst summary and ER calculation'!Y11)-('Monitoring Report Tables'!C51+'Monitoring Report Tables'!D51),0)</f>
        <v>159</v>
      </c>
      <c r="F51" s="172">
        <f t="shared" si="0"/>
        <v>3801</v>
      </c>
      <c r="H51"/>
      <c r="I51"/>
      <c r="J51"/>
      <c r="K51"/>
      <c r="L51"/>
      <c r="M51"/>
    </row>
    <row r="52" spans="1:13" ht="14.25" customHeight="1">
      <c r="A52" s="38" t="s">
        <v>150</v>
      </c>
      <c r="B52" s="43">
        <v>0</v>
      </c>
      <c r="C52" s="169">
        <f>ROUNDDOWN('Inst summary and ER calculation'!V12*(DATE(2020,12,31)-'Inst summary and ER calculation'!$AB$4+1)/('Inst summary and ER calculation'!$AB$5-'Inst summary and ER calculation'!$AB$4+1),0)</f>
        <v>3004</v>
      </c>
      <c r="D52" s="169">
        <f>ROUNDDOWN(('Inst summary and ER calculation'!V12-'Monitoring Report Tables'!C52)+'Inst summary and ER calculation'!Y12*(DATE(2021,12,31)-'Inst summary and ER calculation'!$AC$4+1)/('Inst summary and ER calculation'!$AC$5-'Inst summary and ER calculation'!$AC$4+1),0)</f>
        <v>1696</v>
      </c>
      <c r="E52" s="169">
        <f>ROUNDDOWN(('Inst summary and ER calculation'!V12+'Inst summary and ER calculation'!Y12)-('Monitoring Report Tables'!C52+'Monitoring Report Tables'!D52),0)</f>
        <v>216</v>
      </c>
      <c r="F52" s="172">
        <f t="shared" si="0"/>
        <v>4916</v>
      </c>
      <c r="H52"/>
      <c r="I52"/>
      <c r="J52"/>
      <c r="K52"/>
      <c r="L52"/>
      <c r="M52"/>
    </row>
    <row r="53" spans="1:13" ht="14.25" customHeight="1">
      <c r="A53" s="38" t="s">
        <v>151</v>
      </c>
      <c r="B53" s="43">
        <v>0</v>
      </c>
      <c r="C53" s="169">
        <f>ROUNDDOWN('Inst summary and ER calculation'!V13*(DATE(2020,12,31)-'Inst summary and ER calculation'!$AB$4+1)/('Inst summary and ER calculation'!$AB$5-'Inst summary and ER calculation'!$AB$4+1),0)</f>
        <v>2031</v>
      </c>
      <c r="D53" s="169">
        <f>ROUNDDOWN(('Inst summary and ER calculation'!V13-'Monitoring Report Tables'!C53)+'Inst summary and ER calculation'!Y13*(DATE(2021,12,31)-'Inst summary and ER calculation'!$AC$4+1)/('Inst summary and ER calculation'!$AC$5-'Inst summary and ER calculation'!$AC$4+1),0)</f>
        <v>1204</v>
      </c>
      <c r="E53" s="169">
        <f>ROUNDDOWN(('Inst summary and ER calculation'!V13+'Inst summary and ER calculation'!Y13)-('Monitoring Report Tables'!C53+'Monitoring Report Tables'!D53),0)</f>
        <v>157</v>
      </c>
      <c r="F53" s="172">
        <f t="shared" si="0"/>
        <v>3392</v>
      </c>
      <c r="H53"/>
      <c r="I53"/>
      <c r="J53"/>
      <c r="K53"/>
      <c r="L53"/>
      <c r="M53"/>
    </row>
    <row r="54" spans="1:13" ht="14.25" customHeight="1">
      <c r="A54" s="38" t="s">
        <v>48</v>
      </c>
      <c r="B54" s="43">
        <v>0</v>
      </c>
      <c r="C54" s="169">
        <f>ROUNDDOWN('Inst summary and ER calculation'!V14*(DATE(2020,12,31)-'Inst summary and ER calculation'!$AB$4+1)/('Inst summary and ER calculation'!$AB$5-'Inst summary and ER calculation'!$AB$4+1),0)</f>
        <v>2363</v>
      </c>
      <c r="D54" s="169">
        <f>ROUNDDOWN(('Inst summary and ER calculation'!V14-'Monitoring Report Tables'!C54)+'Inst summary and ER calculation'!Y14*(DATE(2021,12,31)-'Inst summary and ER calculation'!$AC$4+1)/('Inst summary and ER calculation'!$AC$5-'Inst summary and ER calculation'!$AC$4+1),0)</f>
        <v>1500</v>
      </c>
      <c r="E54" s="169">
        <f>ROUNDDOWN(('Inst summary and ER calculation'!V14+'Inst summary and ER calculation'!Y14)-('Monitoring Report Tables'!C54+'Monitoring Report Tables'!D54),0)</f>
        <v>202</v>
      </c>
      <c r="F54" s="172">
        <f t="shared" si="0"/>
        <v>4065</v>
      </c>
      <c r="H54"/>
      <c r="I54"/>
      <c r="J54"/>
      <c r="K54"/>
      <c r="L54"/>
      <c r="M54"/>
    </row>
    <row r="55" spans="1:13" ht="14.25" customHeight="1">
      <c r="A55" s="38" t="s">
        <v>49</v>
      </c>
      <c r="B55" s="43">
        <v>0</v>
      </c>
      <c r="C55" s="169">
        <f>ROUNDDOWN('Inst summary and ER calculation'!V15*(DATE(2020,12,31)-'Inst summary and ER calculation'!$AB$4+1)/('Inst summary and ER calculation'!$AB$5-'Inst summary and ER calculation'!$AB$4+1),0)</f>
        <v>1621</v>
      </c>
      <c r="D55" s="169">
        <f>ROUNDDOWN(('Inst summary and ER calculation'!V15-'Monitoring Report Tables'!C55)+'Inst summary and ER calculation'!Y15*(DATE(2021,12,31)-'Inst summary and ER calculation'!$AC$4+1)/('Inst summary and ER calculation'!$AC$5-'Inst summary and ER calculation'!$AC$4+1),0)</f>
        <v>1065</v>
      </c>
      <c r="E55" s="169">
        <f>ROUNDDOWN(('Inst summary and ER calculation'!V15+'Inst summary and ER calculation'!Y15)-('Monitoring Report Tables'!C55+'Monitoring Report Tables'!D55),0)</f>
        <v>146</v>
      </c>
      <c r="F55" s="172">
        <f t="shared" si="0"/>
        <v>2832</v>
      </c>
      <c r="H55"/>
      <c r="I55"/>
      <c r="J55"/>
      <c r="K55"/>
      <c r="L55"/>
      <c r="M55"/>
    </row>
    <row r="56" spans="1:13" ht="14.25" customHeight="1">
      <c r="A56" s="38" t="s">
        <v>50</v>
      </c>
      <c r="B56" s="43">
        <v>0</v>
      </c>
      <c r="C56" s="169">
        <f>ROUNDDOWN('Inst summary and ER calculation'!V16*(DATE(2020,12,31)-'Inst summary and ER calculation'!$AB$4+1)/('Inst summary and ER calculation'!$AB$5-'Inst summary and ER calculation'!$AB$4+1),0)</f>
        <v>3110</v>
      </c>
      <c r="D56" s="169">
        <f>ROUNDDOWN(('Inst summary and ER calculation'!V16-'Monitoring Report Tables'!C56)+'Inst summary and ER calculation'!Y16*(DATE(2021,12,31)-'Inst summary and ER calculation'!$AC$4+1)/('Inst summary and ER calculation'!$AC$5-'Inst summary and ER calculation'!$AC$4+1),0)</f>
        <v>2144</v>
      </c>
      <c r="E56" s="169">
        <f>ROUNDDOWN(('Inst summary and ER calculation'!V16+'Inst summary and ER calculation'!Y16)-('Monitoring Report Tables'!C56+'Monitoring Report Tables'!D56),0)</f>
        <v>298</v>
      </c>
      <c r="F56" s="172">
        <f t="shared" si="0"/>
        <v>5552</v>
      </c>
      <c r="H56"/>
      <c r="I56"/>
      <c r="J56"/>
      <c r="K56"/>
      <c r="L56"/>
      <c r="M56"/>
    </row>
    <row r="57" spans="1:13" ht="14.25" customHeight="1">
      <c r="A57" s="38" t="s">
        <v>51</v>
      </c>
      <c r="B57" s="43">
        <v>0</v>
      </c>
      <c r="C57" s="169">
        <f>ROUNDDOWN('Inst summary and ER calculation'!V17*(DATE(2020,12,31)-'Inst summary and ER calculation'!$AB$4+1)/('Inst summary and ER calculation'!$AB$5-'Inst summary and ER calculation'!$AB$4+1),0)</f>
        <v>2583</v>
      </c>
      <c r="D57" s="169">
        <f>ROUNDDOWN(('Inst summary and ER calculation'!V17-'Monitoring Report Tables'!C57)+'Inst summary and ER calculation'!Y17*(DATE(2021,12,31)-'Inst summary and ER calculation'!$AC$4+1)/('Inst summary and ER calculation'!$AC$5-'Inst summary and ER calculation'!$AC$4+1),0)</f>
        <v>1840</v>
      </c>
      <c r="E57" s="169">
        <f>ROUNDDOWN(('Inst summary and ER calculation'!V17+'Inst summary and ER calculation'!Y17)-('Monitoring Report Tables'!C57+'Monitoring Report Tables'!D57),0)</f>
        <v>259</v>
      </c>
      <c r="F57" s="172">
        <f t="shared" si="0"/>
        <v>4682</v>
      </c>
      <c r="H57"/>
      <c r="I57"/>
      <c r="J57"/>
      <c r="K57"/>
      <c r="L57"/>
      <c r="M57"/>
    </row>
    <row r="58" spans="1:13" ht="14.25" customHeight="1">
      <c r="A58" s="38" t="s">
        <v>52</v>
      </c>
      <c r="B58" s="43">
        <v>0</v>
      </c>
      <c r="C58" s="169">
        <f>ROUNDDOWN('Inst summary and ER calculation'!V18*(DATE(2020,12,31)-'Inst summary and ER calculation'!$AB$4+1)/('Inst summary and ER calculation'!$AB$5-'Inst summary and ER calculation'!$AB$4+1),0)</f>
        <v>4325</v>
      </c>
      <c r="D58" s="169">
        <f>ROUNDDOWN(('Inst summary and ER calculation'!V18-'Monitoring Report Tables'!C58)+'Inst summary and ER calculation'!Y18*(DATE(2021,12,31)-'Inst summary and ER calculation'!$AC$4+1)/('Inst summary and ER calculation'!$AC$5-'Inst summary and ER calculation'!$AC$4+1),0)</f>
        <v>3217</v>
      </c>
      <c r="E58" s="169">
        <f>ROUNDDOWN(('Inst summary and ER calculation'!V18+'Inst summary and ER calculation'!Y18)-('Monitoring Report Tables'!C58+'Monitoring Report Tables'!D58),0)</f>
        <v>460</v>
      </c>
      <c r="F58" s="172">
        <f t="shared" si="0"/>
        <v>8002</v>
      </c>
      <c r="H58"/>
      <c r="I58"/>
      <c r="J58"/>
      <c r="K58"/>
      <c r="L58"/>
      <c r="M58"/>
    </row>
    <row r="59" spans="1:13" ht="14.25" customHeight="1">
      <c r="A59" s="38" t="s">
        <v>53</v>
      </c>
      <c r="B59" s="43">
        <v>0</v>
      </c>
      <c r="C59" s="169">
        <f>ROUNDDOWN('Inst summary and ER calculation'!V19*(DATE(2020,12,31)-'Inst summary and ER calculation'!$AB$4+1)/('Inst summary and ER calculation'!$AB$5-'Inst summary and ER calculation'!$AB$4+1),0)</f>
        <v>2679</v>
      </c>
      <c r="D59" s="169">
        <f>ROUNDDOWN(('Inst summary and ER calculation'!V19-'Monitoring Report Tables'!C59)+'Inst summary and ER calculation'!Y19*(DATE(2021,12,31)-'Inst summary and ER calculation'!$AC$4+1)/('Inst summary and ER calculation'!$AC$5-'Inst summary and ER calculation'!$AC$4+1),0)</f>
        <v>2047</v>
      </c>
      <c r="E59" s="169">
        <f>ROUNDDOWN(('Inst summary and ER calculation'!V19+'Inst summary and ER calculation'!Y19)-('Monitoring Report Tables'!C59+'Monitoring Report Tables'!D59),0)</f>
        <v>295</v>
      </c>
      <c r="F59" s="172">
        <f t="shared" si="0"/>
        <v>5021</v>
      </c>
      <c r="H59"/>
      <c r="I59"/>
      <c r="J59"/>
      <c r="K59"/>
      <c r="L59"/>
      <c r="M59"/>
    </row>
    <row r="60" spans="1:13" ht="14.25" customHeight="1">
      <c r="A60" s="38" t="s">
        <v>54</v>
      </c>
      <c r="B60" s="43">
        <v>0</v>
      </c>
      <c r="C60" s="169">
        <f>ROUNDDOWN('Inst summary and ER calculation'!V20*(DATE(2020,12,31)-'Inst summary and ER calculation'!$AB$4+1)/('Inst summary and ER calculation'!$AB$5-'Inst summary and ER calculation'!$AB$4+1),0)</f>
        <v>2126</v>
      </c>
      <c r="D60" s="169">
        <f>ROUNDDOWN(('Inst summary and ER calculation'!V20-'Monitoring Report Tables'!C60)+'Inst summary and ER calculation'!Y20*(DATE(2021,12,31)-'Inst summary and ER calculation'!$AC$4+1)/('Inst summary and ER calculation'!$AC$5-'Inst summary and ER calculation'!$AC$4+1),0)</f>
        <v>1666</v>
      </c>
      <c r="E60" s="169">
        <f>ROUNDDOWN(('Inst summary and ER calculation'!V20+'Inst summary and ER calculation'!Y20)-('Monitoring Report Tables'!C60+'Monitoring Report Tables'!D60),0)</f>
        <v>242</v>
      </c>
      <c r="F60" s="172">
        <f t="shared" si="0"/>
        <v>4034</v>
      </c>
    </row>
    <row r="61" spans="1:13" ht="14.25" customHeight="1">
      <c r="A61" s="38" t="s">
        <v>55</v>
      </c>
      <c r="B61" s="43">
        <v>0</v>
      </c>
      <c r="C61" s="169">
        <f>ROUNDDOWN('Inst summary and ER calculation'!V21*(DATE(2020,12,31)-'Inst summary and ER calculation'!$AB$4+1)/('Inst summary and ER calculation'!$AB$5-'Inst summary and ER calculation'!$AB$4+1),0)</f>
        <v>3246</v>
      </c>
      <c r="D61" s="169">
        <f>ROUNDDOWN(('Inst summary and ER calculation'!V21-'Monitoring Report Tables'!C61)+'Inst summary and ER calculation'!Y21*(DATE(2021,12,31)-'Inst summary and ER calculation'!$AC$4+1)/('Inst summary and ER calculation'!$AC$5-'Inst summary and ER calculation'!$AC$4+1),0)</f>
        <v>2636</v>
      </c>
      <c r="E61" s="169">
        <f>ROUNDDOWN(('Inst summary and ER calculation'!V21+'Inst summary and ER calculation'!Y21)-('Monitoring Report Tables'!C61+'Monitoring Report Tables'!D61),0)</f>
        <v>388</v>
      </c>
      <c r="F61" s="172">
        <f t="shared" si="0"/>
        <v>6270</v>
      </c>
    </row>
    <row r="62" spans="1:13" ht="14.25" customHeight="1">
      <c r="A62" s="38" t="s">
        <v>56</v>
      </c>
      <c r="B62" s="43">
        <v>0</v>
      </c>
      <c r="C62" s="169">
        <f>ROUNDDOWN('Inst summary and ER calculation'!V22*(DATE(2020,12,31)-'Inst summary and ER calculation'!$AB$4+1)/('Inst summary and ER calculation'!$AB$5-'Inst summary and ER calculation'!$AB$4+1),0)</f>
        <v>1961</v>
      </c>
      <c r="D62" s="169">
        <f>ROUNDDOWN(('Inst summary and ER calculation'!V22-'Monitoring Report Tables'!C62)+'Inst summary and ER calculation'!Y22*(DATE(2021,12,31)-'Inst summary and ER calculation'!$AC$4+1)/('Inst summary and ER calculation'!$AC$5-'Inst summary and ER calculation'!$AC$4+1),0)</f>
        <v>1613</v>
      </c>
      <c r="E62" s="169">
        <f>ROUNDDOWN(('Inst summary and ER calculation'!V22+'Inst summary and ER calculation'!Y22)-('Monitoring Report Tables'!C62+'Monitoring Report Tables'!D62),0)</f>
        <v>238</v>
      </c>
      <c r="F62" s="172">
        <f t="shared" si="0"/>
        <v>3812</v>
      </c>
    </row>
    <row r="63" spans="1:13" ht="14.25" customHeight="1">
      <c r="A63" s="38" t="s">
        <v>57</v>
      </c>
      <c r="B63" s="43">
        <v>0</v>
      </c>
      <c r="C63" s="169">
        <f>ROUNDDOWN('Inst summary and ER calculation'!V23*(DATE(2020,12,31)-'Inst summary and ER calculation'!$AB$4+1)/('Inst summary and ER calculation'!$AB$5-'Inst summary and ER calculation'!$AB$4+1),0)</f>
        <v>2988</v>
      </c>
      <c r="D63" s="169">
        <f>ROUNDDOWN(('Inst summary and ER calculation'!V23-'Monitoring Report Tables'!C63)+'Inst summary and ER calculation'!Y23*(DATE(2021,12,31)-'Inst summary and ER calculation'!$AC$4+1)/('Inst summary and ER calculation'!$AC$5-'Inst summary and ER calculation'!$AC$4+1),0)</f>
        <v>2511</v>
      </c>
      <c r="E63" s="169">
        <f>ROUNDDOWN(('Inst summary and ER calculation'!V23+'Inst summary and ER calculation'!Y23)-('Monitoring Report Tables'!C63+'Monitoring Report Tables'!D63),0)</f>
        <v>373</v>
      </c>
      <c r="F63" s="172">
        <f t="shared" si="0"/>
        <v>5872</v>
      </c>
    </row>
    <row r="64" spans="1:13" ht="14.25" customHeight="1">
      <c r="A64" s="38" t="s">
        <v>58</v>
      </c>
      <c r="B64" s="43">
        <v>0</v>
      </c>
      <c r="C64" s="169">
        <f>ROUNDDOWN('Inst summary and ER calculation'!V24*(DATE(2020,12,31)-'Inst summary and ER calculation'!$AB$4+1)/('Inst summary and ER calculation'!$AB$5-'Inst summary and ER calculation'!$AB$4+1),0)</f>
        <v>2623</v>
      </c>
      <c r="D64" s="169">
        <f>ROUNDDOWN(('Inst summary and ER calculation'!V24-'Monitoring Report Tables'!C64)+'Inst summary and ER calculation'!Y24*(DATE(2021,12,31)-'Inst summary and ER calculation'!$AC$4+1)/('Inst summary and ER calculation'!$AC$5-'Inst summary and ER calculation'!$AC$4+1),0)</f>
        <v>2238</v>
      </c>
      <c r="E64" s="169">
        <f>ROUNDDOWN(('Inst summary and ER calculation'!V24+'Inst summary and ER calculation'!Y24)-('Monitoring Report Tables'!C64+'Monitoring Report Tables'!D64),0)</f>
        <v>334</v>
      </c>
      <c r="F64" s="172">
        <f t="shared" si="0"/>
        <v>5195</v>
      </c>
    </row>
    <row r="65" spans="1:10" ht="14.25" customHeight="1">
      <c r="A65" s="38" t="s">
        <v>59</v>
      </c>
      <c r="B65" s="43">
        <v>0</v>
      </c>
      <c r="C65" s="169">
        <f>ROUNDDOWN('Inst summary and ER calculation'!V25*(DATE(2020,12,31)-'Inst summary and ER calculation'!$AB$4+1)/('Inst summary and ER calculation'!$AB$5-'Inst summary and ER calculation'!$AB$4+1),0)</f>
        <v>5260</v>
      </c>
      <c r="D65" s="169">
        <f>ROUNDDOWN(('Inst summary and ER calculation'!V25-'Monitoring Report Tables'!C65)+'Inst summary and ER calculation'!Y25*(DATE(2021,12,31)-'Inst summary and ER calculation'!$AC$4+1)/('Inst summary and ER calculation'!$AC$5-'Inst summary and ER calculation'!$AC$4+1),0)</f>
        <v>4623</v>
      </c>
      <c r="E65" s="169">
        <f>ROUNDDOWN(('Inst summary and ER calculation'!V25+'Inst summary and ER calculation'!Y25)-('Monitoring Report Tables'!C65+'Monitoring Report Tables'!D65),0)</f>
        <v>696</v>
      </c>
      <c r="F65" s="172">
        <f t="shared" si="0"/>
        <v>10579</v>
      </c>
    </row>
    <row r="66" spans="1:10" ht="14.25" customHeight="1">
      <c r="A66" s="38" t="s">
        <v>60</v>
      </c>
      <c r="B66" s="43">
        <v>0</v>
      </c>
      <c r="C66" s="169">
        <f>ROUNDDOWN('Inst summary and ER calculation'!V26*(DATE(2020,12,31)-'Inst summary and ER calculation'!$AB$4+1)/('Inst summary and ER calculation'!$AB$5-'Inst summary and ER calculation'!$AB$4+1),0)</f>
        <v>3680</v>
      </c>
      <c r="D66" s="169">
        <f>ROUNDDOWN(('Inst summary and ER calculation'!V26-'Monitoring Report Tables'!C66)+'Inst summary and ER calculation'!Y26*(DATE(2021,12,31)-'Inst summary and ER calculation'!$AC$4+1)/('Inst summary and ER calculation'!$AC$5-'Inst summary and ER calculation'!$AC$4+1),0)</f>
        <v>3290</v>
      </c>
      <c r="E66" s="169">
        <f>ROUNDDOWN(('Inst summary and ER calculation'!V26+'Inst summary and ER calculation'!Y26)-('Monitoring Report Tables'!C66+'Monitoring Report Tables'!D66),0)</f>
        <v>498</v>
      </c>
      <c r="F66" s="172">
        <f t="shared" si="0"/>
        <v>7468</v>
      </c>
    </row>
    <row r="67" spans="1:10" ht="14.25" customHeight="1">
      <c r="A67" s="38" t="s">
        <v>61</v>
      </c>
      <c r="B67" s="43">
        <v>0</v>
      </c>
      <c r="C67" s="169">
        <f>ROUNDDOWN('Inst summary and ER calculation'!V27*(DATE(2020,12,31)-'Inst summary and ER calculation'!$AB$4+1)/('Inst summary and ER calculation'!$AB$5-'Inst summary and ER calculation'!$AB$4+1),0)</f>
        <v>4002</v>
      </c>
      <c r="D67" s="169">
        <f>ROUNDDOWN(('Inst summary and ER calculation'!V27-'Monitoring Report Tables'!C67)+'Inst summary and ER calculation'!Y27*(DATE(2021,12,31)-'Inst summary and ER calculation'!$AC$4+1)/('Inst summary and ER calculation'!$AC$5-'Inst summary and ER calculation'!$AC$4+1),0)</f>
        <v>3706</v>
      </c>
      <c r="E67" s="169">
        <f>ROUNDDOWN(('Inst summary and ER calculation'!V27+'Inst summary and ER calculation'!Y27)-('Monitoring Report Tables'!C67+'Monitoring Report Tables'!D67),0)</f>
        <v>566</v>
      </c>
      <c r="F67" s="172">
        <f t="shared" si="0"/>
        <v>8274</v>
      </c>
    </row>
    <row r="68" spans="1:10" ht="14.25" customHeight="1">
      <c r="A68" s="38" t="s">
        <v>62</v>
      </c>
      <c r="B68" s="43">
        <v>0</v>
      </c>
      <c r="C68" s="169">
        <f>ROUNDDOWN('Inst summary and ER calculation'!V28*(DATE(2020,12,31)-'Inst summary and ER calculation'!$AB$4+1)/('Inst summary and ER calculation'!$AB$5-'Inst summary and ER calculation'!$AB$4+1),0)</f>
        <v>3308</v>
      </c>
      <c r="D68" s="169">
        <f>ROUNDDOWN(('Inst summary and ER calculation'!V28-'Monitoring Report Tables'!C68)+'Inst summary and ER calculation'!Y28*(DATE(2021,12,31)-'Inst summary and ER calculation'!$AC$4+1)/('Inst summary and ER calculation'!$AC$5-'Inst summary and ER calculation'!$AC$4+1),0)</f>
        <v>3162</v>
      </c>
      <c r="E68" s="169">
        <f>ROUNDDOWN(('Inst summary and ER calculation'!V28+'Inst summary and ER calculation'!Y28)-('Monitoring Report Tables'!C68+'Monitoring Report Tables'!D68),0)</f>
        <v>487</v>
      </c>
      <c r="F68" s="172">
        <f t="shared" si="0"/>
        <v>6957</v>
      </c>
    </row>
    <row r="69" spans="1:10" ht="14.25" customHeight="1">
      <c r="A69" s="38" t="s">
        <v>63</v>
      </c>
      <c r="B69" s="43">
        <v>0</v>
      </c>
      <c r="C69" s="169">
        <f>ROUNDDOWN('Inst summary and ER calculation'!V29*(DATE(2020,12,31)-'Inst summary and ER calculation'!$AB$4+1)/('Inst summary and ER calculation'!$AB$5-'Inst summary and ER calculation'!$AB$4+1),0)</f>
        <v>426</v>
      </c>
      <c r="D69" s="169">
        <f>ROUNDDOWN(('Inst summary and ER calculation'!V29-'Monitoring Report Tables'!C69)+'Inst summary and ER calculation'!Y29*(DATE(2021,12,31)-'Inst summary and ER calculation'!$AC$4+1)/('Inst summary and ER calculation'!$AC$5-'Inst summary and ER calculation'!$AC$4+1),0)</f>
        <v>412</v>
      </c>
      <c r="E69" s="169">
        <f>ROUNDDOWN(('Inst summary and ER calculation'!V29+'Inst summary and ER calculation'!Y29)-('Monitoring Report Tables'!C69+'Monitoring Report Tables'!D69),0)</f>
        <v>64</v>
      </c>
      <c r="F69" s="172">
        <f t="shared" si="0"/>
        <v>902</v>
      </c>
    </row>
    <row r="70" spans="1:10" ht="14.25" customHeight="1">
      <c r="A70" s="38" t="s">
        <v>64</v>
      </c>
      <c r="B70" s="43">
        <v>0</v>
      </c>
      <c r="C70" s="169">
        <f>ROUNDDOWN('Inst summary and ER calculation'!V30*(DATE(2020,12,31)-'Inst summary and ER calculation'!$AB$4+1)/('Inst summary and ER calculation'!$AB$5-'Inst summary and ER calculation'!$AB$4+1),0)</f>
        <v>4444</v>
      </c>
      <c r="D70" s="169">
        <f>ROUNDDOWN(('Inst summary and ER calculation'!V30-'Monitoring Report Tables'!C70)+'Inst summary and ER calculation'!Y30*(DATE(2021,12,31)-'Inst summary and ER calculation'!$AC$4+1)/('Inst summary and ER calculation'!$AC$5-'Inst summary and ER calculation'!$AC$4+1),0)</f>
        <v>4625</v>
      </c>
      <c r="E70" s="169">
        <f>ROUNDDOWN(('Inst summary and ER calculation'!V30+'Inst summary and ER calculation'!Y30)-('Monitoring Report Tables'!C70+'Monitoring Report Tables'!D70),0)</f>
        <v>727</v>
      </c>
      <c r="F70" s="172">
        <f t="shared" si="0"/>
        <v>9796</v>
      </c>
      <c r="H70"/>
      <c r="I70"/>
      <c r="J70"/>
    </row>
    <row r="71" spans="1:10" ht="14.25" customHeight="1">
      <c r="A71" s="38" t="s">
        <v>65</v>
      </c>
      <c r="B71" s="43">
        <v>0</v>
      </c>
      <c r="C71" s="169">
        <f>ROUNDDOWN('Inst summary and ER calculation'!V31*(DATE(2020,12,31)-'Inst summary and ER calculation'!$AB$4+1)/('Inst summary and ER calculation'!$AB$5-'Inst summary and ER calculation'!$AB$4+1),0)</f>
        <v>1282</v>
      </c>
      <c r="D71" s="169">
        <f>ROUNDDOWN(('Inst summary and ER calculation'!V31-'Monitoring Report Tables'!C71)+'Inst summary and ER calculation'!Y31*(DATE(2021,12,31)-'Inst summary and ER calculation'!$AC$4+1)/('Inst summary and ER calculation'!$AC$5-'Inst summary and ER calculation'!$AC$4+1),0)</f>
        <v>1386</v>
      </c>
      <c r="E71" s="169">
        <f>ROUNDDOWN(('Inst summary and ER calculation'!V31+'Inst summary and ER calculation'!Y31)-('Monitoring Report Tables'!C71+'Monitoring Report Tables'!D71),0)</f>
        <v>220</v>
      </c>
      <c r="F71" s="172">
        <f t="shared" si="0"/>
        <v>2888</v>
      </c>
      <c r="H71"/>
      <c r="I71"/>
      <c r="J71"/>
    </row>
    <row r="72" spans="1:10" ht="14.25" customHeight="1">
      <c r="A72" s="38" t="s">
        <v>66</v>
      </c>
      <c r="B72" s="43">
        <v>0</v>
      </c>
      <c r="C72" s="169">
        <f>ROUNDDOWN('Inst summary and ER calculation'!V32*(DATE(2020,12,31)-'Inst summary and ER calculation'!$AB$4+1)/('Inst summary and ER calculation'!$AB$5-'Inst summary and ER calculation'!$AB$4+1),0)</f>
        <v>3098</v>
      </c>
      <c r="D72" s="169">
        <f>ROUNDDOWN(('Inst summary and ER calculation'!V32-'Monitoring Report Tables'!C72)+'Inst summary and ER calculation'!Y32*(DATE(2021,12,31)-'Inst summary and ER calculation'!$AC$4+1)/('Inst summary and ER calculation'!$AC$5-'Inst summary and ER calculation'!$AC$4+1),0)</f>
        <v>3349</v>
      </c>
      <c r="E72" s="169">
        <f>ROUNDDOWN(('Inst summary and ER calculation'!V32+'Inst summary and ER calculation'!Y32)-('Monitoring Report Tables'!C72+'Monitoring Report Tables'!D72),0)</f>
        <v>531</v>
      </c>
      <c r="F72" s="172">
        <f t="shared" si="0"/>
        <v>6978</v>
      </c>
      <c r="H72"/>
      <c r="I72"/>
      <c r="J72"/>
    </row>
    <row r="73" spans="1:10" ht="14.25" customHeight="1">
      <c r="A73" s="38" t="s">
        <v>67</v>
      </c>
      <c r="B73" s="43">
        <v>0</v>
      </c>
      <c r="C73" s="169">
        <f>ROUNDDOWN('Inst summary and ER calculation'!V33*(DATE(2020,12,31)-'Inst summary and ER calculation'!$AB$4+1)/('Inst summary and ER calculation'!$AB$5-'Inst summary and ER calculation'!$AB$4+1),0)</f>
        <v>6902</v>
      </c>
      <c r="D73" s="169">
        <f>ROUNDDOWN(('Inst summary and ER calculation'!V33-'Monitoring Report Tables'!C73)+'Inst summary and ER calculation'!Y33*(DATE(2021,12,31)-'Inst summary and ER calculation'!$AC$4+1)/('Inst summary and ER calculation'!$AC$5-'Inst summary and ER calculation'!$AC$4+1),0)</f>
        <v>7460</v>
      </c>
      <c r="E73" s="169">
        <f>ROUNDDOWN(('Inst summary and ER calculation'!V33+'Inst summary and ER calculation'!Y33)-('Monitoring Report Tables'!C73+'Monitoring Report Tables'!D73),0)</f>
        <v>1182</v>
      </c>
      <c r="F73" s="172">
        <f t="shared" si="0"/>
        <v>15544</v>
      </c>
      <c r="H73"/>
      <c r="I73"/>
      <c r="J73"/>
    </row>
    <row r="74" spans="1:10" ht="14.25" customHeight="1">
      <c r="A74" s="38" t="s">
        <v>68</v>
      </c>
      <c r="B74" s="43">
        <v>0</v>
      </c>
      <c r="C74" s="169">
        <f>ROUNDDOWN('Inst summary and ER calculation'!V34*(DATE(2020,12,31)-'Inst summary and ER calculation'!$AB$4+1)/('Inst summary and ER calculation'!$AB$5-'Inst summary and ER calculation'!$AB$4+1),0)</f>
        <v>4071</v>
      </c>
      <c r="D74" s="169">
        <f>ROUNDDOWN(('Inst summary and ER calculation'!V34-'Monitoring Report Tables'!C74)+'Inst summary and ER calculation'!Y34*(DATE(2021,12,31)-'Inst summary and ER calculation'!$AC$4+1)/('Inst summary and ER calculation'!$AC$5-'Inst summary and ER calculation'!$AC$4+1),0)</f>
        <v>4399</v>
      </c>
      <c r="E74" s="169">
        <f>ROUNDDOWN(('Inst summary and ER calculation'!V34+'Inst summary and ER calculation'!Y34)-('Monitoring Report Tables'!C74+'Monitoring Report Tables'!D74),0)</f>
        <v>698</v>
      </c>
      <c r="F74" s="172">
        <f t="shared" si="0"/>
        <v>9168</v>
      </c>
      <c r="H74"/>
      <c r="I74"/>
      <c r="J74"/>
    </row>
    <row r="75" spans="1:10" ht="14.25" customHeight="1">
      <c r="A75" s="38" t="s">
        <v>69</v>
      </c>
      <c r="B75" s="43">
        <v>0</v>
      </c>
      <c r="C75" s="169">
        <f>ROUNDDOWN('Inst summary and ER calculation'!V35*(DATE(2020,12,31)-'Inst summary and ER calculation'!$AB$4+1)/('Inst summary and ER calculation'!$AB$5-'Inst summary and ER calculation'!$AB$4+1),0)</f>
        <v>5038</v>
      </c>
      <c r="D75" s="169">
        <f>ROUNDDOWN(('Inst summary and ER calculation'!V35-'Monitoring Report Tables'!C75)+'Inst summary and ER calculation'!Y35*(DATE(2021,12,31)-'Inst summary and ER calculation'!$AC$4+1)/('Inst summary and ER calculation'!$AC$5-'Inst summary and ER calculation'!$AC$4+1),0)</f>
        <v>5446</v>
      </c>
      <c r="E75" s="169">
        <f>ROUNDDOWN(('Inst summary and ER calculation'!V35+'Inst summary and ER calculation'!Y35)-('Monitoring Report Tables'!C75+'Monitoring Report Tables'!D75),0)</f>
        <v>863</v>
      </c>
      <c r="F75" s="172">
        <f t="shared" si="0"/>
        <v>11347</v>
      </c>
      <c r="H75"/>
      <c r="I75"/>
      <c r="J75"/>
    </row>
    <row r="76" spans="1:10" ht="14.25" customHeight="1">
      <c r="A76" s="38" t="s">
        <v>70</v>
      </c>
      <c r="B76" s="43">
        <v>0</v>
      </c>
      <c r="C76" s="169">
        <f>ROUNDDOWN('Inst summary and ER calculation'!V36*(DATE(2020,12,31)-'Inst summary and ER calculation'!$AB$4+1)/('Inst summary and ER calculation'!$AB$5-'Inst summary and ER calculation'!$AB$4+1),0)</f>
        <v>7061</v>
      </c>
      <c r="D76" s="169">
        <f>ROUNDDOWN(('Inst summary and ER calculation'!V36-'Monitoring Report Tables'!C76)+'Inst summary and ER calculation'!Y36*(DATE(2021,12,31)-'Inst summary and ER calculation'!$AC$4+1)/('Inst summary and ER calculation'!$AC$5-'Inst summary and ER calculation'!$AC$4+1),0)</f>
        <v>7632</v>
      </c>
      <c r="E76" s="169">
        <f>ROUNDDOWN(('Inst summary and ER calculation'!V36+'Inst summary and ER calculation'!Y36)-('Monitoring Report Tables'!C76+'Monitoring Report Tables'!D76),0)</f>
        <v>1210</v>
      </c>
      <c r="F76" s="172">
        <f t="shared" si="0"/>
        <v>15903</v>
      </c>
      <c r="H76"/>
      <c r="I76"/>
      <c r="J76"/>
    </row>
    <row r="77" spans="1:10" ht="14.25" customHeight="1">
      <c r="A77" s="38" t="s">
        <v>71</v>
      </c>
      <c r="B77" s="43">
        <v>0</v>
      </c>
      <c r="C77" s="169">
        <f>ROUNDDOWN('Inst summary and ER calculation'!V37*(DATE(2020,12,31)-'Inst summary and ER calculation'!$AB$4+1)/('Inst summary and ER calculation'!$AB$5-'Inst summary and ER calculation'!$AB$4+1),0)</f>
        <v>1583</v>
      </c>
      <c r="D77" s="169">
        <f>ROUNDDOWN(('Inst summary and ER calculation'!V37-'Monitoring Report Tables'!C77)+'Inst summary and ER calculation'!Y37*(DATE(2021,12,31)-'Inst summary and ER calculation'!$AC$4+1)/('Inst summary and ER calculation'!$AC$5-'Inst summary and ER calculation'!$AC$4+1),0)</f>
        <v>1711</v>
      </c>
      <c r="E77" s="169">
        <f>ROUNDDOWN(('Inst summary and ER calculation'!V37+'Inst summary and ER calculation'!Y37)-('Monitoring Report Tables'!C77+'Monitoring Report Tables'!D77),0)</f>
        <v>272</v>
      </c>
      <c r="F77" s="172">
        <f t="shared" si="0"/>
        <v>3566</v>
      </c>
      <c r="H77"/>
      <c r="I77"/>
      <c r="J77"/>
    </row>
    <row r="78" spans="1:10" ht="14.25" customHeight="1">
      <c r="A78" s="38" t="s">
        <v>72</v>
      </c>
      <c r="B78" s="43">
        <v>0</v>
      </c>
      <c r="C78" s="169">
        <f>ROUNDDOWN('Inst summary and ER calculation'!V38*(DATE(2020,12,31)-'Inst summary and ER calculation'!$AB$4+1)/('Inst summary and ER calculation'!$AB$5-'Inst summary and ER calculation'!$AB$4+1),0)</f>
        <v>223</v>
      </c>
      <c r="D78" s="169">
        <f>ROUNDDOWN(('Inst summary and ER calculation'!V38-'Monitoring Report Tables'!C78)+'Inst summary and ER calculation'!Y38*(DATE(2021,12,31)-'Inst summary and ER calculation'!$AC$4+1)/('Inst summary and ER calculation'!$AC$5-'Inst summary and ER calculation'!$AC$4+1),0)</f>
        <v>242</v>
      </c>
      <c r="E78" s="169">
        <f>ROUNDDOWN(('Inst summary and ER calculation'!V38+'Inst summary and ER calculation'!Y38)-('Monitoring Report Tables'!C78+'Monitoring Report Tables'!D78),0)</f>
        <v>39</v>
      </c>
      <c r="F78" s="172">
        <f t="shared" si="0"/>
        <v>504</v>
      </c>
      <c r="H78"/>
      <c r="I78"/>
      <c r="J78"/>
    </row>
    <row r="79" spans="1:10" ht="14.25" customHeight="1">
      <c r="A79" s="38" t="s">
        <v>73</v>
      </c>
      <c r="B79" s="43">
        <v>0</v>
      </c>
      <c r="C79" s="169">
        <f>ROUNDDOWN('Inst summary and ER calculation'!V39*(DATE(2020,12,31)-'Inst summary and ER calculation'!$AB$4+1)/('Inst summary and ER calculation'!$AB$5-'Inst summary and ER calculation'!$AB$4+1),0)</f>
        <v>7181</v>
      </c>
      <c r="D79" s="169">
        <f>ROUNDDOWN(('Inst summary and ER calculation'!V39-'Monitoring Report Tables'!C79)+'Inst summary and ER calculation'!Y39*(DATE(2021,12,31)-'Inst summary and ER calculation'!$AC$4+1)/('Inst summary and ER calculation'!$AC$5-'Inst summary and ER calculation'!$AC$4+1),0)</f>
        <v>7762</v>
      </c>
      <c r="E79" s="169">
        <f>ROUNDDOWN(('Inst summary and ER calculation'!V39+'Inst summary and ER calculation'!Y39)-('Monitoring Report Tables'!C79+'Monitoring Report Tables'!D79),0)</f>
        <v>1230</v>
      </c>
      <c r="F79" s="172">
        <f t="shared" si="0"/>
        <v>16173</v>
      </c>
      <c r="H79"/>
      <c r="I79"/>
      <c r="J79"/>
    </row>
    <row r="80" spans="1:10" ht="14.25" customHeight="1">
      <c r="A80" s="38" t="s">
        <v>74</v>
      </c>
      <c r="B80" s="43">
        <v>0</v>
      </c>
      <c r="C80" s="169">
        <f>ROUNDDOWN('Inst summary and ER calculation'!V40*(DATE(2020,12,31)-'Inst summary and ER calculation'!$AB$4+1)/('Inst summary and ER calculation'!$AB$5-'Inst summary and ER calculation'!$AB$4+1),0)</f>
        <v>7203</v>
      </c>
      <c r="D80" s="169">
        <f>ROUNDDOWN(('Inst summary and ER calculation'!V40-'Monitoring Report Tables'!C80)+'Inst summary and ER calculation'!Y40*(DATE(2021,12,31)-'Inst summary and ER calculation'!$AC$4+1)/('Inst summary and ER calculation'!$AC$5-'Inst summary and ER calculation'!$AC$4+1),0)</f>
        <v>7784</v>
      </c>
      <c r="E80" s="169">
        <f>ROUNDDOWN(('Inst summary and ER calculation'!V40+'Inst summary and ER calculation'!Y40)-('Monitoring Report Tables'!C80+'Monitoring Report Tables'!D80),0)</f>
        <v>1234</v>
      </c>
      <c r="F80" s="172">
        <f t="shared" si="0"/>
        <v>16221</v>
      </c>
      <c r="H80"/>
      <c r="I80"/>
      <c r="J80"/>
    </row>
    <row r="81" spans="1:10" ht="14.25" customHeight="1">
      <c r="A81" s="40"/>
      <c r="B81" s="41">
        <f>SUM(B70:B80)</f>
        <v>0</v>
      </c>
      <c r="C81" s="178">
        <f>SUM(C45:C80)</f>
        <v>132310</v>
      </c>
      <c r="D81" s="178">
        <f>SUM(D45:D80)</f>
        <v>112993</v>
      </c>
      <c r="E81" s="178">
        <f>SUM(E45:E80)</f>
        <v>16882</v>
      </c>
      <c r="F81" s="179">
        <f>SUM(F45:F80)</f>
        <v>262185</v>
      </c>
      <c r="H81"/>
      <c r="I81"/>
      <c r="J81"/>
    </row>
    <row r="82" spans="1:10" ht="14.25" customHeight="1">
      <c r="A82" s="44"/>
      <c r="B82" s="45"/>
      <c r="C82" s="45"/>
      <c r="D82" s="45"/>
      <c r="E82" s="45"/>
      <c r="F82" s="45"/>
    </row>
    <row r="83" spans="1:10" ht="14.25" customHeight="1">
      <c r="A83" s="34"/>
      <c r="B83" s="36"/>
      <c r="C83" s="36"/>
      <c r="D83" s="36"/>
      <c r="E83" s="36"/>
      <c r="F83" s="36"/>
    </row>
    <row r="84" spans="1:10" ht="62.25" customHeight="1">
      <c r="A84" s="369" t="s">
        <v>809</v>
      </c>
      <c r="B84" s="369" t="s">
        <v>817</v>
      </c>
      <c r="C84" s="369"/>
      <c r="D84" s="369"/>
      <c r="E84" s="369" t="s">
        <v>818</v>
      </c>
      <c r="F84" s="46" t="s">
        <v>815</v>
      </c>
      <c r="H84" s="47"/>
    </row>
    <row r="85" spans="1:10" ht="35.25" customHeight="1">
      <c r="A85" s="369"/>
      <c r="B85" s="42">
        <v>2020</v>
      </c>
      <c r="C85" s="42">
        <v>2021</v>
      </c>
      <c r="D85" s="42">
        <v>2022</v>
      </c>
      <c r="E85" s="369"/>
      <c r="F85" s="46" t="s">
        <v>816</v>
      </c>
      <c r="H85" s="47"/>
    </row>
    <row r="86" spans="1:10" ht="15" customHeight="1">
      <c r="A86" s="38" t="s">
        <v>143</v>
      </c>
      <c r="B86" s="94">
        <v>9063</v>
      </c>
      <c r="C86" s="94">
        <v>8977</v>
      </c>
      <c r="D86" s="94">
        <v>8891</v>
      </c>
      <c r="E86" s="39">
        <f>(B86*(DATE(2020,12,31)-'Inst summary and ER calculation'!$AB$4+1)/366)+'Monitoring Report Tables'!C86+('Monitoring Report Tables'!D86*('Inst summary and ER calculation'!$AC$5-DATE(2022,1,1)+1)/365)</f>
        <v>17991.437637547722</v>
      </c>
      <c r="F86" s="48">
        <f>F45</f>
        <v>9345</v>
      </c>
      <c r="H86" s="47"/>
    </row>
    <row r="87" spans="1:10" ht="15" customHeight="1">
      <c r="A87" s="38" t="s">
        <v>145</v>
      </c>
      <c r="B87" s="94">
        <v>9063</v>
      </c>
      <c r="C87" s="94">
        <v>8977</v>
      </c>
      <c r="D87" s="94">
        <v>8891</v>
      </c>
      <c r="E87" s="39">
        <f>(B87*(DATE(2020,12,31)-'Inst summary and ER calculation'!$AB$4+1)/366)+'Monitoring Report Tables'!C87+('Monitoring Report Tables'!D87*('Inst summary and ER calculation'!$AC$5-DATE(2022,1,1)+1)/365)</f>
        <v>17991.437637547722</v>
      </c>
      <c r="F87" s="48">
        <f t="shared" ref="F87:F121" si="1">F46</f>
        <v>9183</v>
      </c>
      <c r="H87" s="47"/>
    </row>
    <row r="88" spans="1:10" ht="15" customHeight="1">
      <c r="A88" s="38" t="s">
        <v>144</v>
      </c>
      <c r="B88" s="94">
        <v>0</v>
      </c>
      <c r="C88" s="94">
        <v>0</v>
      </c>
      <c r="D88" s="94">
        <v>0</v>
      </c>
      <c r="E88" s="39">
        <f>(B88*(DATE(2020,12,31)-'Inst summary and ER calculation'!$AB$4+1)/366)+'Monitoring Report Tables'!C88+('Monitoring Report Tables'!D88*('Inst summary and ER calculation'!$AC$5-DATE(2022,1,1)+1)/365)</f>
        <v>0</v>
      </c>
      <c r="F88" s="48">
        <f t="shared" si="1"/>
        <v>0</v>
      </c>
      <c r="H88" s="47"/>
    </row>
    <row r="89" spans="1:10" ht="15" customHeight="1">
      <c r="A89" s="38" t="s">
        <v>146</v>
      </c>
      <c r="B89" s="94">
        <v>9063</v>
      </c>
      <c r="C89" s="94">
        <v>8977</v>
      </c>
      <c r="D89" s="94">
        <v>8891</v>
      </c>
      <c r="E89" s="39">
        <f>(B89*(DATE(2020,12,31)-'Inst summary and ER calculation'!$AB$4+1)/366)+'Monitoring Report Tables'!C89+('Monitoring Report Tables'!D89*('Inst summary and ER calculation'!$AC$5-DATE(2022,1,1)+1)/365)</f>
        <v>17991.437637547722</v>
      </c>
      <c r="F89" s="48">
        <f t="shared" si="1"/>
        <v>11575</v>
      </c>
      <c r="H89" s="47"/>
    </row>
    <row r="90" spans="1:10" ht="15" customHeight="1">
      <c r="A90" s="38" t="s">
        <v>147</v>
      </c>
      <c r="B90" s="94">
        <v>9063</v>
      </c>
      <c r="C90" s="94">
        <v>8977</v>
      </c>
      <c r="D90" s="94">
        <v>8891</v>
      </c>
      <c r="E90" s="39">
        <f>(B90*(DATE(2020,12,31)-'Inst summary and ER calculation'!$AB$4+1)/366)+'Monitoring Report Tables'!C90+('Monitoring Report Tables'!D90*('Inst summary and ER calculation'!$AC$5-DATE(2022,1,1)+1)/365)</f>
        <v>17991.437637547722</v>
      </c>
      <c r="F90" s="48">
        <f t="shared" si="1"/>
        <v>10806</v>
      </c>
      <c r="H90" s="47"/>
    </row>
    <row r="91" spans="1:10" ht="15" customHeight="1">
      <c r="A91" s="38" t="s">
        <v>148</v>
      </c>
      <c r="B91" s="94">
        <v>9063</v>
      </c>
      <c r="C91" s="94">
        <v>8977</v>
      </c>
      <c r="D91" s="94">
        <v>8891</v>
      </c>
      <c r="E91" s="39">
        <f>(B91*(DATE(2020,12,31)-'Inst summary and ER calculation'!$AB$4+1)/366)+'Monitoring Report Tables'!C91+('Monitoring Report Tables'!D91*('Inst summary and ER calculation'!$AC$5-DATE(2022,1,1)+1)/365)</f>
        <v>17991.437637547722</v>
      </c>
      <c r="F91" s="48">
        <f t="shared" si="1"/>
        <v>11562</v>
      </c>
      <c r="H91" s="47"/>
    </row>
    <row r="92" spans="1:10" ht="15" customHeight="1">
      <c r="A92" s="38" t="s">
        <v>149</v>
      </c>
      <c r="B92" s="95">
        <v>8520</v>
      </c>
      <c r="C92" s="95">
        <v>8237</v>
      </c>
      <c r="D92" s="95">
        <v>7983</v>
      </c>
      <c r="E92" s="39">
        <f>(B92*(DATE(2020,12,31)-'Inst summary and ER calculation'!$AB$4+1)/366)+'Monitoring Report Tables'!C92+('Monitoring Report Tables'!D92*('Inst summary and ER calculation'!$AC$5-DATE(2022,1,1)+1)/365)</f>
        <v>16650.68142825062</v>
      </c>
      <c r="F92" s="48">
        <f t="shared" si="1"/>
        <v>3801</v>
      </c>
      <c r="H92" s="47"/>
    </row>
    <row r="93" spans="1:10" ht="15" customHeight="1">
      <c r="A93" s="38" t="s">
        <v>150</v>
      </c>
      <c r="B93" s="95">
        <v>8532</v>
      </c>
      <c r="C93" s="95">
        <v>8249</v>
      </c>
      <c r="D93" s="95">
        <v>7994</v>
      </c>
      <c r="E93" s="39">
        <f>(B93*(DATE(2020,12,31)-'Inst summary and ER calculation'!$AB$4+1)/366)+'Monitoring Report Tables'!C93+('Monitoring Report Tables'!D93*('Inst summary and ER calculation'!$AC$5-DATE(2022,1,1)+1)/365)</f>
        <v>16674.492297327644</v>
      </c>
      <c r="F93" s="48">
        <f t="shared" si="1"/>
        <v>4916</v>
      </c>
      <c r="H93" s="47"/>
    </row>
    <row r="94" spans="1:10" ht="15" customHeight="1">
      <c r="A94" s="38" t="s">
        <v>151</v>
      </c>
      <c r="B94" s="95">
        <v>8539</v>
      </c>
      <c r="C94" s="95">
        <v>8256</v>
      </c>
      <c r="D94" s="95">
        <v>8001</v>
      </c>
      <c r="E94" s="39">
        <f>(B94*(DATE(2020,12,31)-'Inst summary and ER calculation'!$AB$4+1)/366)+'Monitoring Report Tables'!C94+('Monitoring Report Tables'!D94*('Inst summary and ER calculation'!$AC$5-DATE(2022,1,1)+1)/365)</f>
        <v>16688.476263193352</v>
      </c>
      <c r="F94" s="48">
        <f t="shared" si="1"/>
        <v>3392</v>
      </c>
      <c r="H94" s="47"/>
    </row>
    <row r="95" spans="1:10" ht="15" customHeight="1">
      <c r="A95" s="38" t="s">
        <v>48</v>
      </c>
      <c r="B95" s="95">
        <v>8555</v>
      </c>
      <c r="C95" s="95">
        <v>8272</v>
      </c>
      <c r="D95" s="95">
        <v>8016</v>
      </c>
      <c r="E95" s="39">
        <f>(B95*(DATE(2020,12,31)-'Inst summary and ER calculation'!$AB$4+1)/366)+'Monitoring Report Tables'!C95+('Monitoring Report Tables'!D95*('Inst summary and ER calculation'!$AC$5-DATE(2022,1,1)+1)/365)</f>
        <v>16720.277969907926</v>
      </c>
      <c r="F95" s="48">
        <f t="shared" si="1"/>
        <v>4065</v>
      </c>
      <c r="H95" s="47"/>
    </row>
    <row r="96" spans="1:10" ht="15" customHeight="1">
      <c r="A96" s="38" t="s">
        <v>49</v>
      </c>
      <c r="B96" s="95">
        <v>8561</v>
      </c>
      <c r="C96" s="95">
        <v>8278</v>
      </c>
      <c r="D96" s="95">
        <v>8023</v>
      </c>
      <c r="E96" s="39">
        <f>(B96*(DATE(2020,12,31)-'Inst summary and ER calculation'!$AB$4+1)/366)+'Monitoring Report Tables'!C96+('Monitoring Report Tables'!D96*('Inst summary and ER calculation'!$AC$5-DATE(2022,1,1)+1)/365)</f>
        <v>16732.425870199862</v>
      </c>
      <c r="F96" s="48">
        <f t="shared" si="1"/>
        <v>2832</v>
      </c>
      <c r="H96" s="47"/>
    </row>
    <row r="97" spans="1:8" ht="15" customHeight="1">
      <c r="A97" s="38" t="s">
        <v>50</v>
      </c>
      <c r="B97" s="95">
        <v>8571</v>
      </c>
      <c r="C97" s="95">
        <v>8287</v>
      </c>
      <c r="D97" s="95">
        <v>8032</v>
      </c>
      <c r="E97" s="39">
        <f>(B97*(DATE(2020,12,31)-'Inst summary and ER calculation'!$AB$4+1)/366)+'Monitoring Report Tables'!C97+('Monitoring Report Tables'!D97*('Inst summary and ER calculation'!$AC$5-DATE(2022,1,1)+1)/365)</f>
        <v>16751.241320458117</v>
      </c>
      <c r="F97" s="48">
        <f t="shared" si="1"/>
        <v>5552</v>
      </c>
      <c r="H97" s="47"/>
    </row>
    <row r="98" spans="1:8" ht="15" customHeight="1">
      <c r="A98" s="38" t="s">
        <v>51</v>
      </c>
      <c r="B98" s="95">
        <v>8580</v>
      </c>
      <c r="C98" s="95">
        <v>8296</v>
      </c>
      <c r="D98" s="95">
        <v>8041</v>
      </c>
      <c r="E98" s="39">
        <f>(B98*(DATE(2020,12,31)-'Inst summary and ER calculation'!$AB$4+1)/366)+'Monitoring Report Tables'!C98+('Monitoring Report Tables'!D98*('Inst summary and ER calculation'!$AC$5-DATE(2022,1,1)+1)/365)</f>
        <v>16769.220705142601</v>
      </c>
      <c r="F98" s="48">
        <f t="shared" si="1"/>
        <v>4682</v>
      </c>
      <c r="H98" s="47"/>
    </row>
    <row r="99" spans="1:8" ht="15" customHeight="1">
      <c r="A99" s="38" t="s">
        <v>52</v>
      </c>
      <c r="B99" s="95">
        <v>8590.2689450422204</v>
      </c>
      <c r="C99" s="95">
        <v>8306</v>
      </c>
      <c r="D99" s="95">
        <v>8051</v>
      </c>
      <c r="E99" s="39">
        <f>(B99*(DATE(2020,12,31)-'Inst summary and ER calculation'!$AB$4+1)/366)+'Monitoring Report Tables'!C99+('Monitoring Report Tables'!D99*('Inst summary and ER calculation'!$AC$5-DATE(2022,1,1)+1)/365)</f>
        <v>16789.422654927508</v>
      </c>
      <c r="F99" s="48">
        <f t="shared" si="1"/>
        <v>8002</v>
      </c>
      <c r="H99" s="47"/>
    </row>
    <row r="100" spans="1:8" ht="15" customHeight="1">
      <c r="A100" s="38" t="s">
        <v>53</v>
      </c>
      <c r="B100" s="95">
        <v>8596</v>
      </c>
      <c r="C100" s="95">
        <v>8312</v>
      </c>
      <c r="D100" s="95">
        <v>8056</v>
      </c>
      <c r="E100" s="39">
        <f>(B100*(DATE(2020,12,31)-'Inst summary and ER calculation'!$AB$4+1)/366)+'Monitoring Report Tables'!C100+('Monitoring Report Tables'!D100*('Inst summary and ER calculation'!$AC$5-DATE(2022,1,1)+1)/365)</f>
        <v>16801.022411857175</v>
      </c>
      <c r="F100" s="48">
        <f t="shared" si="1"/>
        <v>5021</v>
      </c>
      <c r="H100" s="47"/>
    </row>
    <row r="101" spans="1:8" ht="15" customHeight="1">
      <c r="A101" s="38" t="s">
        <v>54</v>
      </c>
      <c r="B101" s="95">
        <v>8602</v>
      </c>
      <c r="C101" s="95">
        <v>8318</v>
      </c>
      <c r="D101" s="95">
        <v>8602</v>
      </c>
      <c r="E101" s="39">
        <f>(B101*(DATE(2020,12,31)-'Inst summary and ER calculation'!$AB$4+1)/366)+'Monitoring Report Tables'!C101+('Monitoring Report Tables'!D101*('Inst summary and ER calculation'!$AC$5-DATE(2022,1,1)+1)/365)</f>
        <v>16900.296339546374</v>
      </c>
      <c r="F101" s="48">
        <f t="shared" si="1"/>
        <v>4034</v>
      </c>
      <c r="H101" s="47"/>
    </row>
    <row r="102" spans="1:8" ht="15" customHeight="1">
      <c r="A102" s="38" t="s">
        <v>55</v>
      </c>
      <c r="B102" s="95">
        <v>8612</v>
      </c>
      <c r="C102" s="95">
        <v>8328</v>
      </c>
      <c r="D102" s="95">
        <v>8078</v>
      </c>
      <c r="E102" s="39">
        <f>(B102*(DATE(2020,12,31)-'Inst summary and ER calculation'!$AB$4+1)/366)+'Monitoring Report Tables'!C102+('Monitoring Report Tables'!D102*('Inst summary and ER calculation'!$AC$5-DATE(2022,1,1)+1)/365)</f>
        <v>16833.955625421066</v>
      </c>
      <c r="F102" s="48">
        <f t="shared" si="1"/>
        <v>6270</v>
      </c>
      <c r="H102" s="47"/>
    </row>
    <row r="103" spans="1:8" ht="15" customHeight="1">
      <c r="A103" s="38" t="s">
        <v>56</v>
      </c>
      <c r="B103" s="95">
        <v>8615</v>
      </c>
      <c r="C103" s="95">
        <v>8331</v>
      </c>
      <c r="D103" s="95">
        <v>8075</v>
      </c>
      <c r="E103" s="39">
        <f>(B103*(DATE(2020,12,31)-'Inst summary and ER calculation'!$AB$4+1)/366)+'Monitoring Report Tables'!C103+('Monitoring Report Tables'!D103*('Inst summary and ER calculation'!$AC$5-DATE(2022,1,1)+1)/365)</f>
        <v>16838.978890635528</v>
      </c>
      <c r="F103" s="48">
        <f t="shared" si="1"/>
        <v>3812</v>
      </c>
      <c r="H103" s="47"/>
    </row>
    <row r="104" spans="1:8" ht="15" customHeight="1">
      <c r="A104" s="38" t="s">
        <v>57</v>
      </c>
      <c r="B104" s="95">
        <v>8621</v>
      </c>
      <c r="C104" s="95">
        <v>8337</v>
      </c>
      <c r="D104" s="95">
        <v>8081</v>
      </c>
      <c r="E104" s="39">
        <f>(B104*(DATE(2020,12,31)-'Inst summary and ER calculation'!$AB$4+1)/366)+'Monitoring Report Tables'!C104+('Monitoring Report Tables'!D104*('Inst summary and ER calculation'!$AC$5-DATE(2022,1,1)+1)/365)</f>
        <v>16850.965147091847</v>
      </c>
      <c r="F104" s="48">
        <f t="shared" si="1"/>
        <v>5872</v>
      </c>
      <c r="H104" s="47"/>
    </row>
    <row r="105" spans="1:8" ht="15" customHeight="1">
      <c r="A105" s="38" t="s">
        <v>58</v>
      </c>
      <c r="B105" s="95">
        <v>8625</v>
      </c>
      <c r="C105" s="95">
        <v>8340</v>
      </c>
      <c r="D105" s="95">
        <v>8084</v>
      </c>
      <c r="E105" s="39">
        <f>(B105*(DATE(2020,12,31)-'Inst summary and ER calculation'!$AB$4+1)/366)+'Monitoring Report Tables'!C105+('Monitoring Report Tables'!D105*('Inst summary and ER calculation'!$AC$5-DATE(2022,1,1)+1)/365)</f>
        <v>16857.794340893779</v>
      </c>
      <c r="F105" s="48">
        <f t="shared" si="1"/>
        <v>5195</v>
      </c>
      <c r="H105" s="47"/>
    </row>
    <row r="106" spans="1:8" ht="15" customHeight="1">
      <c r="A106" s="38" t="s">
        <v>59</v>
      </c>
      <c r="B106" s="95">
        <v>8634</v>
      </c>
      <c r="C106" s="95">
        <v>8349</v>
      </c>
      <c r="D106" s="95">
        <v>8093</v>
      </c>
      <c r="E106" s="39">
        <f>(B106*(DATE(2020,12,31)-'Inst summary and ER calculation'!$AB$4+1)/366)+'Monitoring Report Tables'!C106+('Monitoring Report Tables'!D106*('Inst summary and ER calculation'!$AC$5-DATE(2022,1,1)+1)/365)</f>
        <v>16875.773725578263</v>
      </c>
      <c r="F106" s="48">
        <f t="shared" si="1"/>
        <v>10579</v>
      </c>
      <c r="H106" s="47"/>
    </row>
    <row r="107" spans="1:8" ht="15" customHeight="1">
      <c r="A107" s="38" t="s">
        <v>60</v>
      </c>
      <c r="B107" s="95">
        <v>8640</v>
      </c>
      <c r="C107" s="95">
        <v>8355</v>
      </c>
      <c r="D107" s="95">
        <v>8099</v>
      </c>
      <c r="E107" s="39">
        <f>(B107*(DATE(2020,12,31)-'Inst summary and ER calculation'!$AB$4+1)/366)+'Monitoring Report Tables'!C107+('Monitoring Report Tables'!D107*('Inst summary and ER calculation'!$AC$5-DATE(2022,1,1)+1)/365)</f>
        <v>16887.759982034586</v>
      </c>
      <c r="F107" s="48">
        <f>F66</f>
        <v>7468</v>
      </c>
      <c r="H107" s="47"/>
    </row>
    <row r="108" spans="1:8" ht="15" customHeight="1">
      <c r="A108" s="38" t="s">
        <v>61</v>
      </c>
      <c r="B108" s="95">
        <v>8648</v>
      </c>
      <c r="C108" s="95">
        <v>8363</v>
      </c>
      <c r="D108" s="95">
        <v>8106</v>
      </c>
      <c r="E108" s="39">
        <f>(B108*(DATE(2020,12,31)-'Inst summary and ER calculation'!$AB$4+1)/366)+'Monitoring Report Tables'!C108+('Monitoring Report Tables'!D108*('Inst summary and ER calculation'!$AC$5-DATE(2022,1,1)+1)/365)</f>
        <v>16903.580013474064</v>
      </c>
      <c r="F108" s="48">
        <f t="shared" si="1"/>
        <v>8274</v>
      </c>
      <c r="H108" s="47"/>
    </row>
    <row r="109" spans="1:8" ht="15" customHeight="1">
      <c r="A109" s="38" t="s">
        <v>62</v>
      </c>
      <c r="B109" s="95">
        <v>8662</v>
      </c>
      <c r="C109" s="95">
        <v>8376</v>
      </c>
      <c r="D109" s="95">
        <v>8120</v>
      </c>
      <c r="E109" s="39">
        <f>(B109*(DATE(2020,12,31)-'Inst summary and ER calculation'!$AB$4+1)/366)+'Monitoring Report Tables'!C109+('Monitoring Report Tables'!D109*('Inst summary and ER calculation'!$AC$5-DATE(2022,1,1)+1)/365)</f>
        <v>16930.547945205479</v>
      </c>
      <c r="F109" s="48">
        <f t="shared" si="1"/>
        <v>6957</v>
      </c>
      <c r="H109" s="47"/>
    </row>
    <row r="110" spans="1:8" ht="15" customHeight="1">
      <c r="A110" s="38" t="s">
        <v>63</v>
      </c>
      <c r="B110" s="95">
        <v>8663</v>
      </c>
      <c r="C110" s="95">
        <v>8378</v>
      </c>
      <c r="D110" s="95">
        <v>8121</v>
      </c>
      <c r="E110" s="39">
        <f>(B110*(DATE(2020,12,31)-'Inst summary and ER calculation'!$AB$4+1)/366)+'Monitoring Report Tables'!C110+('Monitoring Report Tables'!D110*('Inst summary and ER calculation'!$AC$5-DATE(2022,1,1)+1)/365)</f>
        <v>16933.545654614867</v>
      </c>
      <c r="F110" s="48">
        <f t="shared" si="1"/>
        <v>902</v>
      </c>
      <c r="H110" s="47"/>
    </row>
    <row r="111" spans="1:8" ht="15" customHeight="1">
      <c r="A111" s="38" t="s">
        <v>64</v>
      </c>
      <c r="B111" s="95">
        <v>8673</v>
      </c>
      <c r="C111" s="95">
        <v>8387</v>
      </c>
      <c r="D111" s="95">
        <v>8130</v>
      </c>
      <c r="E111" s="39">
        <f>(B111*(DATE(2020,12,31)-'Inst summary and ER calculation'!$AB$4+1)/366)+'Monitoring Report Tables'!C111+('Monitoring Report Tables'!D111*('Inst summary and ER calculation'!$AC$5-DATE(2022,1,1)+1)/365)</f>
        <v>16952.361104873122</v>
      </c>
      <c r="F111" s="48">
        <f t="shared" si="1"/>
        <v>9796</v>
      </c>
      <c r="H111" s="47"/>
    </row>
    <row r="112" spans="1:8" ht="15" customHeight="1">
      <c r="A112" s="38" t="s">
        <v>65</v>
      </c>
      <c r="B112" s="95">
        <v>8680</v>
      </c>
      <c r="C112" s="95">
        <v>8394</v>
      </c>
      <c r="D112" s="95">
        <v>8137</v>
      </c>
      <c r="E112" s="39">
        <f>(B112*(DATE(2020,12,31)-'Inst summary and ER calculation'!$AB$4+1)/366)+'Monitoring Report Tables'!C112+('Monitoring Report Tables'!D112*('Inst summary and ER calculation'!$AC$5-DATE(2022,1,1)+1)/365)</f>
        <v>16966.345070738829</v>
      </c>
      <c r="F112" s="48">
        <f t="shared" si="1"/>
        <v>2888</v>
      </c>
      <c r="H112" s="47"/>
    </row>
    <row r="113" spans="1:8" ht="15" customHeight="1">
      <c r="A113" s="38" t="s">
        <v>66</v>
      </c>
      <c r="B113" s="95">
        <v>8681</v>
      </c>
      <c r="C113" s="95">
        <v>8395</v>
      </c>
      <c r="D113" s="95">
        <v>8138</v>
      </c>
      <c r="E113" s="39">
        <f>(B113*(DATE(2020,12,31)-'Inst summary and ER calculation'!$AB$4+1)/366)+'Monitoring Report Tables'!C113+('Monitoring Report Tables'!D113*('Inst summary and ER calculation'!$AC$5-DATE(2022,1,1)+1)/365)</f>
        <v>16968.342780148214</v>
      </c>
      <c r="F113" s="48">
        <f t="shared" si="1"/>
        <v>6978</v>
      </c>
      <c r="H113" s="47"/>
    </row>
    <row r="114" spans="1:8" ht="15" customHeight="1">
      <c r="A114" s="38" t="s">
        <v>67</v>
      </c>
      <c r="B114" s="95">
        <v>8697</v>
      </c>
      <c r="C114" s="95">
        <v>8410</v>
      </c>
      <c r="D114" s="95">
        <v>8153</v>
      </c>
      <c r="E114" s="39">
        <f>(B114*(DATE(2020,12,31)-'Inst summary and ER calculation'!$AB$4+1)/366)+'Monitoring Report Tables'!C114+('Monitoring Report Tables'!D114*('Inst summary and ER calculation'!$AC$5-DATE(2022,1,1)+1)/365)</f>
        <v>16999.144486862788</v>
      </c>
      <c r="F114" s="48">
        <f t="shared" si="1"/>
        <v>15544</v>
      </c>
      <c r="H114" s="47"/>
    </row>
    <row r="115" spans="1:8" ht="15" customHeight="1">
      <c r="A115" s="38" t="s">
        <v>68</v>
      </c>
      <c r="B115" s="95">
        <v>8706</v>
      </c>
      <c r="C115" s="95">
        <v>8420</v>
      </c>
      <c r="D115" s="95">
        <v>8162</v>
      </c>
      <c r="E115" s="39">
        <f>(B115*(DATE(2020,12,31)-'Inst summary and ER calculation'!$AB$4+1)/366)+'Monitoring Report Tables'!C115+('Monitoring Report Tables'!D115*('Inst summary and ER calculation'!$AC$5-DATE(2022,1,1)+1)/365)</f>
        <v>17018.123871547272</v>
      </c>
      <c r="F115" s="48">
        <f t="shared" si="1"/>
        <v>9168</v>
      </c>
      <c r="H115" s="47"/>
    </row>
    <row r="116" spans="1:8" ht="15" customHeight="1">
      <c r="A116" s="38" t="s">
        <v>69</v>
      </c>
      <c r="B116" s="95">
        <v>8712</v>
      </c>
      <c r="C116" s="95">
        <v>8426</v>
      </c>
      <c r="D116" s="95">
        <v>8168</v>
      </c>
      <c r="E116" s="39">
        <f>(B116*(DATE(2020,12,31)-'Inst summary and ER calculation'!$AB$4+1)/366)+'Monitoring Report Tables'!C116+('Monitoring Report Tables'!D116*('Inst summary and ER calculation'!$AC$5-DATE(2022,1,1)+1)/365)</f>
        <v>17030.110128003591</v>
      </c>
      <c r="F116" s="48">
        <f t="shared" si="1"/>
        <v>11347</v>
      </c>
      <c r="H116" s="47"/>
    </row>
    <row r="117" spans="1:8" ht="15" customHeight="1">
      <c r="A117" s="38" t="s">
        <v>70</v>
      </c>
      <c r="B117" s="95">
        <v>8722</v>
      </c>
      <c r="C117" s="95">
        <v>8436</v>
      </c>
      <c r="D117" s="95">
        <v>8178</v>
      </c>
      <c r="E117" s="39">
        <f>(B117*(DATE(2020,12,31)-'Inst summary and ER calculation'!$AB$4+1)/366)+'Monitoring Report Tables'!C117+('Monitoring Report Tables'!D117*('Inst summary and ER calculation'!$AC$5-DATE(2022,1,1)+1)/365)</f>
        <v>17050.087222097463</v>
      </c>
      <c r="F117" s="48">
        <f t="shared" si="1"/>
        <v>15903</v>
      </c>
      <c r="H117" s="47"/>
    </row>
    <row r="118" spans="1:8" ht="15" customHeight="1">
      <c r="A118" s="38" t="s">
        <v>71</v>
      </c>
      <c r="B118" s="95">
        <v>8735</v>
      </c>
      <c r="C118" s="95">
        <v>8448</v>
      </c>
      <c r="D118" s="95">
        <v>8189</v>
      </c>
      <c r="E118" s="39">
        <f>(B118*(DATE(2020,12,31)-'Inst summary and ER calculation'!$AB$4+1)/366)+'Monitoring Report Tables'!C118+('Monitoring Report Tables'!D118*('Inst summary and ER calculation'!$AC$5-DATE(2022,1,1)+1)/365)</f>
        <v>17074.734156748258</v>
      </c>
      <c r="F118" s="48">
        <f t="shared" si="1"/>
        <v>3566</v>
      </c>
      <c r="H118" s="47"/>
    </row>
    <row r="119" spans="1:8" ht="15" customHeight="1">
      <c r="A119" s="38" t="s">
        <v>72</v>
      </c>
      <c r="B119" s="95">
        <v>8735</v>
      </c>
      <c r="C119" s="95">
        <v>8448</v>
      </c>
      <c r="D119" s="95">
        <v>8190</v>
      </c>
      <c r="E119" s="39">
        <f>(B119*(DATE(2020,12,31)-'Inst summary and ER calculation'!$AB$4+1)/366)+'Monitoring Report Tables'!C119+('Monitoring Report Tables'!D119*('Inst summary and ER calculation'!$AC$5-DATE(2022,1,1)+1)/365)</f>
        <v>17074.895800583876</v>
      </c>
      <c r="F119" s="48">
        <f t="shared" si="1"/>
        <v>504</v>
      </c>
      <c r="H119" s="47"/>
    </row>
    <row r="120" spans="1:8" ht="15" customHeight="1">
      <c r="A120" s="38" t="s">
        <v>73</v>
      </c>
      <c r="B120" s="95">
        <v>8746</v>
      </c>
      <c r="C120" s="95">
        <v>8459</v>
      </c>
      <c r="D120" s="95">
        <v>8200</v>
      </c>
      <c r="E120" s="39">
        <f>(B120*(DATE(2020,12,31)-'Inst summary and ER calculation'!$AB$4+1)/366)+'Monitoring Report Tables'!C120+('Monitoring Report Tables'!D120*('Inst summary and ER calculation'!$AC$5-DATE(2022,1,1)+1)/365)</f>
        <v>17096.708960251515</v>
      </c>
      <c r="F120" s="48">
        <f t="shared" si="1"/>
        <v>16173</v>
      </c>
      <c r="H120" s="47"/>
    </row>
    <row r="121" spans="1:8" ht="15" customHeight="1">
      <c r="A121" s="38" t="s">
        <v>74</v>
      </c>
      <c r="B121" s="95">
        <v>8756</v>
      </c>
      <c r="C121" s="95">
        <v>8469</v>
      </c>
      <c r="D121" s="95">
        <v>8211</v>
      </c>
      <c r="E121" s="39">
        <f>(B121*(DATE(2020,12,31)-'Inst summary and ER calculation'!$AB$4+1)/366)+'Monitoring Report Tables'!C121+('Monitoring Report Tables'!D121*('Inst summary and ER calculation'!$AC$5-DATE(2022,1,1)+1)/365)</f>
        <v>17116.847698181002</v>
      </c>
      <c r="F121" s="48">
        <f t="shared" si="1"/>
        <v>16221</v>
      </c>
      <c r="H121" s="47"/>
    </row>
    <row r="122" spans="1:8" ht="14.25" customHeight="1">
      <c r="A122" s="40"/>
      <c r="B122" s="41">
        <f>SUM(B86:B121)</f>
        <v>304524.26894504222</v>
      </c>
      <c r="C122" s="41">
        <f t="shared" ref="C122" si="2">SUM(C86:C121)</f>
        <v>295545</v>
      </c>
      <c r="D122" s="41">
        <f>SUM(D86:D121)</f>
        <v>287967</v>
      </c>
      <c r="E122" s="41">
        <f>ROUNDDOWN(SUM(E86:E121),0)</f>
        <v>596695</v>
      </c>
      <c r="F122" s="41">
        <f>SUM(F86:F121)</f>
        <v>262185</v>
      </c>
      <c r="H122" s="47"/>
    </row>
    <row r="123" spans="1:8" ht="14.25" customHeight="1">
      <c r="A123" s="49"/>
      <c r="B123" s="47"/>
      <c r="C123" s="47"/>
      <c r="D123" s="47"/>
      <c r="E123" s="47"/>
      <c r="F123" s="47"/>
    </row>
    <row r="126" spans="1:8" ht="14.25" customHeight="1">
      <c r="B126"/>
    </row>
    <row r="127" spans="1:8" ht="14.25" customHeight="1">
      <c r="B127"/>
    </row>
    <row r="128" spans="1:8" ht="14.25" customHeight="1">
      <c r="B128"/>
    </row>
    <row r="129" spans="2:2" ht="14.25" customHeight="1">
      <c r="B129"/>
    </row>
    <row r="130" spans="2:2" ht="14.25" customHeight="1">
      <c r="B130"/>
    </row>
    <row r="131" spans="2:2" ht="14.25" customHeight="1">
      <c r="B131"/>
    </row>
    <row r="132" spans="2:2" ht="14.25" customHeight="1">
      <c r="B132"/>
    </row>
  </sheetData>
  <mergeCells count="9">
    <mergeCell ref="E84:E85"/>
    <mergeCell ref="B84:D84"/>
    <mergeCell ref="A84:A85"/>
    <mergeCell ref="C43:E43"/>
    <mergeCell ref="A41:A44"/>
    <mergeCell ref="B41:F41"/>
    <mergeCell ref="B42:F42"/>
    <mergeCell ref="B43:B44"/>
    <mergeCell ref="F43:F44"/>
  </mergeCells>
  <pageMargins left="0.7" right="0.7" top="0.75" bottom="0.75" header="0.3" footer="0.3"/>
  <pageSetup orientation="portrait" r:id="rId1"/>
  <cellWatches>
    <cellWatch r="B38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I55"/>
  <sheetViews>
    <sheetView zoomScaleNormal="100" workbookViewId="0"/>
  </sheetViews>
  <sheetFormatPr defaultColWidth="15.375" defaultRowHeight="12.75"/>
  <cols>
    <col min="1" max="1" width="24.125" style="125" customWidth="1"/>
    <col min="2" max="2" width="15.375" style="125"/>
    <col min="3" max="3" width="16.125" style="124" customWidth="1"/>
    <col min="4" max="7" width="13.375" style="124" customWidth="1"/>
    <col min="8" max="8" width="11.5" style="125" customWidth="1"/>
    <col min="9" max="10" width="15.375" style="125"/>
    <col min="11" max="11" width="19.125" style="125" customWidth="1"/>
    <col min="12" max="16384" width="15.375" style="125"/>
  </cols>
  <sheetData>
    <row r="1" spans="1:9" ht="25.5">
      <c r="A1" s="123" t="s">
        <v>6</v>
      </c>
      <c r="B1" s="19" t="s">
        <v>1541</v>
      </c>
      <c r="C1" s="92" t="s">
        <v>803</v>
      </c>
    </row>
    <row r="2" spans="1:9" ht="16.350000000000001" customHeight="1">
      <c r="A2" s="20" t="s">
        <v>804</v>
      </c>
      <c r="B2" s="2" t="s">
        <v>805</v>
      </c>
      <c r="C2" s="21" t="s">
        <v>805</v>
      </c>
    </row>
    <row r="3" spans="1:9" ht="16.350000000000001" customHeight="1">
      <c r="A3" s="20" t="s">
        <v>7</v>
      </c>
      <c r="B3" s="3" t="s">
        <v>3</v>
      </c>
      <c r="C3" s="22" t="s">
        <v>3</v>
      </c>
      <c r="E3" s="125"/>
    </row>
    <row r="4" spans="1:9" ht="16.350000000000001" customHeight="1">
      <c r="A4" s="20" t="s">
        <v>8</v>
      </c>
      <c r="B4" s="24">
        <f>IF(B3="PoA",0.95,IF(B2="annual",0.9,0.95))</f>
        <v>0.95</v>
      </c>
      <c r="C4" s="25">
        <f>IF(C3="PoA",0.95,IF(C2="annual",0.9,0.95))</f>
        <v>0.95</v>
      </c>
    </row>
    <row r="5" spans="1:9" ht="16.350000000000001" customHeight="1">
      <c r="A5" s="20" t="s">
        <v>9</v>
      </c>
      <c r="B5" s="26">
        <f>IF(B2="annual",0.1,0.05)</f>
        <v>0.1</v>
      </c>
      <c r="C5" s="27">
        <f>IF(C2="annual",0.1,0.05)</f>
        <v>0.1</v>
      </c>
    </row>
    <row r="6" spans="1:9" ht="16.350000000000001" customHeight="1" thickBot="1">
      <c r="A6" s="23" t="s">
        <v>10</v>
      </c>
      <c r="B6" s="28">
        <f>NORMSINV(1-(1-B4)/2)</f>
        <v>1.9599639845400536</v>
      </c>
      <c r="C6" s="93">
        <f>NORMSINV(1-(1-C4)/2)</f>
        <v>1.9599639845400536</v>
      </c>
    </row>
    <row r="7" spans="1:9" ht="13.5" thickBot="1">
      <c r="I7" s="125" t="s">
        <v>115</v>
      </c>
    </row>
    <row r="8" spans="1:9" ht="27" customHeight="1">
      <c r="A8" s="418" t="s">
        <v>1</v>
      </c>
      <c r="B8" s="419"/>
      <c r="C8" s="419"/>
      <c r="D8" s="419"/>
      <c r="E8" s="419"/>
      <c r="F8" s="419"/>
      <c r="G8" s="419"/>
      <c r="H8" s="419"/>
      <c r="I8" s="420"/>
    </row>
    <row r="9" spans="1:9" ht="38.25">
      <c r="A9" s="18" t="s">
        <v>101</v>
      </c>
      <c r="B9" s="8" t="s">
        <v>0</v>
      </c>
      <c r="C9" s="8" t="s">
        <v>2</v>
      </c>
      <c r="D9" s="9" t="s">
        <v>153</v>
      </c>
      <c r="E9" s="8" t="s">
        <v>163</v>
      </c>
      <c r="F9" s="8" t="s">
        <v>164</v>
      </c>
      <c r="G9" s="8" t="s">
        <v>87</v>
      </c>
      <c r="H9" s="416" t="s">
        <v>1539</v>
      </c>
      <c r="I9" s="417"/>
    </row>
    <row r="10" spans="1:9">
      <c r="A10" s="426" t="s">
        <v>802</v>
      </c>
      <c r="B10" s="126" t="s">
        <v>255</v>
      </c>
      <c r="C10" s="10">
        <f>'Inst summary and ER calculation'!T41</f>
        <v>59438</v>
      </c>
      <c r="D10" s="11">
        <v>0.875</v>
      </c>
      <c r="E10" s="311">
        <f>D10*(1-D10)</f>
        <v>0.109375</v>
      </c>
      <c r="F10" s="311">
        <f>E10/(D10^2)</f>
        <v>0.14285714285714285</v>
      </c>
      <c r="G10" s="127">
        <f>MAX(100,ROUNDUP((($B$6^2*C10*F10)/((C10-1)*$B$5^2+($B$6^2*F10))),0))</f>
        <v>100</v>
      </c>
      <c r="H10" s="421">
        <f>C33</f>
        <v>100</v>
      </c>
      <c r="I10" s="422"/>
    </row>
    <row r="11" spans="1:9">
      <c r="A11" s="426"/>
      <c r="B11" s="126" t="s">
        <v>274</v>
      </c>
      <c r="C11" s="10">
        <f>'Inst summary and ER calculation'!U41</f>
        <v>124444</v>
      </c>
      <c r="D11" s="11">
        <v>0.85</v>
      </c>
      <c r="E11" s="311">
        <f>D11*(1-D11)</f>
        <v>0.1275</v>
      </c>
      <c r="F11" s="311">
        <f>E11/(D11^2)</f>
        <v>0.17647058823529413</v>
      </c>
      <c r="G11" s="127">
        <f>MAX(100,ROUNDUP((($B$6^2*C11*F11)/((C11-1)*$B$5^2+($B$6^2*F11))),0))</f>
        <v>100</v>
      </c>
      <c r="H11" s="421">
        <f>D33</f>
        <v>101</v>
      </c>
      <c r="I11" s="422"/>
    </row>
    <row r="12" spans="1:9" s="129" customFormat="1" ht="15.75">
      <c r="A12" s="427" t="s">
        <v>4</v>
      </c>
      <c r="B12" s="423"/>
      <c r="C12" s="128">
        <f>SUM(C10:C11)</f>
        <v>183882</v>
      </c>
      <c r="D12" s="312">
        <f>SUMPRODUCT(C10:C11,D10:D11)/C12</f>
        <v>0.85808099759628453</v>
      </c>
      <c r="E12" s="128"/>
      <c r="F12" s="128"/>
      <c r="G12" s="128">
        <f>SUM(G10:G11)</f>
        <v>200</v>
      </c>
      <c r="H12" s="423">
        <f>H10+H11</f>
        <v>201</v>
      </c>
      <c r="I12" s="424"/>
    </row>
    <row r="13" spans="1:9" s="129" customFormat="1" ht="15.75">
      <c r="A13" s="380" t="s">
        <v>102</v>
      </c>
      <c r="B13" s="130" t="s">
        <v>274</v>
      </c>
      <c r="C13" s="131">
        <f>'Inst summary and ER calculation'!W41</f>
        <v>59438</v>
      </c>
      <c r="D13" s="132">
        <f>D10-0.025</f>
        <v>0.85</v>
      </c>
      <c r="E13" s="311">
        <f>D13*(1-D13)</f>
        <v>0.1275</v>
      </c>
      <c r="F13" s="311">
        <f>E13/(D13^2)</f>
        <v>0.17647058823529413</v>
      </c>
      <c r="G13" s="4">
        <f>MAX(100,ROUNDUP((($C$6^2*C13*F13)/((C13-1)*$C$5^2+($C$6^2*F13))),0))</f>
        <v>100</v>
      </c>
      <c r="H13" s="412">
        <f>E33</f>
        <v>100</v>
      </c>
      <c r="I13" s="413"/>
    </row>
    <row r="14" spans="1:9" s="129" customFormat="1" ht="15.75">
      <c r="A14" s="380"/>
      <c r="B14" s="130" t="s">
        <v>952</v>
      </c>
      <c r="C14" s="131">
        <f>'Inst summary and ER calculation'!X41</f>
        <v>124444</v>
      </c>
      <c r="D14" s="132">
        <f>D11-0.025</f>
        <v>0.82499999999999996</v>
      </c>
      <c r="E14" s="311">
        <f>D14*(1-D14)</f>
        <v>0.14437500000000003</v>
      </c>
      <c r="F14" s="311">
        <f>E14/(D14^2)</f>
        <v>0.21212121212121218</v>
      </c>
      <c r="G14" s="4">
        <f>MAX(100,ROUNDUP((($C$6^2*C14*F14)/((C14-1)*$C$5^2+($C$6^2*F14))),0))</f>
        <v>100</v>
      </c>
      <c r="H14" s="412">
        <f>F33</f>
        <v>100</v>
      </c>
      <c r="I14" s="413"/>
    </row>
    <row r="15" spans="1:9" s="129" customFormat="1" ht="16.5" thickBot="1">
      <c r="A15" s="425" t="s">
        <v>4</v>
      </c>
      <c r="B15" s="414"/>
      <c r="C15" s="133">
        <f>SUM(C13:C14)</f>
        <v>183882</v>
      </c>
      <c r="D15" s="134">
        <f>SUMPRODUCT(C13:C14,D13:D14)/C15</f>
        <v>0.8330809975962844</v>
      </c>
      <c r="E15" s="135"/>
      <c r="F15" s="135"/>
      <c r="G15" s="135">
        <f>SUM(G13:G14)</f>
        <v>200</v>
      </c>
      <c r="H15" s="414">
        <f>H13+H14</f>
        <v>200</v>
      </c>
      <c r="I15" s="415"/>
    </row>
    <row r="16" spans="1:9" ht="13.5" thickBot="1">
      <c r="A16" s="136"/>
      <c r="B16" s="136"/>
      <c r="C16" s="136"/>
      <c r="D16" s="137"/>
      <c r="E16" s="137"/>
      <c r="F16" s="137"/>
      <c r="G16" s="137"/>
    </row>
    <row r="17" spans="1:9">
      <c r="A17" s="378" t="s">
        <v>85</v>
      </c>
      <c r="B17" s="375" t="s">
        <v>17</v>
      </c>
      <c r="C17" s="375"/>
      <c r="D17" s="375"/>
      <c r="E17" s="375" t="s">
        <v>21</v>
      </c>
      <c r="F17" s="377" t="s">
        <v>802</v>
      </c>
      <c r="G17" s="377"/>
      <c r="H17" s="373" t="s">
        <v>102</v>
      </c>
      <c r="I17" s="374"/>
    </row>
    <row r="18" spans="1:9">
      <c r="A18" s="379"/>
      <c r="B18" s="376"/>
      <c r="C18" s="376"/>
      <c r="D18" s="376"/>
      <c r="E18" s="376"/>
      <c r="F18" s="128" t="s">
        <v>255</v>
      </c>
      <c r="G18" s="128" t="s">
        <v>274</v>
      </c>
      <c r="H18" s="138" t="s">
        <v>274</v>
      </c>
      <c r="I18" s="139" t="s">
        <v>952</v>
      </c>
    </row>
    <row r="19" spans="1:9" ht="38.25" customHeight="1">
      <c r="A19" s="15" t="s">
        <v>154</v>
      </c>
      <c r="B19" s="457" t="s">
        <v>45</v>
      </c>
      <c r="C19" s="457"/>
      <c r="D19" s="457"/>
      <c r="E19" s="4" t="s">
        <v>19</v>
      </c>
      <c r="F19" s="5">
        <f>COUNTIFS('Monitoring Summary MS1'!$K$3:$K$203,$F$18,'Monitoring Summary MS1'!$M$3:$M$203,"yes",'Monitoring Summary MS1'!$P$3:$P$203,"yes")/COUNTIF('Monitoring Summary MS1'!$K$3:$K$203,$F$18)</f>
        <v>0.93</v>
      </c>
      <c r="G19" s="5">
        <f>COUNTIFS('Monitoring Summary MS1'!$K$3:$K$203,$G$18,'Monitoring Summary MS1'!$M$3:$M$203,"yes",'Monitoring Summary MS1'!$P$3:$P$203,"yes")/COUNTIF('Monitoring Summary MS1'!$K$3:$K$203,$G$18)</f>
        <v>0.83168316831683164</v>
      </c>
      <c r="H19" s="5">
        <f>COUNTIFS('Monitoring Summary MS2'!$K$3:$K$202,$H$18,'Monitoring Summary MS2'!$M$3:$M$202,"yes",'Monitoring Summary MS2'!$P$3:$P$202,"yes")/COUNTIF('Monitoring Summary MS2'!$K$3:$K$202,$H$18)</f>
        <v>0.82</v>
      </c>
      <c r="I19" s="170">
        <f>COUNTIFS('Monitoring Summary MS2'!$K$3:$K$202,$I$18,'Monitoring Summary MS2'!$M$3:$M$202,"yes",'Monitoring Summary MS2'!$P$3:$P$202,"yes")/COUNTIF('Monitoring Summary MS2'!$K$3:$K$202,$I$18)</f>
        <v>0.74</v>
      </c>
    </row>
    <row r="20" spans="1:9" ht="37.700000000000003" customHeight="1" thickBot="1">
      <c r="A20" s="16" t="s">
        <v>155</v>
      </c>
      <c r="B20" s="458" t="s">
        <v>46</v>
      </c>
      <c r="C20" s="458"/>
      <c r="D20" s="458"/>
      <c r="E20" s="17" t="s">
        <v>19</v>
      </c>
      <c r="F20" s="140">
        <f>SUMIFS('Monitoring Summary MS1'!$U$3:$U$203,'Monitoring Summary MS1'!$K$3:$K$203,$F$18,'Monitoring Summary MS1'!$M$3:$M$203,"yes")/COUNTIFS('Monitoring Summary MS1'!$K$3:$K$203,$F$18,'Monitoring Summary MS1'!$M$3:$M$203,"yes")</f>
        <v>3.9964157706093191E-2</v>
      </c>
      <c r="G20" s="140">
        <f>SUMIFS('Monitoring Summary MS1'!$U$3:$U$203,'Monitoring Summary MS1'!$K$3:$K$203,$G$18,'Monitoring Summary MS1'!$M$3:$M$203,"yes")/COUNTIFS('Monitoring Summary MS1'!$K$3:$K$203,$G$18,'Monitoring Summary MS1'!$M$3:$M$203,"yes")</f>
        <v>4.2658730158730153E-2</v>
      </c>
      <c r="H20" s="140">
        <f>SUMIFS('Monitoring Summary MS2'!$U$3:$U$202,'Monitoring Summary MS2'!$K$3:$K$202,$H$18,'Monitoring Summary MS2'!$M$3:$M$202,"yes")/COUNTIFS('Monitoring Summary MS2'!$K$3:$K$202,$H$18,'Monitoring Summary MS2'!$M$3:$M$202,"yes")</f>
        <v>4.4715447154471545E-2</v>
      </c>
      <c r="I20" s="171">
        <f>SUMIFS('Monitoring Summary MS2'!$U$3:$U$202,'Monitoring Summary MS2'!$K$3:$K$202,$I$18,'Monitoring Summary MS2'!$M$3:$M$202,"yes")/COUNTIFS('Monitoring Summary MS2'!$K$3:$K$202,$I$18,'Monitoring Summary MS2'!$M$3:$M$202,"yes")</f>
        <v>5.0675675675675678E-2</v>
      </c>
    </row>
    <row r="21" spans="1:9" ht="16.5" thickBot="1">
      <c r="A21" s="184"/>
      <c r="B21" s="184"/>
      <c r="C21" s="185"/>
      <c r="D21"/>
      <c r="E21" s="186"/>
      <c r="F21" s="186"/>
      <c r="G21" s="186"/>
    </row>
    <row r="22" spans="1:9" ht="21" customHeight="1" thickBot="1">
      <c r="H22" s="390" t="s">
        <v>86</v>
      </c>
      <c r="I22" s="391"/>
    </row>
    <row r="23" spans="1:9" ht="21" customHeight="1">
      <c r="A23" s="123" t="s">
        <v>101</v>
      </c>
      <c r="B23" s="13" t="s">
        <v>114</v>
      </c>
      <c r="C23" s="187" t="s">
        <v>47</v>
      </c>
      <c r="D23" s="190" t="s">
        <v>156</v>
      </c>
      <c r="E23" s="13" t="s">
        <v>157</v>
      </c>
      <c r="F23" s="13" t="s">
        <v>158</v>
      </c>
      <c r="G23" s="14" t="s">
        <v>159</v>
      </c>
      <c r="H23" s="193" t="s">
        <v>1661</v>
      </c>
      <c r="I23" s="206" t="s">
        <v>1662</v>
      </c>
    </row>
    <row r="24" spans="1:9">
      <c r="A24" s="394" t="s">
        <v>802</v>
      </c>
      <c r="B24" s="128" t="s">
        <v>255</v>
      </c>
      <c r="C24" s="188">
        <v>5</v>
      </c>
      <c r="D24" s="191">
        <f>C31</f>
        <v>0.93</v>
      </c>
      <c r="E24" s="144">
        <f>C41</f>
        <v>3.9964157706093184E-2</v>
      </c>
      <c r="F24" s="143">
        <f>'Default Parameters'!$F$10*'Default Parameters'!$F$4^'Sample Size cal and results'!C24*'Default Parameters'!$F$5</f>
        <v>0.20792826847033558</v>
      </c>
      <c r="G24" s="145">
        <f>'Default Parameters'!$F$2*(1-'Default Parameters'!$F$3/F24)*'Default Parameters'!$F$11</f>
        <v>0.52508502730897721</v>
      </c>
      <c r="H24" s="194">
        <f>D24*(1-E24)*G24*('Default Parameters'!$F$6*'Default Parameters'!$F$7+'Default Parameters'!$F$8)</f>
        <v>0.92809538488664667</v>
      </c>
      <c r="I24" s="207">
        <f>D24*(1-E24)*G24*('Default Parameters'!$F$6*'Default Parameters'!$F$7+'Default Parameters'!$F$9)</f>
        <v>0.95223538461890889</v>
      </c>
    </row>
    <row r="25" spans="1:9">
      <c r="A25" s="395"/>
      <c r="B25" s="128" t="s">
        <v>274</v>
      </c>
      <c r="C25" s="188">
        <v>6</v>
      </c>
      <c r="D25" s="191">
        <f>D31</f>
        <v>0.83168316831683164</v>
      </c>
      <c r="E25" s="144">
        <f>D41</f>
        <v>4.2658730158730118E-2</v>
      </c>
      <c r="F25" s="143">
        <f>'Default Parameters'!$F$10*'Default Parameters'!$F$4^'Sample Size cal and results'!C25*'Default Parameters'!$F$5</f>
        <v>0.20584898578563221</v>
      </c>
      <c r="G25" s="145">
        <f>'Default Parameters'!$F$2*(1-'Default Parameters'!$F$3/F25)*'Default Parameters'!$F$11</f>
        <v>0.52017075485755271</v>
      </c>
      <c r="H25" s="194">
        <f>D25*(1-E25)*G25*('Default Parameters'!$F$6*'Default Parameters'!$F$7+'Default Parameters'!$F$8)</f>
        <v>0.81990438198404547</v>
      </c>
      <c r="I25" s="207">
        <f>D25*(1-E25)*G25*('Default Parameters'!$F$6*'Default Parameters'!$F$7+'Default Parameters'!$F$9)</f>
        <v>0.84123030589648129</v>
      </c>
    </row>
    <row r="26" spans="1:9">
      <c r="A26" s="383" t="s">
        <v>102</v>
      </c>
      <c r="B26" s="138" t="s">
        <v>274</v>
      </c>
      <c r="C26" s="188">
        <v>6</v>
      </c>
      <c r="D26" s="191">
        <f>E31</f>
        <v>0.82</v>
      </c>
      <c r="E26" s="144">
        <f>E41</f>
        <v>4.471544715447151E-2</v>
      </c>
      <c r="F26" s="143">
        <f>'Default Parameters'!$F$10*'Default Parameters'!$F$4^'Sample Size cal and results'!C26*'Default Parameters'!$F$5</f>
        <v>0.20584898578563221</v>
      </c>
      <c r="G26" s="145">
        <f>'Default Parameters'!$F$2*(1-'Default Parameters'!$F$3/F26)*'Default Parameters'!$F$11</f>
        <v>0.52017075485755271</v>
      </c>
      <c r="H26" s="194" t="s">
        <v>1639</v>
      </c>
      <c r="I26" s="207">
        <f>D26*(1-E26)*G26*('Default Parameters'!$F$6*'Default Parameters'!$F$7+'Default Parameters'!$F$9)</f>
        <v>0.82763114240219626</v>
      </c>
    </row>
    <row r="27" spans="1:9" ht="13.5" thickBot="1">
      <c r="A27" s="384"/>
      <c r="B27" s="135" t="s">
        <v>952</v>
      </c>
      <c r="C27" s="189">
        <v>7</v>
      </c>
      <c r="D27" s="192">
        <f>F31</f>
        <v>0.65406381681691128</v>
      </c>
      <c r="E27" s="147">
        <f>F41</f>
        <v>5.0675675675675658E-2</v>
      </c>
      <c r="F27" s="146">
        <f>'Default Parameters'!$F$10*'Default Parameters'!$F$4^'Sample Size cal and results'!C27*'Default Parameters'!$F$5</f>
        <v>0.2037904959277759</v>
      </c>
      <c r="G27" s="148">
        <f>'Default Parameters'!$F$2*(1-'Default Parameters'!$F$3/F27)*'Default Parameters'!$F$11</f>
        <v>0.51520684329045741</v>
      </c>
      <c r="H27" s="195" t="s">
        <v>1639</v>
      </c>
      <c r="I27" s="208">
        <f>D27*(1-E27)*G27*('Default Parameters'!$F$6*'Default Parameters'!$F$7+'Default Parameters'!$F$9)</f>
        <v>0.64977147392449142</v>
      </c>
    </row>
    <row r="28" spans="1:9" ht="18.600000000000001" customHeight="1" thickBot="1">
      <c r="C28" s="149"/>
      <c r="D28" s="150"/>
      <c r="E28" s="151"/>
      <c r="F28" s="152"/>
      <c r="G28" s="153"/>
    </row>
    <row r="29" spans="1:9" ht="20.45" customHeight="1">
      <c r="A29" s="396" t="s">
        <v>160</v>
      </c>
      <c r="B29" s="397"/>
      <c r="C29" s="385" t="s">
        <v>802</v>
      </c>
      <c r="D29" s="386"/>
      <c r="E29" s="381" t="s">
        <v>102</v>
      </c>
      <c r="F29" s="382"/>
      <c r="G29" s="387" t="s">
        <v>88</v>
      </c>
    </row>
    <row r="30" spans="1:9" ht="20.45" customHeight="1">
      <c r="A30" s="398"/>
      <c r="B30" s="399"/>
      <c r="C30" s="128" t="s">
        <v>255</v>
      </c>
      <c r="D30" s="128" t="s">
        <v>274</v>
      </c>
      <c r="E30" s="138" t="s">
        <v>274</v>
      </c>
      <c r="F30" s="138" t="s">
        <v>952</v>
      </c>
      <c r="G30" s="388"/>
    </row>
    <row r="31" spans="1:9">
      <c r="A31" s="398"/>
      <c r="B31" s="399"/>
      <c r="C31" s="154">
        <f>IF(C37="ok, acceptable",C34,C34-$B$6*C35)</f>
        <v>0.93</v>
      </c>
      <c r="D31" s="154">
        <f>IF(D37="ok, acceptable",D34,D34-$B$6*D35)</f>
        <v>0.83168316831683164</v>
      </c>
      <c r="E31" s="154">
        <f>IF(E37="ok, acceptable",E34,E34-$C$6*E35)</f>
        <v>0.82</v>
      </c>
      <c r="F31" s="154">
        <f>IF(F37="ok, acceptable",F34,F34-$C$6*F35)</f>
        <v>0.65406381681691128</v>
      </c>
      <c r="G31" s="155" t="s">
        <v>19</v>
      </c>
    </row>
    <row r="32" spans="1:9">
      <c r="A32" s="392" t="s">
        <v>89</v>
      </c>
      <c r="B32" s="393"/>
      <c r="C32" s="156">
        <f>C10</f>
        <v>59438</v>
      </c>
      <c r="D32" s="156">
        <f>C11</f>
        <v>124444</v>
      </c>
      <c r="E32" s="156">
        <f>C13</f>
        <v>59438</v>
      </c>
      <c r="F32" s="156">
        <f>C14</f>
        <v>124444</v>
      </c>
      <c r="G32" s="155" t="s">
        <v>90</v>
      </c>
    </row>
    <row r="33" spans="1:9">
      <c r="A33" s="392" t="s">
        <v>91</v>
      </c>
      <c r="B33" s="393"/>
      <c r="C33" s="141">
        <f>COUNTIF('Monitoring Summary MS1'!$K$3:$K$203,$C$30)</f>
        <v>100</v>
      </c>
      <c r="D33" s="141">
        <f>COUNTIF('Monitoring Summary MS1'!$K$3:$K$203,$D$30)</f>
        <v>101</v>
      </c>
      <c r="E33" s="156">
        <f>COUNTIF('Monitoring Summary MS2'!$K$3:$K$202,$E$30)</f>
        <v>100</v>
      </c>
      <c r="F33" s="156">
        <f>COUNTIF('Monitoring Summary MS2'!$K$3:$K$202,$F$30)</f>
        <v>100</v>
      </c>
      <c r="G33" s="155" t="s">
        <v>90</v>
      </c>
    </row>
    <row r="34" spans="1:9">
      <c r="A34" s="392" t="s">
        <v>92</v>
      </c>
      <c r="B34" s="393"/>
      <c r="C34" s="157">
        <f>F19</f>
        <v>0.93</v>
      </c>
      <c r="D34" s="157">
        <f>G19</f>
        <v>0.83168316831683164</v>
      </c>
      <c r="E34" s="157">
        <f>H19</f>
        <v>0.82</v>
      </c>
      <c r="F34" s="157">
        <f>I19</f>
        <v>0.74</v>
      </c>
      <c r="G34" s="155" t="s">
        <v>19</v>
      </c>
    </row>
    <row r="35" spans="1:9">
      <c r="A35" s="392" t="s">
        <v>93</v>
      </c>
      <c r="B35" s="393"/>
      <c r="C35" s="158">
        <f>SQRT((1-(C33/C32))*(C34*(1-C34)/C33))</f>
        <v>2.5493229318286317E-2</v>
      </c>
      <c r="D35" s="159">
        <f>SQRT((1-(D33/D32))*(D34*(1-D34)/D33))</f>
        <v>3.7213946814420321E-2</v>
      </c>
      <c r="E35" s="159">
        <f>SQRT((1-(E33/E32))*(E34*(1-E34)/E33))</f>
        <v>3.8386413483582647E-2</v>
      </c>
      <c r="F35" s="159">
        <f>SQRT((1-(F33/F32))*(F34*(1-F34)/F33))</f>
        <v>4.3845797096754041E-2</v>
      </c>
      <c r="G35" s="155" t="s">
        <v>26</v>
      </c>
    </row>
    <row r="36" spans="1:9">
      <c r="A36" s="402" t="s">
        <v>94</v>
      </c>
      <c r="B36" s="403" t="e">
        <f>#REF!*#REF!/#REF!</f>
        <v>#REF!</v>
      </c>
      <c r="C36" s="160">
        <f>C35*$B$6/C34</f>
        <v>5.3726678831679309E-2</v>
      </c>
      <c r="D36" s="160">
        <f>D35*$B$6/D34</f>
        <v>8.7699256468620729E-2</v>
      </c>
      <c r="E36" s="160">
        <f>E35*$C$6/E34</f>
        <v>9.1751204784737417E-2</v>
      </c>
      <c r="F36" s="160">
        <f>F35*$C$6/F34</f>
        <v>0.11612997727444428</v>
      </c>
      <c r="G36" s="161" t="s">
        <v>26</v>
      </c>
    </row>
    <row r="37" spans="1:9" ht="26.25" thickBot="1">
      <c r="A37" s="404" t="s">
        <v>95</v>
      </c>
      <c r="B37" s="405"/>
      <c r="C37" s="166" t="str">
        <f>IF(C36&lt;0.1, "ok, acceptable", "use lower bound value")</f>
        <v>ok, acceptable</v>
      </c>
      <c r="D37" s="166" t="str">
        <f>IF(D36&lt;0.1, "ok, acceptable", "use lower bound value")</f>
        <v>ok, acceptable</v>
      </c>
      <c r="E37" s="167" t="str">
        <f t="shared" ref="E37:F37" si="0">IF(E36&lt;0.1, "ok, acceptable", "use lower bound value")</f>
        <v>ok, acceptable</v>
      </c>
      <c r="F37" s="167" t="str">
        <f t="shared" si="0"/>
        <v>use lower bound value</v>
      </c>
      <c r="G37" s="162" t="s">
        <v>96</v>
      </c>
    </row>
    <row r="38" spans="1:9" ht="21" customHeight="1" thickBot="1"/>
    <row r="39" spans="1:9" ht="19.7" customHeight="1">
      <c r="A39" s="406" t="s">
        <v>161</v>
      </c>
      <c r="B39" s="407"/>
      <c r="C39" s="385" t="s">
        <v>802</v>
      </c>
      <c r="D39" s="386"/>
      <c r="E39" s="381" t="s">
        <v>102</v>
      </c>
      <c r="F39" s="382"/>
      <c r="G39" s="387" t="s">
        <v>88</v>
      </c>
    </row>
    <row r="40" spans="1:9" ht="19.7" customHeight="1">
      <c r="A40" s="408"/>
      <c r="B40" s="409"/>
      <c r="C40" s="128" t="s">
        <v>255</v>
      </c>
      <c r="D40" s="128" t="s">
        <v>274</v>
      </c>
      <c r="E40" s="138" t="s">
        <v>274</v>
      </c>
      <c r="F40" s="139" t="s">
        <v>952</v>
      </c>
      <c r="G40" s="389"/>
    </row>
    <row r="41" spans="1:9">
      <c r="A41" s="410"/>
      <c r="B41" s="411"/>
      <c r="C41" s="154">
        <f>1-IF(C47="ok, acceptable",C44,C44-$B$6*C45)</f>
        <v>3.9964157706093184E-2</v>
      </c>
      <c r="D41" s="154">
        <f>1-IF(D47="ok, acceptable",D44,D44-$B$6*D45)</f>
        <v>4.2658730158730118E-2</v>
      </c>
      <c r="E41" s="154">
        <f>1-IF(E47="ok, acceptable",E44,E44-$C$6*E45)</f>
        <v>4.471544715447151E-2</v>
      </c>
      <c r="F41" s="154">
        <f>1-IF(F47="ok, acceptable",F44,F44-$C$6*F45)</f>
        <v>5.0675675675675658E-2</v>
      </c>
      <c r="G41" s="155" t="s">
        <v>19</v>
      </c>
    </row>
    <row r="42" spans="1:9">
      <c r="A42" s="392" t="s">
        <v>89</v>
      </c>
      <c r="B42" s="393"/>
      <c r="C42" s="156">
        <f>C10</f>
        <v>59438</v>
      </c>
      <c r="D42" s="163">
        <f>C11</f>
        <v>124444</v>
      </c>
      <c r="E42" s="163">
        <f>C13</f>
        <v>59438</v>
      </c>
      <c r="F42" s="163">
        <f>C14</f>
        <v>124444</v>
      </c>
      <c r="G42" s="155" t="s">
        <v>90</v>
      </c>
    </row>
    <row r="43" spans="1:9">
      <c r="A43" s="392" t="s">
        <v>91</v>
      </c>
      <c r="B43" s="393"/>
      <c r="C43" s="156">
        <f>C33</f>
        <v>100</v>
      </c>
      <c r="D43" s="163">
        <f>D33</f>
        <v>101</v>
      </c>
      <c r="E43" s="163">
        <f t="shared" ref="E43:F43" si="1">E33</f>
        <v>100</v>
      </c>
      <c r="F43" s="163">
        <f t="shared" si="1"/>
        <v>100</v>
      </c>
      <c r="G43" s="155" t="s">
        <v>90</v>
      </c>
    </row>
    <row r="44" spans="1:9">
      <c r="A44" s="392" t="s">
        <v>97</v>
      </c>
      <c r="B44" s="393"/>
      <c r="C44" s="142">
        <f>1-F20</f>
        <v>0.96003584229390682</v>
      </c>
      <c r="D44" s="164">
        <f>1-G20</f>
        <v>0.95734126984126988</v>
      </c>
      <c r="E44" s="164">
        <f>1-H20</f>
        <v>0.95528455284552849</v>
      </c>
      <c r="F44" s="164">
        <f>1-I20</f>
        <v>0.94932432432432434</v>
      </c>
      <c r="G44" s="155" t="s">
        <v>19</v>
      </c>
    </row>
    <row r="45" spans="1:9">
      <c r="A45" s="392" t="s">
        <v>98</v>
      </c>
      <c r="B45" s="393"/>
      <c r="C45" s="158">
        <f>SQRT((1-(C43/C42))*(C44*(1-C44)/C43))</f>
        <v>1.9571017896410262E-2</v>
      </c>
      <c r="D45" s="158">
        <f>SQRT((1-(D43/D42))*(D44*(1-D44)/D43))</f>
        <v>2.010019890242017E-2</v>
      </c>
      <c r="E45" s="158">
        <f>SQRT((1-(E43/E42))*(E44*(1-E44)/E43))</f>
        <v>2.065045023673925E-2</v>
      </c>
      <c r="F45" s="158">
        <f>SQRT((1-(F43/F42))*(F44*(1-F44)/F43))</f>
        <v>2.1924642185934786E-2</v>
      </c>
      <c r="G45" s="155" t="s">
        <v>26</v>
      </c>
      <c r="I45" s="125" t="s">
        <v>103</v>
      </c>
    </row>
    <row r="46" spans="1:9">
      <c r="A46" s="392" t="s">
        <v>99</v>
      </c>
      <c r="B46" s="393" t="e">
        <f>#REF!*#REF!/#REF!</f>
        <v>#REF!</v>
      </c>
      <c r="C46" s="165">
        <f>C45*$B$6/C44</f>
        <v>3.9955268884648405E-2</v>
      </c>
      <c r="D46" s="165">
        <f>D45*$B$6/D44</f>
        <v>4.1151120474903338E-2</v>
      </c>
      <c r="E46" s="165">
        <f>E45*$C$6/E44</f>
        <v>4.2368672881796625E-2</v>
      </c>
      <c r="F46" s="165">
        <f>F45*$C$6/F44</f>
        <v>4.526536185506929E-2</v>
      </c>
      <c r="G46" s="155" t="s">
        <v>26</v>
      </c>
    </row>
    <row r="47" spans="1:9" ht="25.35" customHeight="1" thickBot="1">
      <c r="A47" s="400" t="s">
        <v>100</v>
      </c>
      <c r="B47" s="401"/>
      <c r="C47" s="166" t="str">
        <f>IF(C46&lt;0.1, "ok, acceptable", "use upper bound value")</f>
        <v>ok, acceptable</v>
      </c>
      <c r="D47" s="166" t="str">
        <f>IF(D46&lt;0.1, "ok, acceptable", "use upper bound value")</f>
        <v>ok, acceptable</v>
      </c>
      <c r="E47" s="167" t="str">
        <f>IF(E46&lt;0.1, "ok, acceptable", "use upper bound value")</f>
        <v>ok, acceptable</v>
      </c>
      <c r="F47" s="167" t="str">
        <f>IF(F46&lt;0.1, "ok, acceptable", "use upper bound value")</f>
        <v>ok, acceptable</v>
      </c>
      <c r="G47" s="313" t="s">
        <v>96</v>
      </c>
    </row>
    <row r="55" spans="4:4">
      <c r="D55" s="124" t="s">
        <v>15</v>
      </c>
    </row>
  </sheetData>
  <mergeCells count="42">
    <mergeCell ref="H13:I13"/>
    <mergeCell ref="H14:I14"/>
    <mergeCell ref="H15:I15"/>
    <mergeCell ref="H9:I9"/>
    <mergeCell ref="A8:I8"/>
    <mergeCell ref="H10:I10"/>
    <mergeCell ref="H11:I11"/>
    <mergeCell ref="H12:I12"/>
    <mergeCell ref="A15:B15"/>
    <mergeCell ref="A10:A11"/>
    <mergeCell ref="A12:B12"/>
    <mergeCell ref="A47:B47"/>
    <mergeCell ref="A36:B36"/>
    <mergeCell ref="A37:B37"/>
    <mergeCell ref="A42:B42"/>
    <mergeCell ref="A43:B43"/>
    <mergeCell ref="A39:B41"/>
    <mergeCell ref="A44:B44"/>
    <mergeCell ref="A45:B45"/>
    <mergeCell ref="G29:G30"/>
    <mergeCell ref="G39:G40"/>
    <mergeCell ref="H22:I22"/>
    <mergeCell ref="A46:B46"/>
    <mergeCell ref="A24:A25"/>
    <mergeCell ref="A32:B32"/>
    <mergeCell ref="A33:B33"/>
    <mergeCell ref="A34:B34"/>
    <mergeCell ref="A35:B35"/>
    <mergeCell ref="A29:B31"/>
    <mergeCell ref="A17:A18"/>
    <mergeCell ref="A13:A14"/>
    <mergeCell ref="E29:F29"/>
    <mergeCell ref="E39:F39"/>
    <mergeCell ref="A26:A27"/>
    <mergeCell ref="C29:D29"/>
    <mergeCell ref="C39:D39"/>
    <mergeCell ref="H17:I17"/>
    <mergeCell ref="B17:D18"/>
    <mergeCell ref="B19:D19"/>
    <mergeCell ref="B20:D20"/>
    <mergeCell ref="F17:G17"/>
    <mergeCell ref="E17:E18"/>
  </mergeCells>
  <phoneticPr fontId="34" type="noConversion"/>
  <pageMargins left="0.25" right="0.25" top="0.75" bottom="0.75" header="0.3" footer="0.3"/>
  <pageSetup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03"/>
  <sheetViews>
    <sheetView zoomScale="85" zoomScaleNormal="85" workbookViewId="0">
      <selection activeCell="B1" sqref="B1:B2"/>
    </sheetView>
  </sheetViews>
  <sheetFormatPr defaultColWidth="9" defaultRowHeight="15.75"/>
  <cols>
    <col min="1" max="1" width="11.375" customWidth="1"/>
    <col min="2" max="2" width="24.375" customWidth="1"/>
    <col min="3" max="3" width="25" customWidth="1"/>
    <col min="4" max="4" width="13.875" customWidth="1"/>
    <col min="5" max="5" width="65.5" style="183" bestFit="1" customWidth="1"/>
    <col min="6" max="6" width="13" customWidth="1"/>
    <col min="7" max="8" width="10.875" customWidth="1"/>
    <col min="9" max="9" width="12.875" bestFit="1" customWidth="1"/>
    <col min="10" max="10" width="29.5" bestFit="1" customWidth="1"/>
    <col min="11" max="12" width="13" customWidth="1"/>
    <col min="13" max="13" width="19.5" bestFit="1" customWidth="1"/>
    <col min="14" max="21" width="11" customWidth="1"/>
    <col min="22" max="22" width="15.5" customWidth="1"/>
    <col min="23" max="24" width="14.5" bestFit="1" customWidth="1"/>
    <col min="25" max="25" width="15.5" customWidth="1"/>
    <col min="26" max="27" width="16" bestFit="1" customWidth="1"/>
    <col min="28" max="28" width="13.875" bestFit="1" customWidth="1"/>
    <col min="29" max="29" width="18.375" bestFit="1" customWidth="1"/>
  </cols>
  <sheetData>
    <row r="1" spans="1:29" s="29" customFormat="1" ht="100.5" customHeight="1">
      <c r="A1" s="436" t="s">
        <v>197</v>
      </c>
      <c r="B1" s="436" t="s">
        <v>198</v>
      </c>
      <c r="C1" s="436" t="s">
        <v>199</v>
      </c>
      <c r="D1" s="436" t="s">
        <v>200</v>
      </c>
      <c r="E1" s="438" t="s">
        <v>201</v>
      </c>
      <c r="F1" s="436" t="s">
        <v>202</v>
      </c>
      <c r="G1" s="432" t="s">
        <v>203</v>
      </c>
      <c r="H1" s="433"/>
      <c r="I1" s="428" t="s">
        <v>204</v>
      </c>
      <c r="J1" s="428" t="s">
        <v>205</v>
      </c>
      <c r="K1" s="434" t="s">
        <v>206</v>
      </c>
      <c r="L1" s="428" t="s">
        <v>207</v>
      </c>
      <c r="M1" s="428" t="s">
        <v>208</v>
      </c>
      <c r="N1" s="432" t="s">
        <v>209</v>
      </c>
      <c r="O1" s="433"/>
      <c r="P1" s="428" t="s">
        <v>210</v>
      </c>
      <c r="Q1" s="428" t="s">
        <v>211</v>
      </c>
      <c r="R1" s="428" t="s">
        <v>212</v>
      </c>
      <c r="S1" s="432" t="s">
        <v>213</v>
      </c>
      <c r="T1" s="433"/>
      <c r="U1" s="430" t="s">
        <v>142</v>
      </c>
      <c r="V1" s="428" t="s">
        <v>214</v>
      </c>
      <c r="W1" s="428" t="s">
        <v>215</v>
      </c>
      <c r="X1" s="428" t="s">
        <v>216</v>
      </c>
      <c r="Y1" s="428" t="s">
        <v>217</v>
      </c>
      <c r="Z1" s="428" t="s">
        <v>218</v>
      </c>
      <c r="AA1" s="428" t="s">
        <v>219</v>
      </c>
      <c r="AB1" s="428" t="s">
        <v>220</v>
      </c>
      <c r="AC1" s="428" t="s">
        <v>221</v>
      </c>
    </row>
    <row r="2" spans="1:29" s="30" customFormat="1" ht="30">
      <c r="A2" s="437"/>
      <c r="B2" s="437"/>
      <c r="C2" s="437"/>
      <c r="D2" s="437"/>
      <c r="E2" s="439"/>
      <c r="F2" s="437"/>
      <c r="G2" s="32" t="s">
        <v>116</v>
      </c>
      <c r="H2" s="32" t="s">
        <v>880</v>
      </c>
      <c r="I2" s="429"/>
      <c r="J2" s="429"/>
      <c r="K2" s="435"/>
      <c r="L2" s="429"/>
      <c r="M2" s="429"/>
      <c r="N2" s="33" t="s">
        <v>223</v>
      </c>
      <c r="O2" s="33" t="s">
        <v>224</v>
      </c>
      <c r="P2" s="429"/>
      <c r="Q2" s="429"/>
      <c r="R2" s="429"/>
      <c r="S2" s="33" t="s">
        <v>223</v>
      </c>
      <c r="T2" s="33" t="s">
        <v>224</v>
      </c>
      <c r="U2" s="431"/>
      <c r="V2" s="429"/>
      <c r="W2" s="429"/>
      <c r="X2" s="429"/>
      <c r="Y2" s="429"/>
      <c r="Z2" s="429"/>
      <c r="AA2" s="429"/>
      <c r="AB2" s="429"/>
      <c r="AC2" s="429"/>
    </row>
    <row r="3" spans="1:29" s="30" customFormat="1" ht="15">
      <c r="A3" s="77">
        <v>44200</v>
      </c>
      <c r="B3" s="75" t="s">
        <v>35</v>
      </c>
      <c r="C3" s="75" t="s">
        <v>931</v>
      </c>
      <c r="D3" s="75" t="s">
        <v>226</v>
      </c>
      <c r="E3" s="180" t="s">
        <v>300</v>
      </c>
      <c r="F3" s="80"/>
      <c r="G3" s="75">
        <v>4</v>
      </c>
      <c r="H3" s="75">
        <v>3</v>
      </c>
      <c r="I3" s="75" t="s">
        <v>14</v>
      </c>
      <c r="J3" s="75" t="s">
        <v>301</v>
      </c>
      <c r="K3" s="75" t="str">
        <f>_xlfn.XLOOKUP(L3,'Inst summary and ER calculation'!$B$3:$B$904,'Inst summary and ER calculation'!$I$3:$I$904)</f>
        <v>6-7 years</v>
      </c>
      <c r="L3" s="78">
        <v>41941</v>
      </c>
      <c r="M3" s="75" t="s">
        <v>14</v>
      </c>
      <c r="N3" s="75">
        <v>12</v>
      </c>
      <c r="O3" s="75">
        <v>54</v>
      </c>
      <c r="P3" s="75" t="s">
        <v>14</v>
      </c>
      <c r="Q3" s="75" t="s">
        <v>14</v>
      </c>
      <c r="R3" s="75" t="s">
        <v>14</v>
      </c>
      <c r="S3" s="75">
        <v>4</v>
      </c>
      <c r="T3" s="75">
        <v>18</v>
      </c>
      <c r="U3" s="31">
        <f t="shared" ref="U3:U34" si="0">IF(R3="Yes",MAX(S3/(S3+N3),T3/(T3+O3)),"")</f>
        <v>0.25</v>
      </c>
      <c r="V3" s="75" t="s">
        <v>14</v>
      </c>
      <c r="W3" s="75" t="s">
        <v>14</v>
      </c>
      <c r="X3" s="75" t="s">
        <v>14</v>
      </c>
      <c r="Y3" s="75" t="s">
        <v>14</v>
      </c>
      <c r="Z3" s="75" t="s">
        <v>14</v>
      </c>
      <c r="AA3" s="75" t="s">
        <v>14</v>
      </c>
      <c r="AB3" s="75" t="s">
        <v>14</v>
      </c>
      <c r="AC3" s="75"/>
    </row>
    <row r="4" spans="1:29" s="30" customFormat="1" ht="15.75" customHeight="1">
      <c r="A4" s="77">
        <v>44212</v>
      </c>
      <c r="B4" s="75" t="s">
        <v>244</v>
      </c>
      <c r="C4" s="75" t="s">
        <v>307</v>
      </c>
      <c r="D4" s="75" t="s">
        <v>226</v>
      </c>
      <c r="E4" s="181" t="s">
        <v>308</v>
      </c>
      <c r="F4" s="75"/>
      <c r="G4" s="75">
        <v>3</v>
      </c>
      <c r="H4" s="75">
        <v>1</v>
      </c>
      <c r="I4" s="75" t="s">
        <v>14</v>
      </c>
      <c r="J4" s="75" t="s">
        <v>309</v>
      </c>
      <c r="K4" s="75" t="str">
        <f>_xlfn.XLOOKUP(L4,'Inst summary and ER calculation'!$B$3:$B$904,'Inst summary and ER calculation'!$I$3:$I$904)</f>
        <v>6-7 years</v>
      </c>
      <c r="L4" s="78">
        <v>41859</v>
      </c>
      <c r="M4" s="75" t="s">
        <v>14</v>
      </c>
      <c r="N4" s="75">
        <v>14</v>
      </c>
      <c r="O4" s="75">
        <v>60</v>
      </c>
      <c r="P4" s="75" t="s">
        <v>14</v>
      </c>
      <c r="Q4" s="75" t="s">
        <v>14</v>
      </c>
      <c r="R4" s="75" t="s">
        <v>14</v>
      </c>
      <c r="S4" s="75">
        <v>7</v>
      </c>
      <c r="T4" s="75">
        <v>30</v>
      </c>
      <c r="U4" s="31">
        <f t="shared" si="0"/>
        <v>0.33333333333333331</v>
      </c>
      <c r="V4" s="75" t="s">
        <v>14</v>
      </c>
      <c r="W4" s="75" t="s">
        <v>14</v>
      </c>
      <c r="X4" s="75" t="s">
        <v>14</v>
      </c>
      <c r="Y4" s="75" t="s">
        <v>14</v>
      </c>
      <c r="Z4" s="75" t="s">
        <v>14</v>
      </c>
      <c r="AA4" s="75" t="s">
        <v>14</v>
      </c>
      <c r="AB4" s="75" t="s">
        <v>14</v>
      </c>
      <c r="AC4" s="75"/>
    </row>
    <row r="5" spans="1:29" s="30" customFormat="1" ht="15">
      <c r="A5" s="77">
        <v>44202</v>
      </c>
      <c r="B5" s="75" t="s">
        <v>117</v>
      </c>
      <c r="C5" s="75" t="s">
        <v>312</v>
      </c>
      <c r="D5" s="75" t="s">
        <v>226</v>
      </c>
      <c r="E5" s="180" t="s">
        <v>313</v>
      </c>
      <c r="F5" s="80"/>
      <c r="G5" s="75">
        <v>2</v>
      </c>
      <c r="H5" s="75">
        <v>2</v>
      </c>
      <c r="I5" s="75" t="s">
        <v>14</v>
      </c>
      <c r="J5" s="80" t="s">
        <v>314</v>
      </c>
      <c r="K5" s="75" t="str">
        <f>_xlfn.XLOOKUP(L5,'Inst summary and ER calculation'!$B$3:$B$904,'Inst summary and ER calculation'!$I$3:$I$904)</f>
        <v>6-7 years</v>
      </c>
      <c r="L5" s="81">
        <v>41916</v>
      </c>
      <c r="M5" s="75" t="s">
        <v>14</v>
      </c>
      <c r="N5" s="75">
        <v>14</v>
      </c>
      <c r="O5" s="75">
        <v>60</v>
      </c>
      <c r="P5" s="75" t="s">
        <v>14</v>
      </c>
      <c r="Q5" s="75" t="s">
        <v>14</v>
      </c>
      <c r="R5" s="75" t="s">
        <v>14</v>
      </c>
      <c r="S5" s="75">
        <v>7</v>
      </c>
      <c r="T5" s="75">
        <v>30</v>
      </c>
      <c r="U5" s="31">
        <f t="shared" si="0"/>
        <v>0.33333333333333331</v>
      </c>
      <c r="V5" s="75" t="s">
        <v>14</v>
      </c>
      <c r="W5" s="75" t="s">
        <v>14</v>
      </c>
      <c r="X5" s="75" t="s">
        <v>14</v>
      </c>
      <c r="Y5" s="75" t="s">
        <v>14</v>
      </c>
      <c r="Z5" s="75" t="s">
        <v>14</v>
      </c>
      <c r="AA5" s="75" t="s">
        <v>14</v>
      </c>
      <c r="AB5" s="75" t="s">
        <v>14</v>
      </c>
      <c r="AC5" s="75"/>
    </row>
    <row r="6" spans="1:29" s="30" customFormat="1" ht="15.75" customHeight="1">
      <c r="A6" s="77">
        <v>44202</v>
      </c>
      <c r="B6" s="75" t="s">
        <v>129</v>
      </c>
      <c r="C6" s="75" t="s">
        <v>292</v>
      </c>
      <c r="D6" s="75" t="s">
        <v>226</v>
      </c>
      <c r="E6" s="180" t="s">
        <v>293</v>
      </c>
      <c r="F6" s="80"/>
      <c r="G6" s="75">
        <v>3</v>
      </c>
      <c r="H6" s="75">
        <v>1</v>
      </c>
      <c r="I6" s="75" t="s">
        <v>14</v>
      </c>
      <c r="J6" s="75" t="s">
        <v>294</v>
      </c>
      <c r="K6" s="75" t="str">
        <f>_xlfn.XLOOKUP(L6,'Inst summary and ER calculation'!$B$3:$B$904,'Inst summary and ER calculation'!$I$3:$I$904)</f>
        <v>5-6 years</v>
      </c>
      <c r="L6" s="78">
        <v>42184</v>
      </c>
      <c r="M6" s="75" t="s">
        <v>14</v>
      </c>
      <c r="N6" s="75">
        <v>10</v>
      </c>
      <c r="O6" s="75">
        <v>50</v>
      </c>
      <c r="P6" s="75" t="s">
        <v>14</v>
      </c>
      <c r="Q6" s="75" t="s">
        <v>14</v>
      </c>
      <c r="R6" s="75" t="s">
        <v>14</v>
      </c>
      <c r="S6" s="75">
        <v>5</v>
      </c>
      <c r="T6" s="75">
        <v>25</v>
      </c>
      <c r="U6" s="31">
        <f t="shared" si="0"/>
        <v>0.33333333333333331</v>
      </c>
      <c r="V6" s="75" t="s">
        <v>14</v>
      </c>
      <c r="W6" s="75" t="s">
        <v>14</v>
      </c>
      <c r="X6" s="75" t="s">
        <v>14</v>
      </c>
      <c r="Y6" s="75" t="s">
        <v>14</v>
      </c>
      <c r="Z6" s="75" t="s">
        <v>14</v>
      </c>
      <c r="AA6" s="75" t="s">
        <v>14</v>
      </c>
      <c r="AB6" s="75" t="s">
        <v>14</v>
      </c>
      <c r="AC6" s="75"/>
    </row>
    <row r="7" spans="1:29" s="30" customFormat="1" ht="15">
      <c r="A7" s="77">
        <v>44211</v>
      </c>
      <c r="B7" s="75" t="s">
        <v>262</v>
      </c>
      <c r="C7" s="75" t="s">
        <v>304</v>
      </c>
      <c r="D7" s="79" t="s">
        <v>226</v>
      </c>
      <c r="E7" s="181" t="s">
        <v>305</v>
      </c>
      <c r="F7" s="75"/>
      <c r="G7" s="75">
        <v>3</v>
      </c>
      <c r="H7" s="75">
        <v>1</v>
      </c>
      <c r="I7" s="75" t="s">
        <v>14</v>
      </c>
      <c r="J7" s="75" t="s">
        <v>306</v>
      </c>
      <c r="K7" s="75" t="str">
        <f>_xlfn.XLOOKUP(L7,'Inst summary and ER calculation'!$B$3:$B$904,'Inst summary and ER calculation'!$I$3:$I$904)</f>
        <v>5-6 years</v>
      </c>
      <c r="L7" s="78">
        <v>42140</v>
      </c>
      <c r="M7" s="75" t="s">
        <v>14</v>
      </c>
      <c r="N7" s="75">
        <v>13</v>
      </c>
      <c r="O7" s="75">
        <v>52</v>
      </c>
      <c r="P7" s="75" t="s">
        <v>14</v>
      </c>
      <c r="Q7" s="75" t="s">
        <v>14</v>
      </c>
      <c r="R7" s="75" t="s">
        <v>14</v>
      </c>
      <c r="S7" s="75">
        <v>7</v>
      </c>
      <c r="T7" s="75">
        <v>28</v>
      </c>
      <c r="U7" s="31">
        <f t="shared" si="0"/>
        <v>0.35</v>
      </c>
      <c r="V7" s="75" t="s">
        <v>14</v>
      </c>
      <c r="W7" s="75" t="s">
        <v>14</v>
      </c>
      <c r="X7" s="75" t="s">
        <v>14</v>
      </c>
      <c r="Y7" s="75" t="s">
        <v>14</v>
      </c>
      <c r="Z7" s="75" t="s">
        <v>14</v>
      </c>
      <c r="AA7" s="75" t="s">
        <v>14</v>
      </c>
      <c r="AB7" s="75" t="s">
        <v>14</v>
      </c>
      <c r="AC7" s="75"/>
    </row>
    <row r="8" spans="1:29" s="30" customFormat="1" ht="15.75" customHeight="1">
      <c r="A8" s="77">
        <v>44211</v>
      </c>
      <c r="B8" s="75" t="s">
        <v>229</v>
      </c>
      <c r="C8" s="75" t="s">
        <v>881</v>
      </c>
      <c r="D8" s="75" t="s">
        <v>226</v>
      </c>
      <c r="E8" s="181" t="s">
        <v>298</v>
      </c>
      <c r="F8" s="75"/>
      <c r="G8" s="75">
        <v>2</v>
      </c>
      <c r="H8" s="75">
        <v>2</v>
      </c>
      <c r="I8" s="75" t="s">
        <v>14</v>
      </c>
      <c r="J8" s="75" t="s">
        <v>299</v>
      </c>
      <c r="K8" s="75" t="str">
        <f>_xlfn.XLOOKUP(L8,'Inst summary and ER calculation'!$B$3:$B$904,'Inst summary and ER calculation'!$I$3:$I$904)</f>
        <v>5-6 years</v>
      </c>
      <c r="L8" s="78">
        <v>42124</v>
      </c>
      <c r="M8" s="75" t="s">
        <v>14</v>
      </c>
      <c r="N8" s="75">
        <v>12</v>
      </c>
      <c r="O8" s="75">
        <v>48</v>
      </c>
      <c r="P8" s="75" t="s">
        <v>14</v>
      </c>
      <c r="Q8" s="75" t="s">
        <v>14</v>
      </c>
      <c r="R8" s="75" t="s">
        <v>14</v>
      </c>
      <c r="S8" s="75">
        <v>8</v>
      </c>
      <c r="T8" s="75">
        <v>32</v>
      </c>
      <c r="U8" s="31">
        <f t="shared" si="0"/>
        <v>0.4</v>
      </c>
      <c r="V8" s="75" t="s">
        <v>14</v>
      </c>
      <c r="W8" s="75" t="s">
        <v>14</v>
      </c>
      <c r="X8" s="75" t="s">
        <v>14</v>
      </c>
      <c r="Y8" s="75" t="s">
        <v>14</v>
      </c>
      <c r="Z8" s="75" t="s">
        <v>14</v>
      </c>
      <c r="AA8" s="75" t="s">
        <v>14</v>
      </c>
      <c r="AB8" s="75" t="s">
        <v>14</v>
      </c>
      <c r="AC8" s="75"/>
    </row>
    <row r="9" spans="1:29" s="30" customFormat="1" ht="15">
      <c r="A9" s="77">
        <v>44211</v>
      </c>
      <c r="B9" s="77" t="s">
        <v>944</v>
      </c>
      <c r="C9" s="75" t="s">
        <v>289</v>
      </c>
      <c r="D9" s="75" t="s">
        <v>226</v>
      </c>
      <c r="E9" s="181" t="s">
        <v>290</v>
      </c>
      <c r="F9" s="75"/>
      <c r="G9" s="75">
        <v>2</v>
      </c>
      <c r="H9" s="75">
        <v>4</v>
      </c>
      <c r="I9" s="75" t="s">
        <v>14</v>
      </c>
      <c r="J9" s="75" t="s">
        <v>291</v>
      </c>
      <c r="K9" s="75" t="str">
        <f>_xlfn.XLOOKUP(L9,'Inst summary and ER calculation'!$B$3:$B$904,'Inst summary and ER calculation'!$I$3:$I$904)</f>
        <v>5-6 years</v>
      </c>
      <c r="L9" s="78">
        <v>42081</v>
      </c>
      <c r="M9" s="75" t="s">
        <v>14</v>
      </c>
      <c r="N9" s="75">
        <v>10</v>
      </c>
      <c r="O9" s="75">
        <v>45</v>
      </c>
      <c r="P9" s="75" t="s">
        <v>14</v>
      </c>
      <c r="Q9" s="75" t="s">
        <v>14</v>
      </c>
      <c r="R9" s="75" t="s">
        <v>14</v>
      </c>
      <c r="S9" s="75">
        <v>10</v>
      </c>
      <c r="T9" s="75">
        <v>45</v>
      </c>
      <c r="U9" s="31">
        <f t="shared" si="0"/>
        <v>0.5</v>
      </c>
      <c r="V9" s="75" t="s">
        <v>14</v>
      </c>
      <c r="W9" s="75" t="s">
        <v>14</v>
      </c>
      <c r="X9" s="75" t="s">
        <v>14</v>
      </c>
      <c r="Y9" s="75" t="s">
        <v>14</v>
      </c>
      <c r="Z9" s="75" t="s">
        <v>14</v>
      </c>
      <c r="AA9" s="75" t="s">
        <v>14</v>
      </c>
      <c r="AB9" s="75" t="s">
        <v>14</v>
      </c>
      <c r="AC9" s="75"/>
    </row>
    <row r="10" spans="1:29" s="30" customFormat="1" ht="15.75" customHeight="1">
      <c r="A10" s="77">
        <v>44211</v>
      </c>
      <c r="B10" s="75" t="s">
        <v>275</v>
      </c>
      <c r="C10" s="75" t="s">
        <v>276</v>
      </c>
      <c r="D10" s="75" t="s">
        <v>226</v>
      </c>
      <c r="E10" s="181" t="s">
        <v>277</v>
      </c>
      <c r="F10" s="75"/>
      <c r="G10" s="75">
        <v>4</v>
      </c>
      <c r="H10" s="75">
        <v>0</v>
      </c>
      <c r="I10" s="75" t="s">
        <v>14</v>
      </c>
      <c r="J10" s="75" t="s">
        <v>278</v>
      </c>
      <c r="K10" s="75" t="str">
        <f>_xlfn.XLOOKUP(L10,'Inst summary and ER calculation'!$B$3:$B$904,'Inst summary and ER calculation'!$I$3:$I$904)</f>
        <v>6-7 years</v>
      </c>
      <c r="L10" s="78">
        <v>42058</v>
      </c>
      <c r="M10" s="75" t="s">
        <v>14</v>
      </c>
      <c r="N10" s="75">
        <v>7</v>
      </c>
      <c r="O10" s="75">
        <v>30</v>
      </c>
      <c r="P10" s="75" t="s">
        <v>14</v>
      </c>
      <c r="Q10" s="75" t="s">
        <v>14</v>
      </c>
      <c r="R10" s="75" t="s">
        <v>14</v>
      </c>
      <c r="S10" s="75">
        <v>7</v>
      </c>
      <c r="T10" s="75">
        <v>30</v>
      </c>
      <c r="U10" s="31">
        <f t="shared" si="0"/>
        <v>0.5</v>
      </c>
      <c r="V10" s="75" t="s">
        <v>14</v>
      </c>
      <c r="W10" s="75" t="s">
        <v>14</v>
      </c>
      <c r="X10" s="75" t="s">
        <v>14</v>
      </c>
      <c r="Y10" s="75" t="s">
        <v>14</v>
      </c>
      <c r="Z10" s="75" t="s">
        <v>14</v>
      </c>
      <c r="AA10" s="75" t="s">
        <v>14</v>
      </c>
      <c r="AB10" s="75" t="s">
        <v>14</v>
      </c>
      <c r="AC10" s="75"/>
    </row>
    <row r="11" spans="1:29" s="30" customFormat="1" ht="15">
      <c r="A11" s="77">
        <v>44211</v>
      </c>
      <c r="B11" s="75" t="s">
        <v>109</v>
      </c>
      <c r="C11" s="75" t="s">
        <v>909</v>
      </c>
      <c r="D11" s="75" t="s">
        <v>226</v>
      </c>
      <c r="E11" s="181" t="s">
        <v>268</v>
      </c>
      <c r="F11" s="75"/>
      <c r="G11" s="75">
        <v>3</v>
      </c>
      <c r="H11" s="75">
        <v>2</v>
      </c>
      <c r="I11" s="75" t="s">
        <v>14</v>
      </c>
      <c r="J11" s="75" t="s">
        <v>269</v>
      </c>
      <c r="K11" s="75" t="str">
        <f>_xlfn.XLOOKUP(L11,'Inst summary and ER calculation'!$B$3:$B$904,'Inst summary and ER calculation'!$I$3:$I$904)</f>
        <v>5-6 years</v>
      </c>
      <c r="L11" s="78">
        <v>42069</v>
      </c>
      <c r="M11" s="75" t="s">
        <v>14</v>
      </c>
      <c r="N11" s="75">
        <v>7</v>
      </c>
      <c r="O11" s="75">
        <v>30</v>
      </c>
      <c r="P11" s="75" t="s">
        <v>14</v>
      </c>
      <c r="Q11" s="75" t="s">
        <v>14</v>
      </c>
      <c r="R11" s="75" t="s">
        <v>14</v>
      </c>
      <c r="S11" s="75">
        <v>7</v>
      </c>
      <c r="T11" s="75">
        <v>30</v>
      </c>
      <c r="U11" s="31">
        <f t="shared" si="0"/>
        <v>0.5</v>
      </c>
      <c r="V11" s="75" t="s">
        <v>14</v>
      </c>
      <c r="W11" s="75" t="s">
        <v>14</v>
      </c>
      <c r="X11" s="75" t="s">
        <v>14</v>
      </c>
      <c r="Y11" s="75" t="s">
        <v>14</v>
      </c>
      <c r="Z11" s="75" t="s">
        <v>14</v>
      </c>
      <c r="AA11" s="75" t="s">
        <v>14</v>
      </c>
      <c r="AB11" s="75" t="s">
        <v>14</v>
      </c>
      <c r="AC11" s="75"/>
    </row>
    <row r="12" spans="1:29" s="30" customFormat="1" ht="15.75" customHeight="1">
      <c r="A12" s="77">
        <v>44203</v>
      </c>
      <c r="B12" s="75" t="s">
        <v>270</v>
      </c>
      <c r="C12" s="75" t="s">
        <v>271</v>
      </c>
      <c r="D12" s="79" t="s">
        <v>226</v>
      </c>
      <c r="E12" s="182" t="s">
        <v>272</v>
      </c>
      <c r="F12" s="75"/>
      <c r="G12" s="75">
        <v>2</v>
      </c>
      <c r="H12" s="75">
        <v>3</v>
      </c>
      <c r="I12" s="75" t="s">
        <v>14</v>
      </c>
      <c r="J12" s="75" t="s">
        <v>273</v>
      </c>
      <c r="K12" s="75" t="str">
        <f>_xlfn.XLOOKUP(L12,'Inst summary and ER calculation'!$B$3:$B$904,'Inst summary and ER calculation'!$I$3:$I$904)</f>
        <v>6-7 years</v>
      </c>
      <c r="L12" s="78">
        <v>41973</v>
      </c>
      <c r="M12" s="75" t="s">
        <v>14</v>
      </c>
      <c r="N12" s="75">
        <v>7</v>
      </c>
      <c r="O12" s="75">
        <v>28</v>
      </c>
      <c r="P12" s="75" t="s">
        <v>14</v>
      </c>
      <c r="Q12" s="96" t="s">
        <v>14</v>
      </c>
      <c r="R12" s="75" t="s">
        <v>14</v>
      </c>
      <c r="S12" s="75">
        <v>7</v>
      </c>
      <c r="T12" s="75">
        <v>28</v>
      </c>
      <c r="U12" s="31">
        <f t="shared" si="0"/>
        <v>0.5</v>
      </c>
      <c r="V12" s="75" t="s">
        <v>14</v>
      </c>
      <c r="W12" s="75" t="s">
        <v>14</v>
      </c>
      <c r="X12" s="75" t="s">
        <v>14</v>
      </c>
      <c r="Y12" s="75" t="s">
        <v>14</v>
      </c>
      <c r="Z12" s="75" t="s">
        <v>14</v>
      </c>
      <c r="AA12" s="75" t="s">
        <v>14</v>
      </c>
      <c r="AB12" s="75" t="s">
        <v>14</v>
      </c>
      <c r="AC12" s="75"/>
    </row>
    <row r="13" spans="1:29" s="30" customFormat="1" ht="15">
      <c r="A13" s="77">
        <v>44211</v>
      </c>
      <c r="B13" s="75" t="s">
        <v>262</v>
      </c>
      <c r="C13" s="75" t="s">
        <v>232</v>
      </c>
      <c r="D13" s="75" t="s">
        <v>226</v>
      </c>
      <c r="E13" s="181" t="s">
        <v>287</v>
      </c>
      <c r="F13" s="75"/>
      <c r="G13" s="75">
        <v>2</v>
      </c>
      <c r="H13" s="75">
        <v>0</v>
      </c>
      <c r="I13" s="75" t="s">
        <v>14</v>
      </c>
      <c r="J13" s="75" t="s">
        <v>288</v>
      </c>
      <c r="K13" s="75" t="str">
        <f>_xlfn.XLOOKUP(L13,'Inst summary and ER calculation'!$B$3:$B$904,'Inst summary and ER calculation'!$I$3:$I$904)</f>
        <v>5-6 years</v>
      </c>
      <c r="L13" s="78">
        <v>42116</v>
      </c>
      <c r="M13" s="75" t="s">
        <v>14</v>
      </c>
      <c r="N13" s="75">
        <v>9</v>
      </c>
      <c r="O13" s="75">
        <v>38</v>
      </c>
      <c r="P13" s="75" t="s">
        <v>14</v>
      </c>
      <c r="Q13" s="75" t="s">
        <v>14</v>
      </c>
      <c r="R13" s="75" t="s">
        <v>14</v>
      </c>
      <c r="S13" s="75">
        <v>9</v>
      </c>
      <c r="T13" s="75">
        <v>38</v>
      </c>
      <c r="U13" s="31">
        <f t="shared" si="0"/>
        <v>0.5</v>
      </c>
      <c r="V13" s="75" t="s">
        <v>14</v>
      </c>
      <c r="W13" s="75" t="s">
        <v>14</v>
      </c>
      <c r="X13" s="75" t="s">
        <v>14</v>
      </c>
      <c r="Y13" s="75" t="s">
        <v>14</v>
      </c>
      <c r="Z13" s="75" t="s">
        <v>14</v>
      </c>
      <c r="AA13" s="75" t="s">
        <v>14</v>
      </c>
      <c r="AB13" s="75" t="s">
        <v>14</v>
      </c>
      <c r="AC13" s="75"/>
    </row>
    <row r="14" spans="1:29" s="30" customFormat="1" ht="15.75" customHeight="1">
      <c r="A14" s="77">
        <v>44203</v>
      </c>
      <c r="B14" s="75" t="s">
        <v>84</v>
      </c>
      <c r="C14" s="75" t="s">
        <v>279</v>
      </c>
      <c r="D14" s="75" t="s">
        <v>226</v>
      </c>
      <c r="E14" s="180" t="s">
        <v>280</v>
      </c>
      <c r="F14" s="80"/>
      <c r="G14" s="75">
        <v>2</v>
      </c>
      <c r="H14" s="75">
        <v>2</v>
      </c>
      <c r="I14" s="75" t="s">
        <v>14</v>
      </c>
      <c r="J14" s="75" t="s">
        <v>281</v>
      </c>
      <c r="K14" s="75" t="str">
        <f>_xlfn.XLOOKUP(L14,'Inst summary and ER calculation'!$B$3:$B$904,'Inst summary and ER calculation'!$I$3:$I$904)</f>
        <v>6-7 years</v>
      </c>
      <c r="L14" s="78">
        <v>41991</v>
      </c>
      <c r="M14" s="75" t="s">
        <v>14</v>
      </c>
      <c r="N14" s="75">
        <v>7</v>
      </c>
      <c r="O14" s="75">
        <v>30</v>
      </c>
      <c r="P14" s="75" t="s">
        <v>14</v>
      </c>
      <c r="Q14" s="75" t="s">
        <v>14</v>
      </c>
      <c r="R14" s="75" t="s">
        <v>14</v>
      </c>
      <c r="S14" s="75">
        <v>7</v>
      </c>
      <c r="T14" s="75">
        <v>30</v>
      </c>
      <c r="U14" s="31">
        <f t="shared" si="0"/>
        <v>0.5</v>
      </c>
      <c r="V14" s="75" t="s">
        <v>14</v>
      </c>
      <c r="W14" s="75" t="s">
        <v>14</v>
      </c>
      <c r="X14" s="75" t="s">
        <v>14</v>
      </c>
      <c r="Y14" s="75" t="s">
        <v>14</v>
      </c>
      <c r="Z14" s="75" t="s">
        <v>14</v>
      </c>
      <c r="AA14" s="75" t="s">
        <v>14</v>
      </c>
      <c r="AB14" s="75" t="s">
        <v>14</v>
      </c>
      <c r="AC14" s="75"/>
    </row>
    <row r="15" spans="1:29" s="30" customFormat="1" ht="15">
      <c r="A15" s="77">
        <v>44211</v>
      </c>
      <c r="B15" s="75" t="s">
        <v>141</v>
      </c>
      <c r="C15" s="75" t="s">
        <v>33</v>
      </c>
      <c r="D15" s="75" t="s">
        <v>226</v>
      </c>
      <c r="E15" s="181" t="s">
        <v>282</v>
      </c>
      <c r="F15" s="75"/>
      <c r="G15" s="75">
        <v>2</v>
      </c>
      <c r="H15" s="75">
        <v>3</v>
      </c>
      <c r="I15" s="75" t="s">
        <v>14</v>
      </c>
      <c r="J15" s="75" t="s">
        <v>283</v>
      </c>
      <c r="K15" s="75" t="str">
        <f>_xlfn.XLOOKUP(L15,'Inst summary and ER calculation'!$B$3:$B$904,'Inst summary and ER calculation'!$I$3:$I$904)</f>
        <v>6-7 years</v>
      </c>
      <c r="L15" s="78">
        <v>41904</v>
      </c>
      <c r="M15" s="75" t="s">
        <v>14</v>
      </c>
      <c r="N15" s="75">
        <v>7</v>
      </c>
      <c r="O15" s="75">
        <v>30</v>
      </c>
      <c r="P15" s="75" t="s">
        <v>14</v>
      </c>
      <c r="Q15" s="75" t="s">
        <v>14</v>
      </c>
      <c r="R15" s="75" t="s">
        <v>14</v>
      </c>
      <c r="S15" s="75">
        <v>14</v>
      </c>
      <c r="T15" s="75">
        <v>60</v>
      </c>
      <c r="U15" s="31">
        <f t="shared" si="0"/>
        <v>0.66666666666666663</v>
      </c>
      <c r="V15" s="75" t="s">
        <v>14</v>
      </c>
      <c r="W15" s="75" t="s">
        <v>14</v>
      </c>
      <c r="X15" s="75" t="s">
        <v>14</v>
      </c>
      <c r="Y15" s="75" t="s">
        <v>14</v>
      </c>
      <c r="Z15" s="75" t="s">
        <v>14</v>
      </c>
      <c r="AA15" s="75" t="s">
        <v>14</v>
      </c>
      <c r="AB15" s="75" t="s">
        <v>14</v>
      </c>
      <c r="AC15" s="75"/>
    </row>
    <row r="16" spans="1:29" s="30" customFormat="1" ht="15.75" customHeight="1">
      <c r="A16" s="77">
        <v>44210</v>
      </c>
      <c r="B16" s="75" t="s">
        <v>104</v>
      </c>
      <c r="C16" s="75" t="s">
        <v>756</v>
      </c>
      <c r="D16" s="75" t="s">
        <v>226</v>
      </c>
      <c r="E16" s="181" t="s">
        <v>757</v>
      </c>
      <c r="F16" s="79"/>
      <c r="G16" s="75">
        <v>2</v>
      </c>
      <c r="H16" s="75">
        <v>1</v>
      </c>
      <c r="I16" s="75" t="s">
        <v>14</v>
      </c>
      <c r="J16" s="79" t="s">
        <v>758</v>
      </c>
      <c r="K16" s="75" t="str">
        <f>_xlfn.XLOOKUP(L16,'Inst summary and ER calculation'!$B$3:$B$904,'Inst summary and ER calculation'!$I$3:$I$904)</f>
        <v>6-7 years</v>
      </c>
      <c r="L16" s="88">
        <v>41818</v>
      </c>
      <c r="M16" s="75" t="s">
        <v>14</v>
      </c>
      <c r="N16" s="75">
        <v>17</v>
      </c>
      <c r="O16" s="75">
        <v>72</v>
      </c>
      <c r="P16" s="75" t="s">
        <v>14</v>
      </c>
      <c r="Q16" s="75" t="s">
        <v>13</v>
      </c>
      <c r="R16" s="75"/>
      <c r="S16" s="75"/>
      <c r="T16" s="75"/>
      <c r="U16" s="31" t="str">
        <f t="shared" si="0"/>
        <v/>
      </c>
      <c r="V16" s="75" t="s">
        <v>14</v>
      </c>
      <c r="W16" s="75" t="s">
        <v>14</v>
      </c>
      <c r="X16" s="75" t="s">
        <v>14</v>
      </c>
      <c r="Y16" s="75" t="s">
        <v>14</v>
      </c>
      <c r="Z16" s="75" t="s">
        <v>14</v>
      </c>
      <c r="AA16" s="75" t="s">
        <v>14</v>
      </c>
      <c r="AB16" s="75" t="s">
        <v>14</v>
      </c>
      <c r="AC16" s="75"/>
    </row>
    <row r="17" spans="1:29" s="30" customFormat="1" ht="15">
      <c r="A17" s="77">
        <v>44210</v>
      </c>
      <c r="B17" s="77" t="s">
        <v>137</v>
      </c>
      <c r="C17" s="75" t="s">
        <v>525</v>
      </c>
      <c r="D17" s="75" t="s">
        <v>226</v>
      </c>
      <c r="E17" s="181" t="s">
        <v>526</v>
      </c>
      <c r="F17" s="75"/>
      <c r="G17" s="75">
        <v>3</v>
      </c>
      <c r="H17" s="75">
        <v>1</v>
      </c>
      <c r="I17" s="75" t="s">
        <v>14</v>
      </c>
      <c r="J17" s="75" t="s">
        <v>527</v>
      </c>
      <c r="K17" s="75" t="str">
        <f>_xlfn.XLOOKUP(L17,'Inst summary and ER calculation'!$B$3:$B$904,'Inst summary and ER calculation'!$I$3:$I$904)</f>
        <v>6-7 years</v>
      </c>
      <c r="L17" s="78">
        <v>41909</v>
      </c>
      <c r="M17" s="75" t="s">
        <v>14</v>
      </c>
      <c r="N17" s="75">
        <v>14</v>
      </c>
      <c r="O17" s="75">
        <v>60</v>
      </c>
      <c r="P17" s="75" t="s">
        <v>14</v>
      </c>
      <c r="Q17" s="75" t="s">
        <v>13</v>
      </c>
      <c r="R17" s="75"/>
      <c r="S17" s="75"/>
      <c r="T17" s="75"/>
      <c r="U17" s="31" t="str">
        <f t="shared" si="0"/>
        <v/>
      </c>
      <c r="V17" s="75" t="s">
        <v>14</v>
      </c>
      <c r="W17" s="75" t="s">
        <v>14</v>
      </c>
      <c r="X17" s="75" t="s">
        <v>14</v>
      </c>
      <c r="Y17" s="75" t="s">
        <v>14</v>
      </c>
      <c r="Z17" s="75" t="s">
        <v>14</v>
      </c>
      <c r="AA17" s="75" t="s">
        <v>14</v>
      </c>
      <c r="AB17" s="75" t="s">
        <v>14</v>
      </c>
      <c r="AC17" s="75"/>
    </row>
    <row r="18" spans="1:29" s="30" customFormat="1" ht="15.75" customHeight="1">
      <c r="A18" s="77">
        <v>44202</v>
      </c>
      <c r="B18" s="75" t="s">
        <v>134</v>
      </c>
      <c r="C18" s="75" t="s">
        <v>40</v>
      </c>
      <c r="D18" s="75" t="s">
        <v>226</v>
      </c>
      <c r="E18" s="182" t="s">
        <v>392</v>
      </c>
      <c r="F18" s="75"/>
      <c r="G18" s="75">
        <v>3</v>
      </c>
      <c r="H18" s="75">
        <v>0</v>
      </c>
      <c r="I18" s="75" t="s">
        <v>14</v>
      </c>
      <c r="J18" s="75" t="s">
        <v>393</v>
      </c>
      <c r="K18" s="75" t="str">
        <f>_xlfn.XLOOKUP(L18,'Inst summary and ER calculation'!$B$3:$B$904,'Inst summary and ER calculation'!$I$3:$I$904)</f>
        <v>5-6 years</v>
      </c>
      <c r="L18" s="78">
        <v>42123</v>
      </c>
      <c r="M18" s="75" t="s">
        <v>14</v>
      </c>
      <c r="N18" s="75">
        <v>14</v>
      </c>
      <c r="O18" s="75">
        <v>60</v>
      </c>
      <c r="P18" s="75" t="s">
        <v>14</v>
      </c>
      <c r="Q18" s="75" t="s">
        <v>13</v>
      </c>
      <c r="R18" s="75"/>
      <c r="S18" s="75"/>
      <c r="T18" s="75"/>
      <c r="U18" s="31" t="str">
        <f t="shared" si="0"/>
        <v/>
      </c>
      <c r="V18" s="75" t="s">
        <v>14</v>
      </c>
      <c r="W18" s="75" t="s">
        <v>14</v>
      </c>
      <c r="X18" s="75" t="s">
        <v>14</v>
      </c>
      <c r="Y18" s="75" t="s">
        <v>14</v>
      </c>
      <c r="Z18" s="75" t="s">
        <v>14</v>
      </c>
      <c r="AA18" s="75" t="s">
        <v>14</v>
      </c>
      <c r="AB18" s="75" t="s">
        <v>14</v>
      </c>
      <c r="AC18" s="75"/>
    </row>
    <row r="19" spans="1:29" s="30" customFormat="1" ht="15">
      <c r="A19" s="77">
        <v>44204</v>
      </c>
      <c r="B19" s="75" t="s">
        <v>261</v>
      </c>
      <c r="C19" s="75" t="s">
        <v>596</v>
      </c>
      <c r="D19" s="75" t="s">
        <v>226</v>
      </c>
      <c r="E19" s="182" t="s">
        <v>597</v>
      </c>
      <c r="F19" s="75"/>
      <c r="G19" s="75">
        <v>3</v>
      </c>
      <c r="H19" s="75">
        <v>2</v>
      </c>
      <c r="I19" s="75" t="s">
        <v>14</v>
      </c>
      <c r="J19" s="75" t="s">
        <v>598</v>
      </c>
      <c r="K19" s="75" t="str">
        <f>_xlfn.XLOOKUP(L19,'Inst summary and ER calculation'!$B$3:$B$904,'Inst summary and ER calculation'!$I$3:$I$904)</f>
        <v>6-7 years</v>
      </c>
      <c r="L19" s="78">
        <v>42043</v>
      </c>
      <c r="M19" s="75" t="s">
        <v>14</v>
      </c>
      <c r="N19" s="75">
        <v>14</v>
      </c>
      <c r="O19" s="75">
        <v>60</v>
      </c>
      <c r="P19" s="75" t="s">
        <v>14</v>
      </c>
      <c r="Q19" s="75" t="s">
        <v>13</v>
      </c>
      <c r="R19" s="75"/>
      <c r="S19" s="75"/>
      <c r="T19" s="75"/>
      <c r="U19" s="31" t="str">
        <f t="shared" si="0"/>
        <v/>
      </c>
      <c r="V19" s="75" t="s">
        <v>14</v>
      </c>
      <c r="W19" s="75" t="s">
        <v>14</v>
      </c>
      <c r="X19" s="75" t="s">
        <v>14</v>
      </c>
      <c r="Y19" s="75" t="s">
        <v>14</v>
      </c>
      <c r="Z19" s="75" t="s">
        <v>14</v>
      </c>
      <c r="AA19" s="75" t="s">
        <v>14</v>
      </c>
      <c r="AB19" s="75" t="s">
        <v>14</v>
      </c>
      <c r="AC19" s="75"/>
    </row>
    <row r="20" spans="1:29" s="30" customFormat="1" ht="15.75" customHeight="1">
      <c r="A20" s="77">
        <v>44203</v>
      </c>
      <c r="B20" s="75" t="s">
        <v>84</v>
      </c>
      <c r="C20" s="75" t="s">
        <v>467</v>
      </c>
      <c r="D20" s="75" t="s">
        <v>226</v>
      </c>
      <c r="E20" s="180" t="s">
        <v>468</v>
      </c>
      <c r="F20" s="80"/>
      <c r="G20" s="75">
        <v>4</v>
      </c>
      <c r="H20" s="75">
        <v>0</v>
      </c>
      <c r="I20" s="75" t="s">
        <v>14</v>
      </c>
      <c r="J20" s="75" t="s">
        <v>469</v>
      </c>
      <c r="K20" s="75" t="str">
        <f>_xlfn.XLOOKUP(L20,'Inst summary and ER calculation'!$B$3:$B$904,'Inst summary and ER calculation'!$I$3:$I$904)</f>
        <v>5-6 years</v>
      </c>
      <c r="L20" s="78">
        <v>42170</v>
      </c>
      <c r="M20" s="75" t="s">
        <v>14</v>
      </c>
      <c r="N20" s="75">
        <v>14</v>
      </c>
      <c r="O20" s="75">
        <v>60</v>
      </c>
      <c r="P20" s="75" t="s">
        <v>14</v>
      </c>
      <c r="Q20" s="75" t="s">
        <v>13</v>
      </c>
      <c r="R20" s="75"/>
      <c r="S20" s="75"/>
      <c r="T20" s="75"/>
      <c r="U20" s="31" t="str">
        <f t="shared" si="0"/>
        <v/>
      </c>
      <c r="V20" s="75" t="s">
        <v>14</v>
      </c>
      <c r="W20" s="75" t="s">
        <v>14</v>
      </c>
      <c r="X20" s="75" t="s">
        <v>14</v>
      </c>
      <c r="Y20" s="75" t="s">
        <v>14</v>
      </c>
      <c r="Z20" s="75" t="s">
        <v>14</v>
      </c>
      <c r="AA20" s="75" t="s">
        <v>14</v>
      </c>
      <c r="AB20" s="75" t="s">
        <v>14</v>
      </c>
      <c r="AC20" s="75"/>
    </row>
    <row r="21" spans="1:29" s="30" customFormat="1" ht="15">
      <c r="A21" s="77">
        <v>44212</v>
      </c>
      <c r="B21" s="75" t="s">
        <v>84</v>
      </c>
      <c r="C21" s="75" t="s">
        <v>558</v>
      </c>
      <c r="D21" s="75" t="s">
        <v>226</v>
      </c>
      <c r="E21" s="181" t="s">
        <v>559</v>
      </c>
      <c r="F21" s="75"/>
      <c r="G21" s="75">
        <v>2</v>
      </c>
      <c r="H21" s="75">
        <v>1</v>
      </c>
      <c r="I21" s="75" t="s">
        <v>14</v>
      </c>
      <c r="J21" s="75" t="s">
        <v>560</v>
      </c>
      <c r="K21" s="75" t="str">
        <f>_xlfn.XLOOKUP(L21,'Inst summary and ER calculation'!$B$3:$B$904,'Inst summary and ER calculation'!$I$3:$I$904)</f>
        <v>5-6 years</v>
      </c>
      <c r="L21" s="78">
        <v>42170</v>
      </c>
      <c r="M21" s="75" t="s">
        <v>14</v>
      </c>
      <c r="N21" s="75">
        <v>14</v>
      </c>
      <c r="O21" s="75">
        <v>60</v>
      </c>
      <c r="P21" s="75" t="s">
        <v>14</v>
      </c>
      <c r="Q21" s="75" t="s">
        <v>13</v>
      </c>
      <c r="R21" s="75"/>
      <c r="S21" s="75"/>
      <c r="T21" s="75"/>
      <c r="U21" s="31" t="str">
        <f t="shared" si="0"/>
        <v/>
      </c>
      <c r="V21" s="75" t="s">
        <v>14</v>
      </c>
      <c r="W21" s="75" t="s">
        <v>14</v>
      </c>
      <c r="X21" s="75" t="s">
        <v>14</v>
      </c>
      <c r="Y21" s="75" t="s">
        <v>14</v>
      </c>
      <c r="Z21" s="75" t="s">
        <v>14</v>
      </c>
      <c r="AA21" s="75" t="s">
        <v>14</v>
      </c>
      <c r="AB21" s="75" t="s">
        <v>14</v>
      </c>
      <c r="AC21" s="75"/>
    </row>
    <row r="22" spans="1:29" s="30" customFormat="1" ht="15.75" customHeight="1">
      <c r="A22" s="77">
        <v>44212</v>
      </c>
      <c r="B22" s="75" t="s">
        <v>106</v>
      </c>
      <c r="C22" s="75" t="s">
        <v>320</v>
      </c>
      <c r="D22" s="75" t="s">
        <v>226</v>
      </c>
      <c r="E22" s="181" t="s">
        <v>321</v>
      </c>
      <c r="F22" s="75"/>
      <c r="G22" s="75">
        <v>2</v>
      </c>
      <c r="H22" s="75">
        <v>3</v>
      </c>
      <c r="I22" s="75" t="s">
        <v>14</v>
      </c>
      <c r="J22" s="75" t="s">
        <v>322</v>
      </c>
      <c r="K22" s="75" t="str">
        <f>_xlfn.XLOOKUP(L22,'Inst summary and ER calculation'!$B$3:$B$904,'Inst summary and ER calculation'!$I$3:$I$904)</f>
        <v>5-6 years</v>
      </c>
      <c r="L22" s="78">
        <v>42139</v>
      </c>
      <c r="M22" s="75" t="s">
        <v>13</v>
      </c>
      <c r="N22" s="75"/>
      <c r="O22" s="75"/>
      <c r="P22" s="75"/>
      <c r="Q22" s="75"/>
      <c r="R22" s="75"/>
      <c r="S22" s="75"/>
      <c r="T22" s="75"/>
      <c r="U22" s="31" t="str">
        <f t="shared" si="0"/>
        <v/>
      </c>
      <c r="V22" s="75"/>
      <c r="W22" s="75"/>
      <c r="X22" s="75"/>
      <c r="Y22" s="75"/>
      <c r="Z22" s="75"/>
      <c r="AA22" s="75"/>
      <c r="AB22" s="75"/>
      <c r="AC22" s="75"/>
    </row>
    <row r="23" spans="1:29" s="30" customFormat="1" ht="15">
      <c r="A23" s="77">
        <v>44202</v>
      </c>
      <c r="B23" s="75" t="s">
        <v>139</v>
      </c>
      <c r="C23" s="75" t="s">
        <v>883</v>
      </c>
      <c r="D23" s="75" t="s">
        <v>226</v>
      </c>
      <c r="E23" s="182" t="s">
        <v>604</v>
      </c>
      <c r="F23" s="75"/>
      <c r="G23" s="75">
        <v>2</v>
      </c>
      <c r="H23" s="75">
        <v>4</v>
      </c>
      <c r="I23" s="75" t="s">
        <v>14</v>
      </c>
      <c r="J23" s="75" t="s">
        <v>605</v>
      </c>
      <c r="K23" s="75" t="str">
        <f>_xlfn.XLOOKUP(L23,'Inst summary and ER calculation'!$B$3:$B$904,'Inst summary and ER calculation'!$I$3:$I$904)</f>
        <v>5-6 years</v>
      </c>
      <c r="L23" s="78">
        <v>42145</v>
      </c>
      <c r="M23" s="75" t="s">
        <v>14</v>
      </c>
      <c r="N23" s="75">
        <v>14</v>
      </c>
      <c r="O23" s="75">
        <v>60</v>
      </c>
      <c r="P23" s="75" t="s">
        <v>14</v>
      </c>
      <c r="Q23" s="75" t="s">
        <v>13</v>
      </c>
      <c r="R23" s="75"/>
      <c r="S23" s="75"/>
      <c r="T23" s="75"/>
      <c r="U23" s="31" t="str">
        <f t="shared" si="0"/>
        <v/>
      </c>
      <c r="V23" s="75" t="s">
        <v>14</v>
      </c>
      <c r="W23" s="75" t="s">
        <v>14</v>
      </c>
      <c r="X23" s="75" t="s">
        <v>14</v>
      </c>
      <c r="Y23" s="75" t="s">
        <v>14</v>
      </c>
      <c r="Z23" s="75" t="s">
        <v>14</v>
      </c>
      <c r="AA23" s="75" t="s">
        <v>14</v>
      </c>
      <c r="AB23" s="75" t="s">
        <v>14</v>
      </c>
      <c r="AC23" s="75"/>
    </row>
    <row r="24" spans="1:29" s="30" customFormat="1" ht="15.75" customHeight="1">
      <c r="A24" s="77">
        <v>44210</v>
      </c>
      <c r="B24" s="75" t="s">
        <v>135</v>
      </c>
      <c r="C24" s="75" t="s">
        <v>938</v>
      </c>
      <c r="D24" s="75" t="s">
        <v>226</v>
      </c>
      <c r="E24" s="181" t="s">
        <v>792</v>
      </c>
      <c r="F24" s="75"/>
      <c r="G24" s="75">
        <v>5</v>
      </c>
      <c r="H24" s="75">
        <v>1</v>
      </c>
      <c r="I24" s="75" t="s">
        <v>14</v>
      </c>
      <c r="J24" s="75" t="s">
        <v>793</v>
      </c>
      <c r="K24" s="75" t="str">
        <f>_xlfn.XLOOKUP(L24,'Inst summary and ER calculation'!$B$3:$B$904,'Inst summary and ER calculation'!$I$3:$I$904)</f>
        <v>5-6 years</v>
      </c>
      <c r="L24" s="78">
        <v>42086</v>
      </c>
      <c r="M24" s="75" t="s">
        <v>14</v>
      </c>
      <c r="N24" s="75">
        <v>21</v>
      </c>
      <c r="O24" s="75">
        <v>90</v>
      </c>
      <c r="P24" s="75" t="s">
        <v>14</v>
      </c>
      <c r="Q24" s="75" t="s">
        <v>13</v>
      </c>
      <c r="R24" s="75"/>
      <c r="S24" s="75"/>
      <c r="T24" s="75"/>
      <c r="U24" s="31" t="str">
        <f t="shared" si="0"/>
        <v/>
      </c>
      <c r="V24" s="75" t="s">
        <v>14</v>
      </c>
      <c r="W24" s="75" t="s">
        <v>14</v>
      </c>
      <c r="X24" s="75" t="s">
        <v>14</v>
      </c>
      <c r="Y24" s="75" t="s">
        <v>14</v>
      </c>
      <c r="Z24" s="75" t="s">
        <v>14</v>
      </c>
      <c r="AA24" s="75" t="s">
        <v>14</v>
      </c>
      <c r="AB24" s="75" t="s">
        <v>14</v>
      </c>
      <c r="AC24" s="75"/>
    </row>
    <row r="25" spans="1:29" s="30" customFormat="1" ht="15">
      <c r="A25" s="77">
        <v>44211</v>
      </c>
      <c r="B25" s="75" t="s">
        <v>79</v>
      </c>
      <c r="C25" s="75" t="s">
        <v>435</v>
      </c>
      <c r="D25" s="75" t="s">
        <v>226</v>
      </c>
      <c r="E25" s="181" t="s">
        <v>436</v>
      </c>
      <c r="F25" s="75"/>
      <c r="G25" s="75">
        <v>2</v>
      </c>
      <c r="H25" s="75">
        <v>2</v>
      </c>
      <c r="I25" s="75" t="s">
        <v>14</v>
      </c>
      <c r="J25" s="75" t="s">
        <v>437</v>
      </c>
      <c r="K25" s="75" t="str">
        <f>_xlfn.XLOOKUP(L25,'Inst summary and ER calculation'!$B$3:$B$904,'Inst summary and ER calculation'!$I$3:$I$904)</f>
        <v>5-6 years</v>
      </c>
      <c r="L25" s="78">
        <v>42077</v>
      </c>
      <c r="M25" s="75" t="s">
        <v>14</v>
      </c>
      <c r="N25" s="75">
        <v>14</v>
      </c>
      <c r="O25" s="75">
        <v>60</v>
      </c>
      <c r="P25" s="75" t="s">
        <v>14</v>
      </c>
      <c r="Q25" s="75" t="s">
        <v>13</v>
      </c>
      <c r="R25" s="75"/>
      <c r="S25" s="75"/>
      <c r="T25" s="75"/>
      <c r="U25" s="31" t="str">
        <f t="shared" si="0"/>
        <v/>
      </c>
      <c r="V25" s="75" t="s">
        <v>14</v>
      </c>
      <c r="W25" s="75" t="s">
        <v>14</v>
      </c>
      <c r="X25" s="75" t="s">
        <v>14</v>
      </c>
      <c r="Y25" s="75" t="s">
        <v>14</v>
      </c>
      <c r="Z25" s="75" t="s">
        <v>14</v>
      </c>
      <c r="AA25" s="75" t="s">
        <v>14</v>
      </c>
      <c r="AB25" s="75" t="s">
        <v>14</v>
      </c>
      <c r="AC25" s="75"/>
    </row>
    <row r="26" spans="1:29" s="30" customFormat="1" ht="15.75" customHeight="1">
      <c r="A26" s="77">
        <v>44211</v>
      </c>
      <c r="B26" s="75" t="s">
        <v>244</v>
      </c>
      <c r="C26" s="75" t="s">
        <v>625</v>
      </c>
      <c r="D26" s="75" t="s">
        <v>226</v>
      </c>
      <c r="E26" s="181" t="s">
        <v>626</v>
      </c>
      <c r="F26" s="75"/>
      <c r="G26" s="75">
        <v>4</v>
      </c>
      <c r="H26" s="75">
        <v>1</v>
      </c>
      <c r="I26" s="75" t="s">
        <v>14</v>
      </c>
      <c r="J26" s="75" t="s">
        <v>627</v>
      </c>
      <c r="K26" s="75" t="str">
        <f>_xlfn.XLOOKUP(L26,'Inst summary and ER calculation'!$B$3:$B$904,'Inst summary and ER calculation'!$I$3:$I$904)</f>
        <v>5-6 years</v>
      </c>
      <c r="L26" s="78">
        <v>42157</v>
      </c>
      <c r="M26" s="75" t="s">
        <v>14</v>
      </c>
      <c r="N26" s="75">
        <v>21</v>
      </c>
      <c r="O26" s="75">
        <v>90</v>
      </c>
      <c r="P26" s="75" t="s">
        <v>14</v>
      </c>
      <c r="Q26" s="75" t="s">
        <v>13</v>
      </c>
      <c r="R26" s="75"/>
      <c r="S26" s="75"/>
      <c r="T26" s="75"/>
      <c r="U26" s="31" t="str">
        <f t="shared" si="0"/>
        <v/>
      </c>
      <c r="V26" s="75" t="s">
        <v>14</v>
      </c>
      <c r="W26" s="75" t="s">
        <v>14</v>
      </c>
      <c r="X26" s="75" t="s">
        <v>14</v>
      </c>
      <c r="Y26" s="75" t="s">
        <v>14</v>
      </c>
      <c r="Z26" s="75" t="s">
        <v>14</v>
      </c>
      <c r="AA26" s="75" t="s">
        <v>14</v>
      </c>
      <c r="AB26" s="75" t="s">
        <v>14</v>
      </c>
      <c r="AC26" s="75"/>
    </row>
    <row r="27" spans="1:29" s="30" customFormat="1" ht="15">
      <c r="A27" s="77">
        <v>44210</v>
      </c>
      <c r="B27" s="75" t="s">
        <v>84</v>
      </c>
      <c r="C27" s="75" t="s">
        <v>692</v>
      </c>
      <c r="D27" s="75" t="s">
        <v>226</v>
      </c>
      <c r="E27" s="181" t="s">
        <v>693</v>
      </c>
      <c r="F27" s="75"/>
      <c r="G27" s="75">
        <v>3</v>
      </c>
      <c r="H27" s="75">
        <v>2</v>
      </c>
      <c r="I27" s="75" t="s">
        <v>14</v>
      </c>
      <c r="J27" s="75" t="s">
        <v>694</v>
      </c>
      <c r="K27" s="75" t="str">
        <f>_xlfn.XLOOKUP(L27,'Inst summary and ER calculation'!$B$3:$B$904,'Inst summary and ER calculation'!$I$3:$I$904)</f>
        <v>5-6 years</v>
      </c>
      <c r="L27" s="78">
        <v>42170</v>
      </c>
      <c r="M27" s="75" t="s">
        <v>14</v>
      </c>
      <c r="N27" s="75">
        <v>14</v>
      </c>
      <c r="O27" s="75">
        <v>60</v>
      </c>
      <c r="P27" s="75" t="s">
        <v>14</v>
      </c>
      <c r="Q27" s="75" t="s">
        <v>13</v>
      </c>
      <c r="R27" s="75"/>
      <c r="S27" s="75"/>
      <c r="T27" s="75"/>
      <c r="U27" s="31" t="str">
        <f t="shared" si="0"/>
        <v/>
      </c>
      <c r="V27" s="75" t="s">
        <v>14</v>
      </c>
      <c r="W27" s="75" t="s">
        <v>14</v>
      </c>
      <c r="X27" s="75" t="s">
        <v>14</v>
      </c>
      <c r="Y27" s="75" t="s">
        <v>14</v>
      </c>
      <c r="Z27" s="75" t="s">
        <v>14</v>
      </c>
      <c r="AA27" s="75" t="s">
        <v>14</v>
      </c>
      <c r="AB27" s="75" t="s">
        <v>14</v>
      </c>
      <c r="AC27" s="75"/>
    </row>
    <row r="28" spans="1:29" s="30" customFormat="1" ht="15.75" customHeight="1">
      <c r="A28" s="77">
        <v>44205</v>
      </c>
      <c r="B28" s="75" t="s">
        <v>121</v>
      </c>
      <c r="C28" s="75" t="s">
        <v>937</v>
      </c>
      <c r="D28" s="75" t="s">
        <v>226</v>
      </c>
      <c r="E28" s="180" t="s">
        <v>611</v>
      </c>
      <c r="F28" s="80"/>
      <c r="G28" s="75">
        <v>4</v>
      </c>
      <c r="H28" s="75">
        <v>1</v>
      </c>
      <c r="I28" s="75" t="s">
        <v>14</v>
      </c>
      <c r="J28" s="75" t="s">
        <v>612</v>
      </c>
      <c r="K28" s="75" t="str">
        <f>_xlfn.XLOOKUP(L28,'Inst summary and ER calculation'!$B$3:$B$904,'Inst summary and ER calculation'!$I$3:$I$904)</f>
        <v>6-7 years</v>
      </c>
      <c r="L28" s="78">
        <v>41883</v>
      </c>
      <c r="M28" s="75" t="s">
        <v>14</v>
      </c>
      <c r="N28" s="75">
        <v>20</v>
      </c>
      <c r="O28" s="75">
        <v>82</v>
      </c>
      <c r="P28" s="75" t="s">
        <v>14</v>
      </c>
      <c r="Q28" s="75" t="s">
        <v>13</v>
      </c>
      <c r="R28" s="75"/>
      <c r="S28" s="75"/>
      <c r="T28" s="75"/>
      <c r="U28" s="31" t="str">
        <f t="shared" si="0"/>
        <v/>
      </c>
      <c r="V28" s="75" t="s">
        <v>14</v>
      </c>
      <c r="W28" s="75" t="s">
        <v>14</v>
      </c>
      <c r="X28" s="75" t="s">
        <v>14</v>
      </c>
      <c r="Y28" s="75" t="s">
        <v>14</v>
      </c>
      <c r="Z28" s="75" t="s">
        <v>14</v>
      </c>
      <c r="AA28" s="75" t="s">
        <v>14</v>
      </c>
      <c r="AB28" s="75" t="s">
        <v>14</v>
      </c>
      <c r="AC28" s="75"/>
    </row>
    <row r="29" spans="1:29" s="30" customFormat="1" ht="15">
      <c r="A29" s="77">
        <v>44202</v>
      </c>
      <c r="B29" s="75" t="s">
        <v>110</v>
      </c>
      <c r="C29" s="75" t="s">
        <v>637</v>
      </c>
      <c r="D29" s="80" t="s">
        <v>226</v>
      </c>
      <c r="E29" s="180" t="s">
        <v>638</v>
      </c>
      <c r="F29" s="80"/>
      <c r="G29" s="75">
        <v>2</v>
      </c>
      <c r="H29" s="75">
        <v>1</v>
      </c>
      <c r="I29" s="75" t="s">
        <v>14</v>
      </c>
      <c r="J29" s="75" t="s">
        <v>639</v>
      </c>
      <c r="K29" s="75" t="str">
        <f>_xlfn.XLOOKUP(L29,'Inst summary and ER calculation'!$B$3:$B$904,'Inst summary and ER calculation'!$I$3:$I$904)</f>
        <v>6-7 years</v>
      </c>
      <c r="L29" s="78">
        <v>42061</v>
      </c>
      <c r="M29" s="75" t="s">
        <v>14</v>
      </c>
      <c r="N29" s="75">
        <v>18</v>
      </c>
      <c r="O29" s="75">
        <v>72</v>
      </c>
      <c r="P29" s="75" t="s">
        <v>14</v>
      </c>
      <c r="Q29" s="75" t="s">
        <v>13</v>
      </c>
      <c r="R29" s="75"/>
      <c r="S29" s="75"/>
      <c r="T29" s="75"/>
      <c r="U29" s="31" t="str">
        <f t="shared" si="0"/>
        <v/>
      </c>
      <c r="V29" s="75" t="s">
        <v>14</v>
      </c>
      <c r="W29" s="75" t="s">
        <v>14</v>
      </c>
      <c r="X29" s="75" t="s">
        <v>14</v>
      </c>
      <c r="Y29" s="75" t="s">
        <v>14</v>
      </c>
      <c r="Z29" s="75" t="s">
        <v>14</v>
      </c>
      <c r="AA29" s="75" t="s">
        <v>14</v>
      </c>
      <c r="AB29" s="75" t="s">
        <v>14</v>
      </c>
      <c r="AC29" s="75"/>
    </row>
    <row r="30" spans="1:29" s="30" customFormat="1" ht="15.75" customHeight="1">
      <c r="A30" s="77">
        <v>44211</v>
      </c>
      <c r="B30" s="75" t="s">
        <v>126</v>
      </c>
      <c r="C30" s="75" t="s">
        <v>341</v>
      </c>
      <c r="D30" s="75" t="s">
        <v>226</v>
      </c>
      <c r="E30" s="181" t="s">
        <v>342</v>
      </c>
      <c r="F30" s="75"/>
      <c r="G30" s="75">
        <v>4</v>
      </c>
      <c r="H30" s="75">
        <v>2</v>
      </c>
      <c r="I30" s="75" t="s">
        <v>14</v>
      </c>
      <c r="J30" s="75" t="s">
        <v>343</v>
      </c>
      <c r="K30" s="75" t="str">
        <f>_xlfn.XLOOKUP(L30,'Inst summary and ER calculation'!$B$3:$B$904,'Inst summary and ER calculation'!$I$3:$I$904)</f>
        <v>5-6 years</v>
      </c>
      <c r="L30" s="78">
        <v>42133</v>
      </c>
      <c r="M30" s="75" t="s">
        <v>13</v>
      </c>
      <c r="N30" s="75"/>
      <c r="O30" s="75"/>
      <c r="P30" s="75"/>
      <c r="Q30" s="75"/>
      <c r="R30" s="75"/>
      <c r="S30" s="75"/>
      <c r="T30" s="75"/>
      <c r="U30" s="31" t="str">
        <f t="shared" si="0"/>
        <v/>
      </c>
      <c r="V30" s="75"/>
      <c r="W30" s="75"/>
      <c r="X30" s="75"/>
      <c r="Y30" s="75"/>
      <c r="Z30" s="75"/>
      <c r="AA30" s="75"/>
      <c r="AB30" s="75"/>
      <c r="AC30" s="75"/>
    </row>
    <row r="31" spans="1:29" s="30" customFormat="1" ht="15">
      <c r="A31" s="77">
        <v>44203</v>
      </c>
      <c r="B31" s="75" t="s">
        <v>111</v>
      </c>
      <c r="C31" s="75" t="s">
        <v>907</v>
      </c>
      <c r="D31" s="80" t="s">
        <v>226</v>
      </c>
      <c r="E31" s="182" t="s">
        <v>403</v>
      </c>
      <c r="F31" s="75"/>
      <c r="G31" s="75">
        <v>2</v>
      </c>
      <c r="H31" s="75">
        <v>2</v>
      </c>
      <c r="I31" s="75" t="s">
        <v>14</v>
      </c>
      <c r="J31" s="80" t="s">
        <v>404</v>
      </c>
      <c r="K31" s="75" t="str">
        <f>_xlfn.XLOOKUP(L31,'Inst summary and ER calculation'!$B$3:$B$904,'Inst summary and ER calculation'!$I$3:$I$904)</f>
        <v>6-7 years</v>
      </c>
      <c r="L31" s="81">
        <v>42043</v>
      </c>
      <c r="M31" s="75" t="s">
        <v>14</v>
      </c>
      <c r="N31" s="75">
        <v>21</v>
      </c>
      <c r="O31" s="75">
        <v>90</v>
      </c>
      <c r="P31" s="75" t="s">
        <v>14</v>
      </c>
      <c r="Q31" s="75" t="s">
        <v>13</v>
      </c>
      <c r="R31" s="75"/>
      <c r="S31" s="75"/>
      <c r="T31" s="75"/>
      <c r="U31" s="31" t="str">
        <f t="shared" si="0"/>
        <v/>
      </c>
      <c r="V31" s="75" t="s">
        <v>14</v>
      </c>
      <c r="W31" s="75" t="s">
        <v>14</v>
      </c>
      <c r="X31" s="75" t="s">
        <v>14</v>
      </c>
      <c r="Y31" s="75" t="s">
        <v>14</v>
      </c>
      <c r="Z31" s="75" t="s">
        <v>14</v>
      </c>
      <c r="AA31" s="75" t="s">
        <v>14</v>
      </c>
      <c r="AB31" s="75" t="s">
        <v>14</v>
      </c>
      <c r="AC31" s="75"/>
    </row>
    <row r="32" spans="1:29" s="30" customFormat="1" ht="15.75" customHeight="1">
      <c r="A32" s="77">
        <v>44210</v>
      </c>
      <c r="B32" s="77" t="s">
        <v>16</v>
      </c>
      <c r="C32" s="75" t="s">
        <v>718</v>
      </c>
      <c r="D32" s="80" t="s">
        <v>226</v>
      </c>
      <c r="E32" s="181" t="s">
        <v>719</v>
      </c>
      <c r="F32" s="79"/>
      <c r="G32" s="75">
        <v>5</v>
      </c>
      <c r="H32" s="75">
        <v>0</v>
      </c>
      <c r="I32" s="75" t="s">
        <v>14</v>
      </c>
      <c r="J32" s="79" t="s">
        <v>720</v>
      </c>
      <c r="K32" s="75" t="str">
        <f>_xlfn.XLOOKUP(L32,'Inst summary and ER calculation'!$B$3:$B$904,'Inst summary and ER calculation'!$I$3:$I$904)</f>
        <v>6-7 years</v>
      </c>
      <c r="L32" s="84">
        <v>41835</v>
      </c>
      <c r="M32" s="75" t="s">
        <v>14</v>
      </c>
      <c r="N32" s="75">
        <v>14</v>
      </c>
      <c r="O32" s="75">
        <v>60</v>
      </c>
      <c r="P32" s="75" t="s">
        <v>14</v>
      </c>
      <c r="Q32" s="75" t="s">
        <v>13</v>
      </c>
      <c r="R32" s="75"/>
      <c r="S32" s="75"/>
      <c r="T32" s="75"/>
      <c r="U32" s="31" t="str">
        <f t="shared" si="0"/>
        <v/>
      </c>
      <c r="V32" s="75" t="s">
        <v>14</v>
      </c>
      <c r="W32" s="75" t="s">
        <v>14</v>
      </c>
      <c r="X32" s="75" t="s">
        <v>14</v>
      </c>
      <c r="Y32" s="75" t="s">
        <v>14</v>
      </c>
      <c r="Z32" s="75" t="s">
        <v>14</v>
      </c>
      <c r="AA32" s="75" t="s">
        <v>14</v>
      </c>
      <c r="AB32" s="75" t="s">
        <v>14</v>
      </c>
      <c r="AC32" s="75"/>
    </row>
    <row r="33" spans="1:29" s="30" customFormat="1" ht="15">
      <c r="A33" s="77">
        <v>44212</v>
      </c>
      <c r="B33" s="75" t="s">
        <v>77</v>
      </c>
      <c r="C33" s="75" t="s">
        <v>593</v>
      </c>
      <c r="D33" s="75" t="s">
        <v>226</v>
      </c>
      <c r="E33" s="181" t="s">
        <v>594</v>
      </c>
      <c r="F33" s="75"/>
      <c r="G33" s="75">
        <v>4</v>
      </c>
      <c r="H33" s="75">
        <v>2</v>
      </c>
      <c r="I33" s="75" t="s">
        <v>14</v>
      </c>
      <c r="J33" s="75" t="s">
        <v>595</v>
      </c>
      <c r="K33" s="75" t="str">
        <f>_xlfn.XLOOKUP(L33,'Inst summary and ER calculation'!$B$3:$B$904,'Inst summary and ER calculation'!$I$3:$I$904)</f>
        <v>5-6 years</v>
      </c>
      <c r="L33" s="78">
        <v>42130</v>
      </c>
      <c r="M33" s="75" t="s">
        <v>14</v>
      </c>
      <c r="N33" s="75">
        <v>15</v>
      </c>
      <c r="O33" s="75">
        <v>60</v>
      </c>
      <c r="P33" s="75" t="s">
        <v>14</v>
      </c>
      <c r="Q33" s="75" t="s">
        <v>13</v>
      </c>
      <c r="R33" s="75"/>
      <c r="S33" s="75"/>
      <c r="T33" s="75"/>
      <c r="U33" s="31" t="str">
        <f t="shared" si="0"/>
        <v/>
      </c>
      <c r="V33" s="75" t="s">
        <v>14</v>
      </c>
      <c r="W33" s="75" t="s">
        <v>14</v>
      </c>
      <c r="X33" s="75" t="s">
        <v>14</v>
      </c>
      <c r="Y33" s="75" t="s">
        <v>14</v>
      </c>
      <c r="Z33" s="75" t="s">
        <v>14</v>
      </c>
      <c r="AA33" s="75" t="s">
        <v>14</v>
      </c>
      <c r="AB33" s="75" t="s">
        <v>14</v>
      </c>
      <c r="AC33" s="75"/>
    </row>
    <row r="34" spans="1:29" s="30" customFormat="1" ht="15.75" customHeight="1">
      <c r="A34" s="77">
        <v>44212</v>
      </c>
      <c r="B34" s="75" t="s">
        <v>80</v>
      </c>
      <c r="C34" s="75" t="s">
        <v>41</v>
      </c>
      <c r="D34" s="79" t="s">
        <v>226</v>
      </c>
      <c r="E34" s="181" t="s">
        <v>494</v>
      </c>
      <c r="F34" s="75"/>
      <c r="G34" s="75">
        <v>4</v>
      </c>
      <c r="H34" s="75">
        <v>3</v>
      </c>
      <c r="I34" s="75" t="s">
        <v>14</v>
      </c>
      <c r="J34" s="75" t="s">
        <v>495</v>
      </c>
      <c r="K34" s="75" t="str">
        <f>_xlfn.XLOOKUP(L34,'Inst summary and ER calculation'!$B$3:$B$904,'Inst summary and ER calculation'!$I$3:$I$904)</f>
        <v>5-6 years</v>
      </c>
      <c r="L34" s="78">
        <v>42068</v>
      </c>
      <c r="M34" s="75" t="s">
        <v>14</v>
      </c>
      <c r="N34" s="75">
        <v>14</v>
      </c>
      <c r="O34" s="75">
        <v>60</v>
      </c>
      <c r="P34" s="75" t="s">
        <v>14</v>
      </c>
      <c r="Q34" s="75" t="s">
        <v>13</v>
      </c>
      <c r="R34" s="75"/>
      <c r="S34" s="75"/>
      <c r="T34" s="75"/>
      <c r="U34" s="31" t="str">
        <f t="shared" si="0"/>
        <v/>
      </c>
      <c r="V34" s="75" t="s">
        <v>14</v>
      </c>
      <c r="W34" s="75" t="s">
        <v>14</v>
      </c>
      <c r="X34" s="75" t="s">
        <v>14</v>
      </c>
      <c r="Y34" s="75" t="s">
        <v>14</v>
      </c>
      <c r="Z34" s="75" t="s">
        <v>14</v>
      </c>
      <c r="AA34" s="75" t="s">
        <v>14</v>
      </c>
      <c r="AB34" s="75" t="s">
        <v>14</v>
      </c>
      <c r="AC34" s="75"/>
    </row>
    <row r="35" spans="1:29" s="30" customFormat="1" ht="15">
      <c r="A35" s="77">
        <v>44202</v>
      </c>
      <c r="B35" s="75" t="s">
        <v>265</v>
      </c>
      <c r="C35" s="75" t="s">
        <v>37</v>
      </c>
      <c r="D35" s="75" t="s">
        <v>226</v>
      </c>
      <c r="E35" s="182" t="s">
        <v>767</v>
      </c>
      <c r="F35" s="75"/>
      <c r="G35" s="75">
        <v>2</v>
      </c>
      <c r="H35" s="75">
        <v>2</v>
      </c>
      <c r="I35" s="75" t="s">
        <v>14</v>
      </c>
      <c r="J35" s="75" t="s">
        <v>768</v>
      </c>
      <c r="K35" s="75" t="str">
        <f>_xlfn.XLOOKUP(L35,'Inst summary and ER calculation'!$B$3:$B$904,'Inst summary and ER calculation'!$I$3:$I$904)</f>
        <v>5-6 years</v>
      </c>
      <c r="L35" s="78">
        <v>42146</v>
      </c>
      <c r="M35" s="75" t="s">
        <v>14</v>
      </c>
      <c r="N35" s="75">
        <v>14</v>
      </c>
      <c r="O35" s="75">
        <v>60</v>
      </c>
      <c r="P35" s="75" t="s">
        <v>14</v>
      </c>
      <c r="Q35" s="75" t="s">
        <v>13</v>
      </c>
      <c r="R35" s="75"/>
      <c r="S35" s="75"/>
      <c r="T35" s="75"/>
      <c r="U35" s="31" t="str">
        <f t="shared" ref="U35:U66" si="1">IF(R35="Yes",MAX(S35/(S35+N35),T35/(T35+O35)),"")</f>
        <v/>
      </c>
      <c r="V35" s="75" t="s">
        <v>14</v>
      </c>
      <c r="W35" s="75" t="s">
        <v>14</v>
      </c>
      <c r="X35" s="75" t="s">
        <v>14</v>
      </c>
      <c r="Y35" s="75" t="s">
        <v>14</v>
      </c>
      <c r="Z35" s="75" t="s">
        <v>14</v>
      </c>
      <c r="AA35" s="75" t="s">
        <v>14</v>
      </c>
      <c r="AB35" s="75" t="s">
        <v>14</v>
      </c>
      <c r="AC35" s="75"/>
    </row>
    <row r="36" spans="1:29" s="30" customFormat="1" ht="15.75" customHeight="1">
      <c r="A36" s="77">
        <v>44211</v>
      </c>
      <c r="B36" s="75" t="s">
        <v>231</v>
      </c>
      <c r="C36" s="75" t="s">
        <v>444</v>
      </c>
      <c r="D36" s="75" t="s">
        <v>226</v>
      </c>
      <c r="E36" s="181" t="s">
        <v>445</v>
      </c>
      <c r="F36" s="75"/>
      <c r="G36" s="75">
        <v>3</v>
      </c>
      <c r="H36" s="75">
        <v>1</v>
      </c>
      <c r="I36" s="75" t="s">
        <v>14</v>
      </c>
      <c r="J36" s="75" t="s">
        <v>446</v>
      </c>
      <c r="K36" s="75" t="str">
        <f>_xlfn.XLOOKUP(L36,'Inst summary and ER calculation'!$B$3:$B$904,'Inst summary and ER calculation'!$I$3:$I$904)</f>
        <v>5-6 years</v>
      </c>
      <c r="L36" s="78">
        <v>42146</v>
      </c>
      <c r="M36" s="75" t="s">
        <v>14</v>
      </c>
      <c r="N36" s="75">
        <v>15</v>
      </c>
      <c r="O36" s="75">
        <v>62</v>
      </c>
      <c r="P36" s="75" t="s">
        <v>14</v>
      </c>
      <c r="Q36" s="75" t="s">
        <v>13</v>
      </c>
      <c r="R36" s="75"/>
      <c r="S36" s="75"/>
      <c r="T36" s="75"/>
      <c r="U36" s="31" t="str">
        <f t="shared" si="1"/>
        <v/>
      </c>
      <c r="V36" s="75" t="s">
        <v>14</v>
      </c>
      <c r="W36" s="75" t="s">
        <v>14</v>
      </c>
      <c r="X36" s="75" t="s">
        <v>14</v>
      </c>
      <c r="Y36" s="75" t="s">
        <v>14</v>
      </c>
      <c r="Z36" s="75" t="s">
        <v>14</v>
      </c>
      <c r="AA36" s="75" t="s">
        <v>14</v>
      </c>
      <c r="AB36" s="75" t="s">
        <v>14</v>
      </c>
      <c r="AC36" s="75"/>
    </row>
    <row r="37" spans="1:29" s="30" customFormat="1" ht="15">
      <c r="A37" s="77">
        <v>44211</v>
      </c>
      <c r="B37" s="75" t="s">
        <v>259</v>
      </c>
      <c r="C37" s="75" t="s">
        <v>361</v>
      </c>
      <c r="D37" s="80" t="s">
        <v>226</v>
      </c>
      <c r="E37" s="181" t="s">
        <v>362</v>
      </c>
      <c r="F37" s="75"/>
      <c r="G37" s="75">
        <v>4</v>
      </c>
      <c r="H37" s="75">
        <v>2</v>
      </c>
      <c r="I37" s="75" t="s">
        <v>14</v>
      </c>
      <c r="J37" s="75" t="s">
        <v>363</v>
      </c>
      <c r="K37" s="75" t="str">
        <f>_xlfn.XLOOKUP(L37,'Inst summary and ER calculation'!$B$3:$B$904,'Inst summary and ER calculation'!$I$3:$I$904)</f>
        <v>6-7 years</v>
      </c>
      <c r="L37" s="78">
        <v>42034</v>
      </c>
      <c r="M37" s="75" t="s">
        <v>13</v>
      </c>
      <c r="N37" s="75"/>
      <c r="O37" s="75"/>
      <c r="P37" s="75"/>
      <c r="Q37" s="75"/>
      <c r="R37" s="75"/>
      <c r="S37" s="75"/>
      <c r="T37" s="75"/>
      <c r="U37" s="31" t="str">
        <f t="shared" si="1"/>
        <v/>
      </c>
      <c r="V37" s="75"/>
      <c r="W37" s="75"/>
      <c r="X37" s="75"/>
      <c r="Y37" s="75"/>
      <c r="Z37" s="75"/>
      <c r="AA37" s="75"/>
      <c r="AB37" s="75"/>
      <c r="AC37" s="75"/>
    </row>
    <row r="38" spans="1:29" s="30" customFormat="1" ht="15.75" customHeight="1">
      <c r="A38" s="77">
        <v>44205</v>
      </c>
      <c r="B38" s="75" t="s">
        <v>136</v>
      </c>
      <c r="C38" s="75" t="s">
        <v>464</v>
      </c>
      <c r="D38" s="75" t="s">
        <v>226</v>
      </c>
      <c r="E38" s="182" t="s">
        <v>465</v>
      </c>
      <c r="F38" s="75"/>
      <c r="G38" s="75">
        <v>2</v>
      </c>
      <c r="H38" s="75">
        <v>2</v>
      </c>
      <c r="I38" s="75" t="s">
        <v>14</v>
      </c>
      <c r="J38" s="75" t="s">
        <v>466</v>
      </c>
      <c r="K38" s="75" t="str">
        <f>_xlfn.XLOOKUP(L38,'Inst summary and ER calculation'!$B$3:$B$904,'Inst summary and ER calculation'!$I$3:$I$904)</f>
        <v>6-7 years</v>
      </c>
      <c r="L38" s="84">
        <v>42049</v>
      </c>
      <c r="M38" s="75" t="s">
        <v>14</v>
      </c>
      <c r="N38" s="75">
        <v>21</v>
      </c>
      <c r="O38" s="75">
        <v>90</v>
      </c>
      <c r="P38" s="75" t="s">
        <v>14</v>
      </c>
      <c r="Q38" s="75" t="s">
        <v>13</v>
      </c>
      <c r="R38" s="75"/>
      <c r="S38" s="75"/>
      <c r="T38" s="75"/>
      <c r="U38" s="31" t="str">
        <f t="shared" si="1"/>
        <v/>
      </c>
      <c r="V38" s="75" t="s">
        <v>14</v>
      </c>
      <c r="W38" s="75" t="s">
        <v>14</v>
      </c>
      <c r="X38" s="75" t="s">
        <v>14</v>
      </c>
      <c r="Y38" s="75" t="s">
        <v>14</v>
      </c>
      <c r="Z38" s="75" t="s">
        <v>14</v>
      </c>
      <c r="AA38" s="75" t="s">
        <v>14</v>
      </c>
      <c r="AB38" s="75" t="s">
        <v>14</v>
      </c>
      <c r="AC38" s="75"/>
    </row>
    <row r="39" spans="1:29" s="30" customFormat="1" ht="15">
      <c r="A39" s="77">
        <v>44211</v>
      </c>
      <c r="B39" s="75" t="s">
        <v>106</v>
      </c>
      <c r="C39" s="75" t="s">
        <v>667</v>
      </c>
      <c r="D39" s="75" t="s">
        <v>226</v>
      </c>
      <c r="E39" s="181" t="s">
        <v>668</v>
      </c>
      <c r="F39" s="75"/>
      <c r="G39" s="75">
        <v>4</v>
      </c>
      <c r="H39" s="75">
        <v>2</v>
      </c>
      <c r="I39" s="75" t="s">
        <v>14</v>
      </c>
      <c r="J39" s="75" t="s">
        <v>669</v>
      </c>
      <c r="K39" s="75" t="str">
        <f>_xlfn.XLOOKUP(L39,'Inst summary and ER calculation'!$B$3:$B$904,'Inst summary and ER calculation'!$I$3:$I$904)</f>
        <v>5-6 years</v>
      </c>
      <c r="L39" s="78">
        <v>42086</v>
      </c>
      <c r="M39" s="75" t="s">
        <v>14</v>
      </c>
      <c r="N39" s="75">
        <v>14</v>
      </c>
      <c r="O39" s="75">
        <v>60</v>
      </c>
      <c r="P39" s="75" t="s">
        <v>14</v>
      </c>
      <c r="Q39" s="75" t="s">
        <v>13</v>
      </c>
      <c r="R39" s="75"/>
      <c r="S39" s="75"/>
      <c r="T39" s="75"/>
      <c r="U39" s="31" t="str">
        <f t="shared" si="1"/>
        <v/>
      </c>
      <c r="V39" s="75" t="s">
        <v>14</v>
      </c>
      <c r="W39" s="75" t="s">
        <v>14</v>
      </c>
      <c r="X39" s="75" t="s">
        <v>14</v>
      </c>
      <c r="Y39" s="75" t="s">
        <v>14</v>
      </c>
      <c r="Z39" s="75" t="s">
        <v>14</v>
      </c>
      <c r="AA39" s="75" t="s">
        <v>14</v>
      </c>
      <c r="AB39" s="75" t="s">
        <v>14</v>
      </c>
      <c r="AC39" s="75"/>
    </row>
    <row r="40" spans="1:29" s="30" customFormat="1" ht="15.75" customHeight="1">
      <c r="A40" s="77">
        <v>44201</v>
      </c>
      <c r="B40" s="75" t="s">
        <v>84</v>
      </c>
      <c r="C40" s="75" t="s">
        <v>933</v>
      </c>
      <c r="D40" s="79" t="s">
        <v>226</v>
      </c>
      <c r="E40" s="181" t="s">
        <v>687</v>
      </c>
      <c r="F40" s="79"/>
      <c r="G40" s="75">
        <v>4</v>
      </c>
      <c r="H40" s="75">
        <v>1</v>
      </c>
      <c r="I40" s="75" t="s">
        <v>14</v>
      </c>
      <c r="J40" s="80" t="s">
        <v>688</v>
      </c>
      <c r="K40" s="75" t="str">
        <f>_xlfn.XLOOKUP(L40,'Inst summary and ER calculation'!$B$3:$B$904,'Inst summary and ER calculation'!$I$3:$I$904)</f>
        <v>6-7 years</v>
      </c>
      <c r="L40" s="84">
        <v>41835</v>
      </c>
      <c r="M40" s="75" t="s">
        <v>14</v>
      </c>
      <c r="N40" s="75">
        <v>14</v>
      </c>
      <c r="O40" s="75">
        <v>60</v>
      </c>
      <c r="P40" s="75" t="s">
        <v>14</v>
      </c>
      <c r="Q40" s="75" t="s">
        <v>13</v>
      </c>
      <c r="R40" s="75"/>
      <c r="S40" s="75"/>
      <c r="T40" s="75"/>
      <c r="U40" s="31" t="str">
        <f t="shared" si="1"/>
        <v/>
      </c>
      <c r="V40" s="75" t="s">
        <v>14</v>
      </c>
      <c r="W40" s="75" t="s">
        <v>14</v>
      </c>
      <c r="X40" s="75" t="s">
        <v>14</v>
      </c>
      <c r="Y40" s="75" t="s">
        <v>14</v>
      </c>
      <c r="Z40" s="75" t="s">
        <v>14</v>
      </c>
      <c r="AA40" s="75" t="s">
        <v>14</v>
      </c>
      <c r="AB40" s="75" t="s">
        <v>14</v>
      </c>
      <c r="AC40" s="75"/>
    </row>
    <row r="41" spans="1:29" s="30" customFormat="1" ht="15">
      <c r="A41" s="77">
        <v>44200</v>
      </c>
      <c r="B41" s="75" t="s">
        <v>31</v>
      </c>
      <c r="C41" s="75" t="s">
        <v>81</v>
      </c>
      <c r="D41" s="75" t="s">
        <v>226</v>
      </c>
      <c r="E41" s="182" t="s">
        <v>794</v>
      </c>
      <c r="F41" s="75"/>
      <c r="G41" s="75">
        <v>2</v>
      </c>
      <c r="H41" s="75">
        <v>0</v>
      </c>
      <c r="I41" s="75" t="s">
        <v>14</v>
      </c>
      <c r="J41" s="75" t="s">
        <v>795</v>
      </c>
      <c r="K41" s="75" t="str">
        <f>_xlfn.XLOOKUP(L41,'Inst summary and ER calculation'!$B$3:$B$904,'Inst summary and ER calculation'!$I$3:$I$904)</f>
        <v>6-7 years</v>
      </c>
      <c r="L41" s="78">
        <v>41878</v>
      </c>
      <c r="M41" s="75" t="s">
        <v>14</v>
      </c>
      <c r="N41" s="75">
        <v>21</v>
      </c>
      <c r="O41" s="75">
        <v>91</v>
      </c>
      <c r="P41" s="75" t="s">
        <v>14</v>
      </c>
      <c r="Q41" s="75" t="s">
        <v>13</v>
      </c>
      <c r="R41" s="75"/>
      <c r="S41" s="75"/>
      <c r="T41" s="75"/>
      <c r="U41" s="31" t="str">
        <f t="shared" si="1"/>
        <v/>
      </c>
      <c r="V41" s="75" t="s">
        <v>14</v>
      </c>
      <c r="W41" s="75" t="s">
        <v>14</v>
      </c>
      <c r="X41" s="75" t="s">
        <v>14</v>
      </c>
      <c r="Y41" s="75" t="s">
        <v>14</v>
      </c>
      <c r="Z41" s="75" t="s">
        <v>14</v>
      </c>
      <c r="AA41" s="75" t="s">
        <v>14</v>
      </c>
      <c r="AB41" s="75" t="s">
        <v>14</v>
      </c>
      <c r="AC41" s="75"/>
    </row>
    <row r="42" spans="1:29" s="30" customFormat="1" ht="15.75" customHeight="1">
      <c r="A42" s="77">
        <v>44211</v>
      </c>
      <c r="B42" s="75" t="s">
        <v>235</v>
      </c>
      <c r="C42" s="75" t="s">
        <v>335</v>
      </c>
      <c r="D42" s="75" t="s">
        <v>226</v>
      </c>
      <c r="E42" s="181" t="s">
        <v>336</v>
      </c>
      <c r="F42" s="75"/>
      <c r="G42" s="75">
        <v>4</v>
      </c>
      <c r="H42" s="75">
        <v>0</v>
      </c>
      <c r="I42" s="75" t="s">
        <v>14</v>
      </c>
      <c r="J42" s="75" t="s">
        <v>337</v>
      </c>
      <c r="K42" s="75" t="str">
        <f>_xlfn.XLOOKUP(L42,'Inst summary and ER calculation'!$B$3:$B$904,'Inst summary and ER calculation'!$I$3:$I$904)</f>
        <v>6-7 years</v>
      </c>
      <c r="L42" s="78">
        <v>41883</v>
      </c>
      <c r="M42" s="75" t="s">
        <v>13</v>
      </c>
      <c r="N42" s="75"/>
      <c r="O42" s="75"/>
      <c r="P42" s="75"/>
      <c r="Q42" s="75"/>
      <c r="R42" s="75"/>
      <c r="S42" s="75"/>
      <c r="T42" s="75"/>
      <c r="U42" s="31" t="str">
        <f t="shared" si="1"/>
        <v/>
      </c>
      <c r="V42" s="75"/>
      <c r="W42" s="75"/>
      <c r="X42" s="75"/>
      <c r="Y42" s="75"/>
      <c r="Z42" s="75"/>
      <c r="AA42" s="75"/>
      <c r="AB42" s="75"/>
      <c r="AC42" s="75"/>
    </row>
    <row r="43" spans="1:29" s="30" customFormat="1" ht="15">
      <c r="A43" s="77">
        <v>44212</v>
      </c>
      <c r="B43" s="75" t="s">
        <v>256</v>
      </c>
      <c r="C43" s="75" t="s">
        <v>504</v>
      </c>
      <c r="D43" s="75" t="s">
        <v>226</v>
      </c>
      <c r="E43" s="181" t="s">
        <v>505</v>
      </c>
      <c r="F43" s="75"/>
      <c r="G43" s="75">
        <v>3</v>
      </c>
      <c r="H43" s="75">
        <v>0</v>
      </c>
      <c r="I43" s="75" t="s">
        <v>14</v>
      </c>
      <c r="J43" s="75" t="s">
        <v>506</v>
      </c>
      <c r="K43" s="75" t="str">
        <f>_xlfn.XLOOKUP(L43,'Inst summary and ER calculation'!$B$3:$B$904,'Inst summary and ER calculation'!$I$3:$I$904)</f>
        <v>5-6 years</v>
      </c>
      <c r="L43" s="78">
        <v>42184</v>
      </c>
      <c r="M43" s="75" t="s">
        <v>14</v>
      </c>
      <c r="N43" s="75">
        <v>14</v>
      </c>
      <c r="O43" s="75">
        <v>60</v>
      </c>
      <c r="P43" s="75" t="s">
        <v>14</v>
      </c>
      <c r="Q43" s="75" t="s">
        <v>13</v>
      </c>
      <c r="R43" s="75"/>
      <c r="S43" s="75"/>
      <c r="T43" s="75"/>
      <c r="U43" s="31" t="str">
        <f t="shared" si="1"/>
        <v/>
      </c>
      <c r="V43" s="75" t="s">
        <v>14</v>
      </c>
      <c r="W43" s="75" t="s">
        <v>14</v>
      </c>
      <c r="X43" s="75" t="s">
        <v>14</v>
      </c>
      <c r="Y43" s="75" t="s">
        <v>14</v>
      </c>
      <c r="Z43" s="75" t="s">
        <v>14</v>
      </c>
      <c r="AA43" s="75" t="s">
        <v>14</v>
      </c>
      <c r="AB43" s="75" t="s">
        <v>14</v>
      </c>
      <c r="AC43" s="75"/>
    </row>
    <row r="44" spans="1:29" s="30" customFormat="1" ht="15.75" customHeight="1">
      <c r="A44" s="77">
        <v>44205</v>
      </c>
      <c r="B44" s="75" t="s">
        <v>137</v>
      </c>
      <c r="C44" s="75" t="s">
        <v>515</v>
      </c>
      <c r="D44" s="79" t="s">
        <v>226</v>
      </c>
      <c r="E44" s="182" t="s">
        <v>516</v>
      </c>
      <c r="F44" s="75"/>
      <c r="G44" s="75">
        <v>2</v>
      </c>
      <c r="H44" s="75">
        <v>2</v>
      </c>
      <c r="I44" s="75" t="s">
        <v>14</v>
      </c>
      <c r="J44" s="80" t="s">
        <v>517</v>
      </c>
      <c r="K44" s="75" t="str">
        <f>_xlfn.XLOOKUP(L44,'Inst summary and ER calculation'!$B$3:$B$904,'Inst summary and ER calculation'!$I$3:$I$904)</f>
        <v>6-7 years</v>
      </c>
      <c r="L44" s="81">
        <v>41900</v>
      </c>
      <c r="M44" s="75" t="s">
        <v>14</v>
      </c>
      <c r="N44" s="75">
        <v>14</v>
      </c>
      <c r="O44" s="75">
        <v>60</v>
      </c>
      <c r="P44" s="75" t="s">
        <v>14</v>
      </c>
      <c r="Q44" s="75" t="s">
        <v>13</v>
      </c>
      <c r="R44" s="75"/>
      <c r="S44" s="75"/>
      <c r="T44" s="75"/>
      <c r="U44" s="31" t="str">
        <f t="shared" si="1"/>
        <v/>
      </c>
      <c r="V44" s="75" t="s">
        <v>14</v>
      </c>
      <c r="W44" s="75" t="s">
        <v>14</v>
      </c>
      <c r="X44" s="75" t="s">
        <v>14</v>
      </c>
      <c r="Y44" s="75" t="s">
        <v>14</v>
      </c>
      <c r="Z44" s="75" t="s">
        <v>14</v>
      </c>
      <c r="AA44" s="75" t="s">
        <v>14</v>
      </c>
      <c r="AB44" s="75" t="s">
        <v>14</v>
      </c>
      <c r="AC44" s="75"/>
    </row>
    <row r="45" spans="1:29" s="30" customFormat="1" ht="15">
      <c r="A45" s="77">
        <v>44211</v>
      </c>
      <c r="B45" s="75" t="s">
        <v>235</v>
      </c>
      <c r="C45" s="75" t="s">
        <v>654</v>
      </c>
      <c r="D45" s="75" t="s">
        <v>226</v>
      </c>
      <c r="E45" s="181" t="s">
        <v>655</v>
      </c>
      <c r="F45" s="75"/>
      <c r="G45" s="75">
        <v>2</v>
      </c>
      <c r="H45" s="75">
        <v>1</v>
      </c>
      <c r="I45" s="75" t="s">
        <v>14</v>
      </c>
      <c r="J45" s="75" t="s">
        <v>656</v>
      </c>
      <c r="K45" s="75" t="str">
        <f>_xlfn.XLOOKUP(L45,'Inst summary and ER calculation'!$B$3:$B$904,'Inst summary and ER calculation'!$I$3:$I$904)</f>
        <v>6-7 years</v>
      </c>
      <c r="L45" s="78">
        <v>42001</v>
      </c>
      <c r="M45" s="75" t="s">
        <v>14</v>
      </c>
      <c r="N45" s="75">
        <v>18</v>
      </c>
      <c r="O45" s="75">
        <v>74</v>
      </c>
      <c r="P45" s="75" t="s">
        <v>14</v>
      </c>
      <c r="Q45" s="75" t="s">
        <v>13</v>
      </c>
      <c r="R45" s="75"/>
      <c r="S45" s="75"/>
      <c r="T45" s="75"/>
      <c r="U45" s="31" t="str">
        <f t="shared" si="1"/>
        <v/>
      </c>
      <c r="V45" s="75" t="s">
        <v>14</v>
      </c>
      <c r="W45" s="75" t="s">
        <v>14</v>
      </c>
      <c r="X45" s="75" t="s">
        <v>14</v>
      </c>
      <c r="Y45" s="75" t="s">
        <v>14</v>
      </c>
      <c r="Z45" s="75" t="s">
        <v>14</v>
      </c>
      <c r="AA45" s="75" t="s">
        <v>14</v>
      </c>
      <c r="AB45" s="75" t="s">
        <v>14</v>
      </c>
      <c r="AC45" s="75"/>
    </row>
    <row r="46" spans="1:29" s="30" customFormat="1" ht="15.75" customHeight="1">
      <c r="A46" s="77">
        <v>44207</v>
      </c>
      <c r="B46" s="75" t="s">
        <v>84</v>
      </c>
      <c r="C46" s="75" t="s">
        <v>491</v>
      </c>
      <c r="D46" s="75" t="s">
        <v>226</v>
      </c>
      <c r="E46" s="181" t="s">
        <v>492</v>
      </c>
      <c r="F46" s="79"/>
      <c r="G46" s="75">
        <v>3</v>
      </c>
      <c r="H46" s="75">
        <v>0</v>
      </c>
      <c r="I46" s="75" t="s">
        <v>14</v>
      </c>
      <c r="J46" s="79" t="s">
        <v>493</v>
      </c>
      <c r="K46" s="75" t="str">
        <f>_xlfn.XLOOKUP(L46,'Inst summary and ER calculation'!$B$3:$B$904,'Inst summary and ER calculation'!$I$3:$I$904)</f>
        <v>6-7 years</v>
      </c>
      <c r="L46" s="87">
        <v>41893</v>
      </c>
      <c r="M46" s="75" t="s">
        <v>14</v>
      </c>
      <c r="N46" s="75">
        <v>14</v>
      </c>
      <c r="O46" s="75">
        <v>60</v>
      </c>
      <c r="P46" s="75" t="s">
        <v>14</v>
      </c>
      <c r="Q46" s="75" t="s">
        <v>13</v>
      </c>
      <c r="R46" s="75"/>
      <c r="S46" s="75"/>
      <c r="T46" s="75"/>
      <c r="U46" s="31" t="str">
        <f t="shared" si="1"/>
        <v/>
      </c>
      <c r="V46" s="75" t="s">
        <v>14</v>
      </c>
      <c r="W46" s="75" t="s">
        <v>14</v>
      </c>
      <c r="X46" s="75" t="s">
        <v>14</v>
      </c>
      <c r="Y46" s="75" t="s">
        <v>14</v>
      </c>
      <c r="Z46" s="75" t="s">
        <v>14</v>
      </c>
      <c r="AA46" s="75" t="s">
        <v>14</v>
      </c>
      <c r="AB46" s="75" t="s">
        <v>14</v>
      </c>
      <c r="AC46" s="75"/>
    </row>
    <row r="47" spans="1:29" s="30" customFormat="1" ht="15">
      <c r="A47" s="77">
        <v>44210</v>
      </c>
      <c r="B47" s="75" t="s">
        <v>229</v>
      </c>
      <c r="C47" s="75" t="s">
        <v>474</v>
      </c>
      <c r="D47" s="75" t="s">
        <v>226</v>
      </c>
      <c r="E47" s="181" t="s">
        <v>475</v>
      </c>
      <c r="F47" s="75"/>
      <c r="G47" s="75">
        <v>2</v>
      </c>
      <c r="H47" s="75">
        <v>1</v>
      </c>
      <c r="I47" s="75" t="s">
        <v>14</v>
      </c>
      <c r="J47" s="75" t="s">
        <v>476</v>
      </c>
      <c r="K47" s="75" t="str">
        <f>_xlfn.XLOOKUP(L47,'Inst summary and ER calculation'!$B$3:$B$904,'Inst summary and ER calculation'!$I$3:$I$904)</f>
        <v>5-6 years</v>
      </c>
      <c r="L47" s="78">
        <v>42124</v>
      </c>
      <c r="M47" s="75" t="s">
        <v>14</v>
      </c>
      <c r="N47" s="75">
        <v>21</v>
      </c>
      <c r="O47" s="75">
        <v>85</v>
      </c>
      <c r="P47" s="75" t="s">
        <v>14</v>
      </c>
      <c r="Q47" s="75" t="s">
        <v>13</v>
      </c>
      <c r="R47" s="75"/>
      <c r="S47" s="75"/>
      <c r="T47" s="75"/>
      <c r="U47" s="31" t="str">
        <f t="shared" si="1"/>
        <v/>
      </c>
      <c r="V47" s="75" t="s">
        <v>14</v>
      </c>
      <c r="W47" s="75" t="s">
        <v>14</v>
      </c>
      <c r="X47" s="75" t="s">
        <v>14</v>
      </c>
      <c r="Y47" s="75" t="s">
        <v>14</v>
      </c>
      <c r="Z47" s="75" t="s">
        <v>14</v>
      </c>
      <c r="AA47" s="75" t="s">
        <v>14</v>
      </c>
      <c r="AB47" s="75" t="s">
        <v>14</v>
      </c>
      <c r="AC47" s="75"/>
    </row>
    <row r="48" spans="1:29" s="30" customFormat="1" ht="15.75" customHeight="1">
      <c r="A48" s="77">
        <v>44203</v>
      </c>
      <c r="B48" s="75" t="s">
        <v>117</v>
      </c>
      <c r="C48" s="75" t="s">
        <v>344</v>
      </c>
      <c r="D48" s="79" t="s">
        <v>226</v>
      </c>
      <c r="E48" s="180" t="s">
        <v>345</v>
      </c>
      <c r="F48" s="80"/>
      <c r="G48" s="75">
        <v>2</v>
      </c>
      <c r="H48" s="75">
        <v>4</v>
      </c>
      <c r="I48" s="75" t="s">
        <v>14</v>
      </c>
      <c r="J48" s="75" t="s">
        <v>346</v>
      </c>
      <c r="K48" s="75" t="str">
        <f>_xlfn.XLOOKUP(L48,'Inst summary and ER calculation'!$B$3:$B$904,'Inst summary and ER calculation'!$I$3:$I$904)</f>
        <v>6-7 years</v>
      </c>
      <c r="L48" s="81">
        <v>41927</v>
      </c>
      <c r="M48" s="75" t="s">
        <v>13</v>
      </c>
      <c r="N48" s="75"/>
      <c r="O48" s="75"/>
      <c r="P48" s="75"/>
      <c r="Q48" s="75"/>
      <c r="R48" s="75"/>
      <c r="S48" s="75"/>
      <c r="T48" s="75"/>
      <c r="U48" s="31" t="str">
        <f t="shared" si="1"/>
        <v/>
      </c>
      <c r="V48" s="75"/>
      <c r="W48" s="75"/>
      <c r="X48" s="75"/>
      <c r="Y48" s="75"/>
      <c r="Z48" s="75"/>
      <c r="AA48" s="75"/>
      <c r="AB48" s="75"/>
      <c r="AC48" s="75"/>
    </row>
    <row r="49" spans="1:29" s="30" customFormat="1" ht="15">
      <c r="A49" s="77">
        <v>44210</v>
      </c>
      <c r="B49" s="75" t="s">
        <v>239</v>
      </c>
      <c r="C49" s="75" t="s">
        <v>405</v>
      </c>
      <c r="D49" s="75" t="s">
        <v>226</v>
      </c>
      <c r="E49" s="181" t="s">
        <v>406</v>
      </c>
      <c r="F49" s="75"/>
      <c r="G49" s="75">
        <v>3</v>
      </c>
      <c r="H49" s="75">
        <v>4</v>
      </c>
      <c r="I49" s="75" t="s">
        <v>14</v>
      </c>
      <c r="J49" s="75" t="s">
        <v>407</v>
      </c>
      <c r="K49" s="75" t="str">
        <f>_xlfn.XLOOKUP(L49,'Inst summary and ER calculation'!$B$3:$B$904,'Inst summary and ER calculation'!$I$3:$I$904)</f>
        <v>5-6 years</v>
      </c>
      <c r="L49" s="78">
        <v>42078</v>
      </c>
      <c r="M49" s="75" t="s">
        <v>14</v>
      </c>
      <c r="N49" s="75">
        <v>14</v>
      </c>
      <c r="O49" s="75">
        <v>60</v>
      </c>
      <c r="P49" s="75" t="s">
        <v>14</v>
      </c>
      <c r="Q49" s="75" t="s">
        <v>13</v>
      </c>
      <c r="R49" s="75"/>
      <c r="S49" s="75"/>
      <c r="T49" s="75"/>
      <c r="U49" s="31" t="str">
        <f t="shared" si="1"/>
        <v/>
      </c>
      <c r="V49" s="75" t="s">
        <v>14</v>
      </c>
      <c r="W49" s="75" t="s">
        <v>14</v>
      </c>
      <c r="X49" s="75" t="s">
        <v>14</v>
      </c>
      <c r="Y49" s="75" t="s">
        <v>14</v>
      </c>
      <c r="Z49" s="75" t="s">
        <v>14</v>
      </c>
      <c r="AA49" s="75" t="s">
        <v>14</v>
      </c>
      <c r="AB49" s="75" t="s">
        <v>14</v>
      </c>
      <c r="AC49" s="75"/>
    </row>
    <row r="50" spans="1:29" s="30" customFormat="1" ht="15.75" customHeight="1">
      <c r="A50" s="77">
        <v>44212</v>
      </c>
      <c r="B50" s="75" t="s">
        <v>230</v>
      </c>
      <c r="C50" s="75" t="s">
        <v>885</v>
      </c>
      <c r="D50" s="75" t="s">
        <v>226</v>
      </c>
      <c r="E50" s="181" t="s">
        <v>660</v>
      </c>
      <c r="F50" s="75"/>
      <c r="G50" s="75">
        <v>2</v>
      </c>
      <c r="H50" s="75">
        <v>4</v>
      </c>
      <c r="I50" s="75" t="s">
        <v>14</v>
      </c>
      <c r="J50" s="75" t="s">
        <v>661</v>
      </c>
      <c r="K50" s="75" t="str">
        <f>_xlfn.XLOOKUP(L50,'Inst summary and ER calculation'!$B$3:$B$904,'Inst summary and ER calculation'!$I$3:$I$904)</f>
        <v>5-6 years</v>
      </c>
      <c r="L50" s="78">
        <v>42166</v>
      </c>
      <c r="M50" s="75" t="s">
        <v>14</v>
      </c>
      <c r="N50" s="75">
        <v>14</v>
      </c>
      <c r="O50" s="75">
        <v>60</v>
      </c>
      <c r="P50" s="75" t="s">
        <v>14</v>
      </c>
      <c r="Q50" s="75" t="s">
        <v>13</v>
      </c>
      <c r="R50" s="75"/>
      <c r="S50" s="75"/>
      <c r="T50" s="75"/>
      <c r="U50" s="31" t="str">
        <f t="shared" si="1"/>
        <v/>
      </c>
      <c r="V50" s="75" t="s">
        <v>14</v>
      </c>
      <c r="W50" s="75" t="s">
        <v>14</v>
      </c>
      <c r="X50" s="75" t="s">
        <v>14</v>
      </c>
      <c r="Y50" s="75" t="s">
        <v>14</v>
      </c>
      <c r="Z50" s="75" t="s">
        <v>14</v>
      </c>
      <c r="AA50" s="75" t="s">
        <v>14</v>
      </c>
      <c r="AB50" s="75" t="s">
        <v>14</v>
      </c>
      <c r="AC50" s="75"/>
    </row>
    <row r="51" spans="1:29" s="30" customFormat="1" ht="15">
      <c r="A51" s="77">
        <v>44205</v>
      </c>
      <c r="B51" s="75" t="s">
        <v>136</v>
      </c>
      <c r="C51" s="75" t="s">
        <v>567</v>
      </c>
      <c r="D51" s="75" t="s">
        <v>226</v>
      </c>
      <c r="E51" s="182" t="s">
        <v>568</v>
      </c>
      <c r="F51" s="75"/>
      <c r="G51" s="75">
        <v>2</v>
      </c>
      <c r="H51" s="75">
        <v>2</v>
      </c>
      <c r="I51" s="75" t="s">
        <v>14</v>
      </c>
      <c r="J51" s="80" t="s">
        <v>569</v>
      </c>
      <c r="K51" s="75" t="str">
        <f>_xlfn.XLOOKUP(L51,'Inst summary and ER calculation'!$B$3:$B$904,'Inst summary and ER calculation'!$I$3:$I$904)</f>
        <v>6-7 years</v>
      </c>
      <c r="L51" s="84">
        <v>41918</v>
      </c>
      <c r="M51" s="75" t="s">
        <v>14</v>
      </c>
      <c r="N51" s="75">
        <v>21</v>
      </c>
      <c r="O51" s="75">
        <v>90</v>
      </c>
      <c r="P51" s="75" t="s">
        <v>14</v>
      </c>
      <c r="Q51" s="75" t="s">
        <v>13</v>
      </c>
      <c r="R51" s="75"/>
      <c r="S51" s="75"/>
      <c r="T51" s="75"/>
      <c r="U51" s="31" t="str">
        <f t="shared" si="1"/>
        <v/>
      </c>
      <c r="V51" s="75" t="s">
        <v>14</v>
      </c>
      <c r="W51" s="75" t="s">
        <v>14</v>
      </c>
      <c r="X51" s="75" t="s">
        <v>14</v>
      </c>
      <c r="Y51" s="75" t="s">
        <v>14</v>
      </c>
      <c r="Z51" s="75" t="s">
        <v>14</v>
      </c>
      <c r="AA51" s="75" t="s">
        <v>14</v>
      </c>
      <c r="AB51" s="75" t="s">
        <v>14</v>
      </c>
      <c r="AC51" s="75"/>
    </row>
    <row r="52" spans="1:29" s="30" customFormat="1" ht="15.75" customHeight="1">
      <c r="A52" s="77">
        <v>44199</v>
      </c>
      <c r="B52" s="75" t="s">
        <v>84</v>
      </c>
      <c r="C52" s="75" t="s">
        <v>643</v>
      </c>
      <c r="D52" s="75" t="s">
        <v>226</v>
      </c>
      <c r="E52" s="181" t="s">
        <v>644</v>
      </c>
      <c r="F52" s="80"/>
      <c r="G52" s="75">
        <v>2</v>
      </c>
      <c r="H52" s="75">
        <v>0</v>
      </c>
      <c r="I52" s="75" t="s">
        <v>14</v>
      </c>
      <c r="J52" s="80" t="s">
        <v>645</v>
      </c>
      <c r="K52" s="75" t="str">
        <f>_xlfn.XLOOKUP(L52,'Inst summary and ER calculation'!$B$3:$B$904,'Inst summary and ER calculation'!$I$3:$I$904)</f>
        <v>6-7 years</v>
      </c>
      <c r="L52" s="81">
        <v>42050</v>
      </c>
      <c r="M52" s="75" t="s">
        <v>14</v>
      </c>
      <c r="N52" s="75">
        <v>14</v>
      </c>
      <c r="O52" s="75">
        <v>60</v>
      </c>
      <c r="P52" s="75" t="s">
        <v>14</v>
      </c>
      <c r="Q52" s="75" t="s">
        <v>13</v>
      </c>
      <c r="R52" s="75"/>
      <c r="S52" s="75"/>
      <c r="T52" s="75"/>
      <c r="U52" s="31" t="str">
        <f t="shared" si="1"/>
        <v/>
      </c>
      <c r="V52" s="75" t="s">
        <v>14</v>
      </c>
      <c r="W52" s="75" t="s">
        <v>14</v>
      </c>
      <c r="X52" s="75" t="s">
        <v>14</v>
      </c>
      <c r="Y52" s="75" t="s">
        <v>14</v>
      </c>
      <c r="Z52" s="75" t="s">
        <v>14</v>
      </c>
      <c r="AA52" s="75" t="s">
        <v>14</v>
      </c>
      <c r="AB52" s="75" t="s">
        <v>14</v>
      </c>
      <c r="AC52" s="75"/>
    </row>
    <row r="53" spans="1:29" s="30" customFormat="1" ht="15">
      <c r="A53" s="77">
        <v>44212</v>
      </c>
      <c r="B53" s="75" t="s">
        <v>242</v>
      </c>
      <c r="C53" s="75" t="s">
        <v>355</v>
      </c>
      <c r="D53" s="80" t="s">
        <v>226</v>
      </c>
      <c r="E53" s="181" t="s">
        <v>356</v>
      </c>
      <c r="F53" s="75"/>
      <c r="G53" s="75">
        <v>5</v>
      </c>
      <c r="H53" s="75">
        <v>1</v>
      </c>
      <c r="I53" s="75" t="s">
        <v>14</v>
      </c>
      <c r="J53" s="75" t="s">
        <v>357</v>
      </c>
      <c r="K53" s="75" t="str">
        <f>_xlfn.XLOOKUP(L53,'Inst summary and ER calculation'!$B$3:$B$904,'Inst summary and ER calculation'!$I$3:$I$904)</f>
        <v>6-7 years</v>
      </c>
      <c r="L53" s="78">
        <v>41940</v>
      </c>
      <c r="M53" s="75" t="s">
        <v>13</v>
      </c>
      <c r="N53" s="75"/>
      <c r="O53" s="75"/>
      <c r="P53" s="75"/>
      <c r="Q53" s="75"/>
      <c r="R53" s="75"/>
      <c r="S53" s="75"/>
      <c r="T53" s="75"/>
      <c r="U53" s="31" t="str">
        <f t="shared" si="1"/>
        <v/>
      </c>
      <c r="V53" s="75"/>
      <c r="W53" s="75"/>
      <c r="X53" s="75"/>
      <c r="Y53" s="75"/>
      <c r="Z53" s="75"/>
      <c r="AA53" s="75"/>
      <c r="AB53" s="75"/>
      <c r="AC53" s="75"/>
    </row>
    <row r="54" spans="1:29" s="30" customFormat="1" ht="15.75" customHeight="1">
      <c r="A54" s="77">
        <v>44212</v>
      </c>
      <c r="B54" s="75" t="s">
        <v>394</v>
      </c>
      <c r="C54" s="75" t="s">
        <v>395</v>
      </c>
      <c r="D54" s="75" t="s">
        <v>226</v>
      </c>
      <c r="E54" s="181" t="s">
        <v>396</v>
      </c>
      <c r="F54" s="75"/>
      <c r="G54" s="75">
        <v>6</v>
      </c>
      <c r="H54" s="75">
        <v>0</v>
      </c>
      <c r="I54" s="75" t="s">
        <v>14</v>
      </c>
      <c r="J54" s="75" t="s">
        <v>397</v>
      </c>
      <c r="K54" s="75" t="str">
        <f>_xlfn.XLOOKUP(L54,'Inst summary and ER calculation'!$B$3:$B$904,'Inst summary and ER calculation'!$I$3:$I$904)</f>
        <v>6-7 years</v>
      </c>
      <c r="L54" s="78">
        <v>41988</v>
      </c>
      <c r="M54" s="75" t="s">
        <v>14</v>
      </c>
      <c r="N54" s="75">
        <v>14</v>
      </c>
      <c r="O54" s="75">
        <v>60</v>
      </c>
      <c r="P54" s="75" t="s">
        <v>14</v>
      </c>
      <c r="Q54" s="75" t="s">
        <v>13</v>
      </c>
      <c r="R54" s="75"/>
      <c r="S54" s="75"/>
      <c r="T54" s="75"/>
      <c r="U54" s="31" t="str">
        <f t="shared" si="1"/>
        <v/>
      </c>
      <c r="V54" s="75" t="s">
        <v>14</v>
      </c>
      <c r="W54" s="75" t="s">
        <v>14</v>
      </c>
      <c r="X54" s="75" t="s">
        <v>14</v>
      </c>
      <c r="Y54" s="75" t="s">
        <v>14</v>
      </c>
      <c r="Z54" s="75" t="s">
        <v>14</v>
      </c>
      <c r="AA54" s="75" t="s">
        <v>14</v>
      </c>
      <c r="AB54" s="75" t="s">
        <v>14</v>
      </c>
      <c r="AC54" s="75"/>
    </row>
    <row r="55" spans="1:29" s="30" customFormat="1" ht="15">
      <c r="A55" s="77">
        <v>44202</v>
      </c>
      <c r="B55" s="75" t="s">
        <v>264</v>
      </c>
      <c r="C55" s="75" t="s">
        <v>371</v>
      </c>
      <c r="D55" s="75" t="s">
        <v>226</v>
      </c>
      <c r="E55" s="180" t="s">
        <v>372</v>
      </c>
      <c r="F55" s="80"/>
      <c r="G55" s="75">
        <v>2</v>
      </c>
      <c r="H55" s="75">
        <v>0</v>
      </c>
      <c r="I55" s="75" t="s">
        <v>14</v>
      </c>
      <c r="J55" s="75" t="s">
        <v>373</v>
      </c>
      <c r="K55" s="75" t="str">
        <f>_xlfn.XLOOKUP(L55,'Inst summary and ER calculation'!$B$3:$B$904,'Inst summary and ER calculation'!$I$3:$I$904)</f>
        <v>5-6 years</v>
      </c>
      <c r="L55" s="78">
        <v>42130</v>
      </c>
      <c r="M55" s="75" t="s">
        <v>14</v>
      </c>
      <c r="N55" s="75">
        <v>14</v>
      </c>
      <c r="O55" s="75">
        <v>60</v>
      </c>
      <c r="P55" s="75" t="s">
        <v>14</v>
      </c>
      <c r="Q55" s="75" t="s">
        <v>13</v>
      </c>
      <c r="R55" s="75"/>
      <c r="S55" s="75"/>
      <c r="T55" s="75"/>
      <c r="U55" s="31" t="str">
        <f t="shared" si="1"/>
        <v/>
      </c>
      <c r="V55" s="75" t="s">
        <v>14</v>
      </c>
      <c r="W55" s="75" t="s">
        <v>14</v>
      </c>
      <c r="X55" s="75" t="s">
        <v>14</v>
      </c>
      <c r="Y55" s="75" t="s">
        <v>14</v>
      </c>
      <c r="Z55" s="75" t="s">
        <v>14</v>
      </c>
      <c r="AA55" s="75" t="s">
        <v>14</v>
      </c>
      <c r="AB55" s="75" t="s">
        <v>14</v>
      </c>
      <c r="AC55" s="75"/>
    </row>
    <row r="56" spans="1:29" s="30" customFormat="1" ht="15.75" customHeight="1">
      <c r="A56" s="77">
        <v>44210</v>
      </c>
      <c r="B56" s="75" t="s">
        <v>121</v>
      </c>
      <c r="C56" s="75" t="s">
        <v>588</v>
      </c>
      <c r="D56" s="75" t="s">
        <v>226</v>
      </c>
      <c r="E56" s="181" t="s">
        <v>589</v>
      </c>
      <c r="F56" s="75"/>
      <c r="G56" s="75">
        <v>5</v>
      </c>
      <c r="H56" s="75">
        <v>2</v>
      </c>
      <c r="I56" s="75" t="s">
        <v>14</v>
      </c>
      <c r="J56" s="75" t="s">
        <v>590</v>
      </c>
      <c r="K56" s="75" t="str">
        <f>_xlfn.XLOOKUP(L56,'Inst summary and ER calculation'!$B$3:$B$904,'Inst summary and ER calculation'!$I$3:$I$904)</f>
        <v>6-7 years</v>
      </c>
      <c r="L56" s="78">
        <v>42013</v>
      </c>
      <c r="M56" s="75" t="s">
        <v>14</v>
      </c>
      <c r="N56" s="75">
        <v>21</v>
      </c>
      <c r="O56" s="75">
        <v>85</v>
      </c>
      <c r="P56" s="75" t="s">
        <v>14</v>
      </c>
      <c r="Q56" s="75" t="s">
        <v>13</v>
      </c>
      <c r="R56" s="75"/>
      <c r="S56" s="75"/>
      <c r="T56" s="75"/>
      <c r="U56" s="31" t="str">
        <f t="shared" si="1"/>
        <v/>
      </c>
      <c r="V56" s="75" t="s">
        <v>14</v>
      </c>
      <c r="W56" s="75" t="s">
        <v>14</v>
      </c>
      <c r="X56" s="75" t="s">
        <v>14</v>
      </c>
      <c r="Y56" s="75" t="s">
        <v>14</v>
      </c>
      <c r="Z56" s="75" t="s">
        <v>14</v>
      </c>
      <c r="AA56" s="75" t="s">
        <v>14</v>
      </c>
      <c r="AB56" s="75" t="s">
        <v>14</v>
      </c>
      <c r="AC56" s="75"/>
    </row>
    <row r="57" spans="1:29" s="30" customFormat="1" ht="15">
      <c r="A57" s="77">
        <v>44212</v>
      </c>
      <c r="B57" s="75" t="s">
        <v>106</v>
      </c>
      <c r="C57" s="75" t="s">
        <v>723</v>
      </c>
      <c r="D57" s="75" t="s">
        <v>226</v>
      </c>
      <c r="E57" s="181" t="s">
        <v>724</v>
      </c>
      <c r="F57" s="75"/>
      <c r="G57" s="75">
        <v>4</v>
      </c>
      <c r="H57" s="75">
        <v>2</v>
      </c>
      <c r="I57" s="75" t="s">
        <v>14</v>
      </c>
      <c r="J57" s="75" t="s">
        <v>725</v>
      </c>
      <c r="K57" s="75" t="str">
        <f>_xlfn.XLOOKUP(L57,'Inst summary and ER calculation'!$B$3:$B$904,'Inst summary and ER calculation'!$I$3:$I$904)</f>
        <v>5-6 years</v>
      </c>
      <c r="L57" s="78">
        <v>42170</v>
      </c>
      <c r="M57" s="75" t="s">
        <v>14</v>
      </c>
      <c r="N57" s="75">
        <v>14</v>
      </c>
      <c r="O57" s="75">
        <v>60</v>
      </c>
      <c r="P57" s="75" t="s">
        <v>14</v>
      </c>
      <c r="Q57" s="75" t="s">
        <v>13</v>
      </c>
      <c r="R57" s="75"/>
      <c r="S57" s="75"/>
      <c r="T57" s="75"/>
      <c r="U57" s="31" t="str">
        <f t="shared" si="1"/>
        <v/>
      </c>
      <c r="V57" s="75" t="s">
        <v>14</v>
      </c>
      <c r="W57" s="75" t="s">
        <v>14</v>
      </c>
      <c r="X57" s="75" t="s">
        <v>14</v>
      </c>
      <c r="Y57" s="75" t="s">
        <v>14</v>
      </c>
      <c r="Z57" s="75" t="s">
        <v>14</v>
      </c>
      <c r="AA57" s="75" t="s">
        <v>14</v>
      </c>
      <c r="AB57" s="75" t="s">
        <v>14</v>
      </c>
      <c r="AC57" s="75"/>
    </row>
    <row r="58" spans="1:29" s="30" customFormat="1" ht="15.75" customHeight="1">
      <c r="A58" s="77">
        <v>44201</v>
      </c>
      <c r="B58" s="75" t="s">
        <v>128</v>
      </c>
      <c r="C58" s="75" t="s">
        <v>761</v>
      </c>
      <c r="D58" s="75" t="s">
        <v>226</v>
      </c>
      <c r="E58" s="182" t="s">
        <v>762</v>
      </c>
      <c r="F58" s="75"/>
      <c r="G58" s="75">
        <v>3</v>
      </c>
      <c r="H58" s="75">
        <v>3</v>
      </c>
      <c r="I58" s="75" t="s">
        <v>14</v>
      </c>
      <c r="J58" s="75" t="s">
        <v>763</v>
      </c>
      <c r="K58" s="75" t="str">
        <f>_xlfn.XLOOKUP(L58,'Inst summary and ER calculation'!$B$3:$B$904,'Inst summary and ER calculation'!$I$3:$I$904)</f>
        <v>5-6 years</v>
      </c>
      <c r="L58" s="78">
        <v>42103</v>
      </c>
      <c r="M58" s="75" t="s">
        <v>14</v>
      </c>
      <c r="N58" s="75">
        <v>14</v>
      </c>
      <c r="O58" s="75">
        <v>60</v>
      </c>
      <c r="P58" s="75" t="s">
        <v>14</v>
      </c>
      <c r="Q58" s="75" t="s">
        <v>13</v>
      </c>
      <c r="R58" s="75"/>
      <c r="S58" s="75"/>
      <c r="T58" s="75"/>
      <c r="U58" s="31" t="str">
        <f t="shared" si="1"/>
        <v/>
      </c>
      <c r="V58" s="75" t="s">
        <v>14</v>
      </c>
      <c r="W58" s="75" t="s">
        <v>14</v>
      </c>
      <c r="X58" s="75" t="s">
        <v>14</v>
      </c>
      <c r="Y58" s="75" t="s">
        <v>14</v>
      </c>
      <c r="Z58" s="75" t="s">
        <v>14</v>
      </c>
      <c r="AA58" s="75" t="s">
        <v>14</v>
      </c>
      <c r="AB58" s="75" t="s">
        <v>14</v>
      </c>
      <c r="AC58" s="75"/>
    </row>
    <row r="59" spans="1:29" s="30" customFormat="1" ht="15">
      <c r="A59" s="77">
        <v>44200</v>
      </c>
      <c r="B59" s="75" t="s">
        <v>128</v>
      </c>
      <c r="C59" s="75" t="s">
        <v>38</v>
      </c>
      <c r="D59" s="75" t="s">
        <v>226</v>
      </c>
      <c r="E59" s="182" t="s">
        <v>556</v>
      </c>
      <c r="F59" s="75"/>
      <c r="G59" s="75">
        <v>4</v>
      </c>
      <c r="H59" s="75">
        <v>2</v>
      </c>
      <c r="I59" s="75" t="s">
        <v>14</v>
      </c>
      <c r="J59" s="75" t="s">
        <v>557</v>
      </c>
      <c r="K59" s="75" t="str">
        <f>_xlfn.XLOOKUP(L59,'Inst summary and ER calculation'!$B$3:$B$904,'Inst summary and ER calculation'!$I$3:$I$904)</f>
        <v>6-7 years</v>
      </c>
      <c r="L59" s="78">
        <v>41871</v>
      </c>
      <c r="M59" s="75" t="s">
        <v>14</v>
      </c>
      <c r="N59" s="75">
        <v>14</v>
      </c>
      <c r="O59" s="75">
        <v>60</v>
      </c>
      <c r="P59" s="75" t="s">
        <v>14</v>
      </c>
      <c r="Q59" s="75" t="s">
        <v>13</v>
      </c>
      <c r="R59" s="75"/>
      <c r="S59" s="75"/>
      <c r="T59" s="75"/>
      <c r="U59" s="31" t="str">
        <f t="shared" si="1"/>
        <v/>
      </c>
      <c r="V59" s="75" t="s">
        <v>14</v>
      </c>
      <c r="W59" s="75" t="s">
        <v>14</v>
      </c>
      <c r="X59" s="75" t="s">
        <v>14</v>
      </c>
      <c r="Y59" s="75" t="s">
        <v>14</v>
      </c>
      <c r="Z59" s="75" t="s">
        <v>14</v>
      </c>
      <c r="AA59" s="75" t="s">
        <v>14</v>
      </c>
      <c r="AB59" s="75" t="s">
        <v>14</v>
      </c>
      <c r="AC59" s="75"/>
    </row>
    <row r="60" spans="1:29" s="30" customFormat="1" ht="15.75" customHeight="1">
      <c r="A60" s="77">
        <v>44210</v>
      </c>
      <c r="B60" s="75" t="s">
        <v>104</v>
      </c>
      <c r="C60" s="75" t="s">
        <v>585</v>
      </c>
      <c r="D60" s="79" t="s">
        <v>226</v>
      </c>
      <c r="E60" s="181" t="s">
        <v>586</v>
      </c>
      <c r="F60" s="75"/>
      <c r="G60" s="75">
        <v>3</v>
      </c>
      <c r="H60" s="75">
        <v>0</v>
      </c>
      <c r="I60" s="75" t="s">
        <v>14</v>
      </c>
      <c r="J60" s="75" t="s">
        <v>587</v>
      </c>
      <c r="K60" s="75" t="str">
        <f>_xlfn.XLOOKUP(L60,'Inst summary and ER calculation'!$B$3:$B$904,'Inst summary and ER calculation'!$I$3:$I$904)</f>
        <v>6-7 years</v>
      </c>
      <c r="L60" s="78">
        <v>42023</v>
      </c>
      <c r="M60" s="75" t="s">
        <v>14</v>
      </c>
      <c r="N60" s="75">
        <v>17</v>
      </c>
      <c r="O60" s="75">
        <v>72</v>
      </c>
      <c r="P60" s="75" t="s">
        <v>14</v>
      </c>
      <c r="Q60" s="75" t="s">
        <v>13</v>
      </c>
      <c r="R60" s="75"/>
      <c r="S60" s="75"/>
      <c r="T60" s="75"/>
      <c r="U60" s="31" t="str">
        <f t="shared" si="1"/>
        <v/>
      </c>
      <c r="V60" s="75" t="s">
        <v>14</v>
      </c>
      <c r="W60" s="75" t="s">
        <v>14</v>
      </c>
      <c r="X60" s="75" t="s">
        <v>14</v>
      </c>
      <c r="Y60" s="75" t="s">
        <v>14</v>
      </c>
      <c r="Z60" s="75" t="s">
        <v>14</v>
      </c>
      <c r="AA60" s="75" t="s">
        <v>14</v>
      </c>
      <c r="AB60" s="75" t="s">
        <v>14</v>
      </c>
      <c r="AC60" s="75"/>
    </row>
    <row r="61" spans="1:29" s="30" customFormat="1" ht="15">
      <c r="A61" s="77">
        <v>44211</v>
      </c>
      <c r="B61" s="75" t="s">
        <v>242</v>
      </c>
      <c r="C61" s="75" t="s">
        <v>553</v>
      </c>
      <c r="D61" s="75" t="s">
        <v>226</v>
      </c>
      <c r="E61" s="181" t="s">
        <v>554</v>
      </c>
      <c r="F61" s="75"/>
      <c r="G61" s="75">
        <v>4</v>
      </c>
      <c r="H61" s="75">
        <v>2</v>
      </c>
      <c r="I61" s="75" t="s">
        <v>14</v>
      </c>
      <c r="J61" s="75" t="s">
        <v>555</v>
      </c>
      <c r="K61" s="75" t="str">
        <f>_xlfn.XLOOKUP(L61,'Inst summary and ER calculation'!$B$3:$B$904,'Inst summary and ER calculation'!$I$3:$I$904)</f>
        <v>6-7 years</v>
      </c>
      <c r="L61" s="78">
        <v>41920</v>
      </c>
      <c r="M61" s="75" t="s">
        <v>14</v>
      </c>
      <c r="N61" s="75">
        <v>21</v>
      </c>
      <c r="O61" s="75">
        <v>90</v>
      </c>
      <c r="P61" s="75" t="s">
        <v>14</v>
      </c>
      <c r="Q61" s="75" t="s">
        <v>13</v>
      </c>
      <c r="R61" s="75"/>
      <c r="S61" s="75"/>
      <c r="T61" s="75"/>
      <c r="U61" s="31" t="str">
        <f t="shared" si="1"/>
        <v/>
      </c>
      <c r="V61" s="75" t="s">
        <v>14</v>
      </c>
      <c r="W61" s="75" t="s">
        <v>14</v>
      </c>
      <c r="X61" s="75" t="s">
        <v>14</v>
      </c>
      <c r="Y61" s="75" t="s">
        <v>14</v>
      </c>
      <c r="Z61" s="75" t="s">
        <v>14</v>
      </c>
      <c r="AA61" s="75" t="s">
        <v>14</v>
      </c>
      <c r="AB61" s="75" t="s">
        <v>14</v>
      </c>
      <c r="AC61" s="75"/>
    </row>
    <row r="62" spans="1:29" s="30" customFormat="1" ht="15.75" customHeight="1">
      <c r="A62" s="77">
        <v>44212</v>
      </c>
      <c r="B62" s="75" t="s">
        <v>245</v>
      </c>
      <c r="C62" s="75" t="s">
        <v>670</v>
      </c>
      <c r="D62" s="75" t="s">
        <v>226</v>
      </c>
      <c r="E62" s="181" t="s">
        <v>671</v>
      </c>
      <c r="F62" s="89"/>
      <c r="G62" s="75">
        <v>3</v>
      </c>
      <c r="H62" s="75">
        <v>4</v>
      </c>
      <c r="I62" s="75" t="s">
        <v>14</v>
      </c>
      <c r="J62" s="89" t="s">
        <v>672</v>
      </c>
      <c r="K62" s="75" t="str">
        <f>_xlfn.XLOOKUP(L62,'Inst summary and ER calculation'!$B$3:$B$904,'Inst summary and ER calculation'!$I$3:$I$904)</f>
        <v>5-6 years</v>
      </c>
      <c r="L62" s="78">
        <v>42184</v>
      </c>
      <c r="M62" s="75" t="s">
        <v>14</v>
      </c>
      <c r="N62" s="75">
        <v>21</v>
      </c>
      <c r="O62" s="75">
        <v>85</v>
      </c>
      <c r="P62" s="75" t="s">
        <v>14</v>
      </c>
      <c r="Q62" s="75" t="s">
        <v>13</v>
      </c>
      <c r="R62" s="75"/>
      <c r="S62" s="75"/>
      <c r="T62" s="75"/>
      <c r="U62" s="31" t="str">
        <f t="shared" si="1"/>
        <v/>
      </c>
      <c r="V62" s="75" t="s">
        <v>14</v>
      </c>
      <c r="W62" s="75" t="s">
        <v>14</v>
      </c>
      <c r="X62" s="75" t="s">
        <v>14</v>
      </c>
      <c r="Y62" s="75" t="s">
        <v>14</v>
      </c>
      <c r="Z62" s="75" t="s">
        <v>14</v>
      </c>
      <c r="AA62" s="75" t="s">
        <v>14</v>
      </c>
      <c r="AB62" s="75" t="s">
        <v>14</v>
      </c>
      <c r="AC62" s="75"/>
    </row>
    <row r="63" spans="1:29" s="30" customFormat="1" ht="15">
      <c r="A63" s="77">
        <v>44210</v>
      </c>
      <c r="B63" s="75" t="s">
        <v>242</v>
      </c>
      <c r="C63" s="75" t="s">
        <v>740</v>
      </c>
      <c r="D63" s="79" t="s">
        <v>226</v>
      </c>
      <c r="E63" s="181" t="s">
        <v>741</v>
      </c>
      <c r="F63" s="75"/>
      <c r="G63" s="75">
        <v>3</v>
      </c>
      <c r="H63" s="75">
        <v>2</v>
      </c>
      <c r="I63" s="75" t="s">
        <v>14</v>
      </c>
      <c r="J63" s="75" t="s">
        <v>742</v>
      </c>
      <c r="K63" s="75" t="str">
        <f>_xlfn.XLOOKUP(L63,'Inst summary and ER calculation'!$B$3:$B$904,'Inst summary and ER calculation'!$I$3:$I$904)</f>
        <v>6-7 years</v>
      </c>
      <c r="L63" s="78">
        <v>41940</v>
      </c>
      <c r="M63" s="75" t="s">
        <v>14</v>
      </c>
      <c r="N63" s="75">
        <v>20</v>
      </c>
      <c r="O63" s="75">
        <v>85</v>
      </c>
      <c r="P63" s="75" t="s">
        <v>14</v>
      </c>
      <c r="Q63" s="75" t="s">
        <v>13</v>
      </c>
      <c r="R63" s="75"/>
      <c r="S63" s="75"/>
      <c r="T63" s="75"/>
      <c r="U63" s="31" t="str">
        <f t="shared" si="1"/>
        <v/>
      </c>
      <c r="V63" s="75" t="s">
        <v>14</v>
      </c>
      <c r="W63" s="75" t="s">
        <v>14</v>
      </c>
      <c r="X63" s="75" t="s">
        <v>14</v>
      </c>
      <c r="Y63" s="75" t="s">
        <v>14</v>
      </c>
      <c r="Z63" s="75" t="s">
        <v>14</v>
      </c>
      <c r="AA63" s="75" t="s">
        <v>14</v>
      </c>
      <c r="AB63" s="75" t="s">
        <v>14</v>
      </c>
      <c r="AC63" s="75"/>
    </row>
    <row r="64" spans="1:29" s="30" customFormat="1" ht="15.75" customHeight="1">
      <c r="A64" s="77">
        <v>44212</v>
      </c>
      <c r="B64" s="75" t="s">
        <v>245</v>
      </c>
      <c r="C64" s="75" t="s">
        <v>528</v>
      </c>
      <c r="D64" s="75" t="s">
        <v>226</v>
      </c>
      <c r="E64" s="181" t="s">
        <v>529</v>
      </c>
      <c r="F64" s="75"/>
      <c r="G64" s="75">
        <v>2</v>
      </c>
      <c r="H64" s="75">
        <v>1</v>
      </c>
      <c r="I64" s="75" t="s">
        <v>14</v>
      </c>
      <c r="J64" s="75" t="s">
        <v>530</v>
      </c>
      <c r="K64" s="75" t="str">
        <f>_xlfn.XLOOKUP(L64,'Inst summary and ER calculation'!$B$3:$B$904,'Inst summary and ER calculation'!$I$3:$I$904)</f>
        <v>5-6 years</v>
      </c>
      <c r="L64" s="78">
        <v>42140</v>
      </c>
      <c r="M64" s="75" t="s">
        <v>14</v>
      </c>
      <c r="N64" s="75">
        <v>15</v>
      </c>
      <c r="O64" s="75">
        <v>75</v>
      </c>
      <c r="P64" s="75" t="s">
        <v>14</v>
      </c>
      <c r="Q64" s="75" t="s">
        <v>13</v>
      </c>
      <c r="R64" s="75"/>
      <c r="S64" s="75"/>
      <c r="T64" s="75"/>
      <c r="U64" s="31" t="str">
        <f t="shared" si="1"/>
        <v/>
      </c>
      <c r="V64" s="75" t="s">
        <v>14</v>
      </c>
      <c r="W64" s="75" t="s">
        <v>14</v>
      </c>
      <c r="X64" s="75" t="s">
        <v>14</v>
      </c>
      <c r="Y64" s="75" t="s">
        <v>14</v>
      </c>
      <c r="Z64" s="75" t="s">
        <v>14</v>
      </c>
      <c r="AA64" s="75" t="s">
        <v>14</v>
      </c>
      <c r="AB64" s="75" t="s">
        <v>14</v>
      </c>
      <c r="AC64" s="75"/>
    </row>
    <row r="65" spans="1:29" s="30" customFormat="1" ht="15">
      <c r="A65" s="77">
        <v>44211</v>
      </c>
      <c r="B65" s="75" t="s">
        <v>235</v>
      </c>
      <c r="C65" s="75" t="s">
        <v>927</v>
      </c>
      <c r="D65" s="75" t="s">
        <v>226</v>
      </c>
      <c r="E65" s="181" t="s">
        <v>675</v>
      </c>
      <c r="F65" s="75"/>
      <c r="G65" s="75">
        <v>4</v>
      </c>
      <c r="H65" s="75">
        <v>0</v>
      </c>
      <c r="I65" s="75" t="s">
        <v>14</v>
      </c>
      <c r="J65" s="75" t="s">
        <v>676</v>
      </c>
      <c r="K65" s="75" t="str">
        <f>_xlfn.XLOOKUP(L65,'Inst summary and ER calculation'!$B$3:$B$904,'Inst summary and ER calculation'!$I$3:$I$904)</f>
        <v>5-6 years</v>
      </c>
      <c r="L65" s="78">
        <v>42072</v>
      </c>
      <c r="M65" s="75" t="s">
        <v>14</v>
      </c>
      <c r="N65" s="75">
        <v>16</v>
      </c>
      <c r="O65" s="75">
        <v>64</v>
      </c>
      <c r="P65" s="75" t="s">
        <v>14</v>
      </c>
      <c r="Q65" s="75" t="s">
        <v>13</v>
      </c>
      <c r="R65" s="75"/>
      <c r="S65" s="75"/>
      <c r="T65" s="75"/>
      <c r="U65" s="31" t="str">
        <f t="shared" si="1"/>
        <v/>
      </c>
      <c r="V65" s="75" t="s">
        <v>14</v>
      </c>
      <c r="W65" s="75" t="s">
        <v>14</v>
      </c>
      <c r="X65" s="75" t="s">
        <v>14</v>
      </c>
      <c r="Y65" s="75" t="s">
        <v>14</v>
      </c>
      <c r="Z65" s="75" t="s">
        <v>14</v>
      </c>
      <c r="AA65" s="75" t="s">
        <v>14</v>
      </c>
      <c r="AB65" s="75" t="s">
        <v>14</v>
      </c>
      <c r="AC65" s="75"/>
    </row>
    <row r="66" spans="1:29" s="30" customFormat="1" ht="15.75" customHeight="1">
      <c r="A66" s="77">
        <v>44212</v>
      </c>
      <c r="B66" s="75" t="s">
        <v>124</v>
      </c>
      <c r="C66" s="75" t="s">
        <v>889</v>
      </c>
      <c r="D66" s="75" t="s">
        <v>226</v>
      </c>
      <c r="E66" s="181" t="s">
        <v>721</v>
      </c>
      <c r="F66" s="75"/>
      <c r="G66" s="75">
        <v>2</v>
      </c>
      <c r="H66" s="75">
        <v>4</v>
      </c>
      <c r="I66" s="75" t="s">
        <v>14</v>
      </c>
      <c r="J66" s="75" t="s">
        <v>722</v>
      </c>
      <c r="K66" s="75" t="str">
        <f>_xlfn.XLOOKUP(L66,'Inst summary and ER calculation'!$B$3:$B$904,'Inst summary and ER calculation'!$I$3:$I$904)</f>
        <v>5-6 years</v>
      </c>
      <c r="L66" s="78">
        <v>42078</v>
      </c>
      <c r="M66" s="75" t="s">
        <v>14</v>
      </c>
      <c r="N66" s="75">
        <v>14</v>
      </c>
      <c r="O66" s="75">
        <v>70</v>
      </c>
      <c r="P66" s="75" t="s">
        <v>14</v>
      </c>
      <c r="Q66" s="75" t="s">
        <v>13</v>
      </c>
      <c r="R66" s="75"/>
      <c r="S66" s="75"/>
      <c r="T66" s="75"/>
      <c r="U66" s="31" t="str">
        <f t="shared" si="1"/>
        <v/>
      </c>
      <c r="V66" s="75" t="s">
        <v>14</v>
      </c>
      <c r="W66" s="75" t="s">
        <v>14</v>
      </c>
      <c r="X66" s="75" t="s">
        <v>14</v>
      </c>
      <c r="Y66" s="75" t="s">
        <v>14</v>
      </c>
      <c r="Z66" s="75" t="s">
        <v>14</v>
      </c>
      <c r="AA66" s="75" t="s">
        <v>14</v>
      </c>
      <c r="AB66" s="75" t="s">
        <v>14</v>
      </c>
      <c r="AC66" s="75"/>
    </row>
    <row r="67" spans="1:29" s="30" customFormat="1" ht="15">
      <c r="A67" s="77">
        <v>44211</v>
      </c>
      <c r="B67" s="75" t="s">
        <v>234</v>
      </c>
      <c r="C67" s="75" t="s">
        <v>570</v>
      </c>
      <c r="D67" s="75" t="s">
        <v>226</v>
      </c>
      <c r="E67" s="181" t="s">
        <v>571</v>
      </c>
      <c r="F67" s="75"/>
      <c r="G67" s="75">
        <v>2</v>
      </c>
      <c r="H67" s="75">
        <v>2</v>
      </c>
      <c r="I67" s="75" t="s">
        <v>14</v>
      </c>
      <c r="J67" s="75" t="s">
        <v>572</v>
      </c>
      <c r="K67" s="75" t="str">
        <f>_xlfn.XLOOKUP(L67,'Inst summary and ER calculation'!$B$3:$B$904,'Inst summary and ER calculation'!$I$3:$I$904)</f>
        <v>6-7 years</v>
      </c>
      <c r="L67" s="78">
        <v>41921</v>
      </c>
      <c r="M67" s="75" t="s">
        <v>14</v>
      </c>
      <c r="N67" s="75">
        <v>21</v>
      </c>
      <c r="O67" s="75">
        <v>90</v>
      </c>
      <c r="P67" s="75" t="s">
        <v>14</v>
      </c>
      <c r="Q67" s="75" t="s">
        <v>13</v>
      </c>
      <c r="R67" s="75"/>
      <c r="S67" s="75"/>
      <c r="T67" s="75"/>
      <c r="U67" s="31" t="str">
        <f t="shared" ref="U67:U98" si="2">IF(R67="Yes",MAX(S67/(S67+N67),T67/(T67+O67)),"")</f>
        <v/>
      </c>
      <c r="V67" s="75" t="s">
        <v>14</v>
      </c>
      <c r="W67" s="75" t="s">
        <v>14</v>
      </c>
      <c r="X67" s="75" t="s">
        <v>14</v>
      </c>
      <c r="Y67" s="75" t="s">
        <v>14</v>
      </c>
      <c r="Z67" s="75" t="s">
        <v>14</v>
      </c>
      <c r="AA67" s="75" t="s">
        <v>14</v>
      </c>
      <c r="AB67" s="75" t="s">
        <v>14</v>
      </c>
      <c r="AC67" s="75"/>
    </row>
    <row r="68" spans="1:29" s="30" customFormat="1" ht="15.75" customHeight="1">
      <c r="A68" s="77">
        <v>44212</v>
      </c>
      <c r="B68" s="75" t="s">
        <v>80</v>
      </c>
      <c r="C68" s="75" t="s">
        <v>903</v>
      </c>
      <c r="D68" s="75" t="s">
        <v>226</v>
      </c>
      <c r="E68" s="181" t="s">
        <v>695</v>
      </c>
      <c r="F68" s="75"/>
      <c r="G68" s="75">
        <v>2</v>
      </c>
      <c r="H68" s="75">
        <v>2</v>
      </c>
      <c r="I68" s="75" t="s">
        <v>14</v>
      </c>
      <c r="J68" s="75" t="s">
        <v>696</v>
      </c>
      <c r="K68" s="75" t="str">
        <f>_xlfn.XLOOKUP(L68,'Inst summary and ER calculation'!$B$3:$B$904,'Inst summary and ER calculation'!$I$3:$I$904)</f>
        <v>6-7 years</v>
      </c>
      <c r="L68" s="78">
        <v>41952</v>
      </c>
      <c r="M68" s="75" t="s">
        <v>14</v>
      </c>
      <c r="N68" s="75">
        <v>14</v>
      </c>
      <c r="O68" s="75">
        <v>60</v>
      </c>
      <c r="P68" s="75" t="s">
        <v>14</v>
      </c>
      <c r="Q68" s="75" t="s">
        <v>13</v>
      </c>
      <c r="R68" s="75"/>
      <c r="S68" s="75"/>
      <c r="T68" s="75"/>
      <c r="U68" s="31" t="str">
        <f t="shared" si="2"/>
        <v/>
      </c>
      <c r="V68" s="75" t="s">
        <v>14</v>
      </c>
      <c r="W68" s="75" t="s">
        <v>14</v>
      </c>
      <c r="X68" s="75" t="s">
        <v>14</v>
      </c>
      <c r="Y68" s="75" t="s">
        <v>14</v>
      </c>
      <c r="Z68" s="75" t="s">
        <v>14</v>
      </c>
      <c r="AA68" s="75" t="s">
        <v>14</v>
      </c>
      <c r="AB68" s="75" t="s">
        <v>14</v>
      </c>
      <c r="AC68" s="75"/>
    </row>
    <row r="69" spans="1:29" s="30" customFormat="1" ht="15">
      <c r="A69" s="77">
        <v>44207</v>
      </c>
      <c r="B69" s="75" t="s">
        <v>258</v>
      </c>
      <c r="C69" s="75" t="s">
        <v>680</v>
      </c>
      <c r="D69" s="75" t="s">
        <v>226</v>
      </c>
      <c r="E69" s="181" t="s">
        <v>681</v>
      </c>
      <c r="F69" s="75"/>
      <c r="G69" s="75">
        <v>3</v>
      </c>
      <c r="H69" s="75">
        <v>2</v>
      </c>
      <c r="I69" s="75" t="s">
        <v>14</v>
      </c>
      <c r="J69" s="75" t="s">
        <v>682</v>
      </c>
      <c r="K69" s="75" t="str">
        <f>_xlfn.XLOOKUP(L69,'Inst summary and ER calculation'!$B$3:$B$904,'Inst summary and ER calculation'!$I$3:$I$904)</f>
        <v>5-6 years</v>
      </c>
      <c r="L69" s="78">
        <v>42139</v>
      </c>
      <c r="M69" s="75" t="s">
        <v>14</v>
      </c>
      <c r="N69" s="75">
        <v>18</v>
      </c>
      <c r="O69" s="75">
        <v>78</v>
      </c>
      <c r="P69" s="75" t="s">
        <v>14</v>
      </c>
      <c r="Q69" s="75" t="s">
        <v>13</v>
      </c>
      <c r="R69" s="75"/>
      <c r="S69" s="75"/>
      <c r="T69" s="75"/>
      <c r="U69" s="31" t="str">
        <f t="shared" si="2"/>
        <v/>
      </c>
      <c r="V69" s="75" t="s">
        <v>14</v>
      </c>
      <c r="W69" s="75" t="s">
        <v>14</v>
      </c>
      <c r="X69" s="75" t="s">
        <v>14</v>
      </c>
      <c r="Y69" s="75" t="s">
        <v>14</v>
      </c>
      <c r="Z69" s="75" t="s">
        <v>14</v>
      </c>
      <c r="AA69" s="75" t="s">
        <v>14</v>
      </c>
      <c r="AB69" s="75" t="s">
        <v>14</v>
      </c>
      <c r="AC69" s="75"/>
    </row>
    <row r="70" spans="1:29" s="30" customFormat="1" ht="15.75" customHeight="1">
      <c r="A70" s="77">
        <v>44212</v>
      </c>
      <c r="B70" s="75" t="s">
        <v>244</v>
      </c>
      <c r="C70" s="75" t="s">
        <v>482</v>
      </c>
      <c r="D70" s="75" t="s">
        <v>226</v>
      </c>
      <c r="E70" s="181" t="s">
        <v>483</v>
      </c>
      <c r="F70" s="75"/>
      <c r="G70" s="75">
        <v>5</v>
      </c>
      <c r="H70" s="75">
        <v>1</v>
      </c>
      <c r="I70" s="75" t="s">
        <v>14</v>
      </c>
      <c r="J70" s="75" t="s">
        <v>484</v>
      </c>
      <c r="K70" s="75" t="str">
        <f>_xlfn.XLOOKUP(L70,'Inst summary and ER calculation'!$B$3:$B$904,'Inst summary and ER calculation'!$I$3:$I$904)</f>
        <v>5-6 years</v>
      </c>
      <c r="L70" s="78">
        <v>42124</v>
      </c>
      <c r="M70" s="75" t="s">
        <v>14</v>
      </c>
      <c r="N70" s="75">
        <v>21</v>
      </c>
      <c r="O70" s="75">
        <v>90</v>
      </c>
      <c r="P70" s="75" t="s">
        <v>14</v>
      </c>
      <c r="Q70" s="75" t="s">
        <v>13</v>
      </c>
      <c r="R70" s="75"/>
      <c r="S70" s="75"/>
      <c r="T70" s="75"/>
      <c r="U70" s="31" t="str">
        <f t="shared" si="2"/>
        <v/>
      </c>
      <c r="V70" s="75" t="s">
        <v>14</v>
      </c>
      <c r="W70" s="75" t="s">
        <v>14</v>
      </c>
      <c r="X70" s="75" t="s">
        <v>14</v>
      </c>
      <c r="Y70" s="75" t="s">
        <v>14</v>
      </c>
      <c r="Z70" s="75" t="s">
        <v>14</v>
      </c>
      <c r="AA70" s="75" t="s">
        <v>14</v>
      </c>
      <c r="AB70" s="75" t="s">
        <v>14</v>
      </c>
      <c r="AC70" s="75"/>
    </row>
    <row r="71" spans="1:29" s="30" customFormat="1" ht="15">
      <c r="A71" s="77">
        <v>44208</v>
      </c>
      <c r="B71" s="75" t="s">
        <v>258</v>
      </c>
      <c r="C71" s="75" t="s">
        <v>349</v>
      </c>
      <c r="D71" s="79" t="s">
        <v>226</v>
      </c>
      <c r="E71" s="181" t="s">
        <v>350</v>
      </c>
      <c r="F71" s="174"/>
      <c r="G71" s="75">
        <v>2</v>
      </c>
      <c r="H71" s="75">
        <v>2</v>
      </c>
      <c r="I71" s="75" t="s">
        <v>14</v>
      </c>
      <c r="J71" s="79" t="s">
        <v>351</v>
      </c>
      <c r="K71" s="75" t="str">
        <f>_xlfn.XLOOKUP(L71,'Inst summary and ER calculation'!$B$3:$B$904,'Inst summary and ER calculation'!$I$3:$I$904)</f>
        <v>6-7 years</v>
      </c>
      <c r="L71" s="85">
        <v>41935</v>
      </c>
      <c r="M71" s="75" t="s">
        <v>13</v>
      </c>
      <c r="N71" s="75"/>
      <c r="O71" s="75"/>
      <c r="P71" s="75"/>
      <c r="Q71" s="75"/>
      <c r="R71" s="75"/>
      <c r="S71" s="75"/>
      <c r="T71" s="75"/>
      <c r="U71" s="31" t="str">
        <f t="shared" si="2"/>
        <v/>
      </c>
      <c r="V71" s="75"/>
      <c r="W71" s="75"/>
      <c r="X71" s="75"/>
      <c r="Y71" s="75"/>
      <c r="Z71" s="75"/>
      <c r="AA71" s="75"/>
      <c r="AB71" s="75"/>
      <c r="AC71" s="75"/>
    </row>
    <row r="72" spans="1:29" s="30" customFormat="1" ht="15.75" customHeight="1">
      <c r="A72" s="77">
        <v>44212</v>
      </c>
      <c r="B72" s="75" t="s">
        <v>243</v>
      </c>
      <c r="C72" s="75" t="s">
        <v>561</v>
      </c>
      <c r="D72" s="75" t="s">
        <v>226</v>
      </c>
      <c r="E72" s="181" t="s">
        <v>562</v>
      </c>
      <c r="F72" s="75"/>
      <c r="G72" s="75">
        <v>2</v>
      </c>
      <c r="H72" s="75">
        <v>2</v>
      </c>
      <c r="I72" s="75" t="s">
        <v>14</v>
      </c>
      <c r="J72" s="75" t="s">
        <v>563</v>
      </c>
      <c r="K72" s="75" t="str">
        <f>_xlfn.XLOOKUP(L72,'Inst summary and ER calculation'!$B$3:$B$904,'Inst summary and ER calculation'!$I$3:$I$904)</f>
        <v>5-6 years</v>
      </c>
      <c r="L72" s="78">
        <v>42083</v>
      </c>
      <c r="M72" s="75" t="s">
        <v>14</v>
      </c>
      <c r="N72" s="75">
        <v>14</v>
      </c>
      <c r="O72" s="75">
        <v>65</v>
      </c>
      <c r="P72" s="75" t="s">
        <v>14</v>
      </c>
      <c r="Q72" s="75" t="s">
        <v>13</v>
      </c>
      <c r="R72" s="75"/>
      <c r="S72" s="75"/>
      <c r="T72" s="75"/>
      <c r="U72" s="31" t="str">
        <f t="shared" si="2"/>
        <v/>
      </c>
      <c r="V72" s="75" t="s">
        <v>14</v>
      </c>
      <c r="W72" s="75" t="s">
        <v>14</v>
      </c>
      <c r="X72" s="75" t="s">
        <v>14</v>
      </c>
      <c r="Y72" s="75" t="s">
        <v>14</v>
      </c>
      <c r="Z72" s="75" t="s">
        <v>14</v>
      </c>
      <c r="AA72" s="75" t="s">
        <v>14</v>
      </c>
      <c r="AB72" s="75" t="s">
        <v>14</v>
      </c>
      <c r="AC72" s="75"/>
    </row>
    <row r="73" spans="1:29" s="30" customFormat="1" ht="15">
      <c r="A73" s="77">
        <v>44201</v>
      </c>
      <c r="B73" s="75" t="s">
        <v>83</v>
      </c>
      <c r="C73" s="75" t="s">
        <v>498</v>
      </c>
      <c r="D73" s="75" t="s">
        <v>226</v>
      </c>
      <c r="E73" s="182" t="s">
        <v>499</v>
      </c>
      <c r="F73" s="75"/>
      <c r="G73" s="75">
        <v>4</v>
      </c>
      <c r="H73" s="75">
        <v>1</v>
      </c>
      <c r="I73" s="75" t="s">
        <v>14</v>
      </c>
      <c r="J73" s="75" t="s">
        <v>500</v>
      </c>
      <c r="K73" s="75" t="str">
        <f>_xlfn.XLOOKUP(L73,'Inst summary and ER calculation'!$B$3:$B$904,'Inst summary and ER calculation'!$I$3:$I$904)</f>
        <v>6-7 years</v>
      </c>
      <c r="L73" s="85">
        <v>41929</v>
      </c>
      <c r="M73" s="75" t="s">
        <v>14</v>
      </c>
      <c r="N73" s="75">
        <v>19</v>
      </c>
      <c r="O73" s="75">
        <v>86</v>
      </c>
      <c r="P73" s="75" t="s">
        <v>14</v>
      </c>
      <c r="Q73" s="75" t="s">
        <v>13</v>
      </c>
      <c r="R73" s="75"/>
      <c r="S73" s="75"/>
      <c r="T73" s="75"/>
      <c r="U73" s="31" t="str">
        <f t="shared" si="2"/>
        <v/>
      </c>
      <c r="V73" s="75" t="s">
        <v>14</v>
      </c>
      <c r="W73" s="75" t="s">
        <v>14</v>
      </c>
      <c r="X73" s="75" t="s">
        <v>14</v>
      </c>
      <c r="Y73" s="75" t="s">
        <v>14</v>
      </c>
      <c r="Z73" s="75" t="s">
        <v>14</v>
      </c>
      <c r="AA73" s="75" t="s">
        <v>14</v>
      </c>
      <c r="AB73" s="75" t="s">
        <v>14</v>
      </c>
      <c r="AC73" s="75"/>
    </row>
    <row r="74" spans="1:29" s="30" customFormat="1" ht="15.75" customHeight="1">
      <c r="A74" s="77">
        <v>44207</v>
      </c>
      <c r="B74" s="75" t="s">
        <v>84</v>
      </c>
      <c r="C74" s="75" t="s">
        <v>886</v>
      </c>
      <c r="D74" s="75" t="s">
        <v>226</v>
      </c>
      <c r="E74" s="181" t="s">
        <v>665</v>
      </c>
      <c r="F74" s="75"/>
      <c r="G74" s="75">
        <v>2</v>
      </c>
      <c r="H74" s="75">
        <v>1</v>
      </c>
      <c r="I74" s="75" t="s">
        <v>14</v>
      </c>
      <c r="J74" s="75" t="s">
        <v>666</v>
      </c>
      <c r="K74" s="75" t="str">
        <f>_xlfn.XLOOKUP(L74,'Inst summary and ER calculation'!$B$3:$B$904,'Inst summary and ER calculation'!$I$3:$I$904)</f>
        <v>5-6 years</v>
      </c>
      <c r="L74" s="78">
        <v>42184</v>
      </c>
      <c r="M74" s="75" t="s">
        <v>14</v>
      </c>
      <c r="N74" s="75">
        <v>14</v>
      </c>
      <c r="O74" s="75">
        <v>60</v>
      </c>
      <c r="P74" s="75" t="s">
        <v>14</v>
      </c>
      <c r="Q74" s="75" t="s">
        <v>13</v>
      </c>
      <c r="R74" s="75"/>
      <c r="S74" s="75"/>
      <c r="T74" s="75"/>
      <c r="U74" s="31" t="str">
        <f t="shared" si="2"/>
        <v/>
      </c>
      <c r="V74" s="75" t="s">
        <v>14</v>
      </c>
      <c r="W74" s="75" t="s">
        <v>14</v>
      </c>
      <c r="X74" s="75" t="s">
        <v>14</v>
      </c>
      <c r="Y74" s="75" t="s">
        <v>14</v>
      </c>
      <c r="Z74" s="75" t="s">
        <v>14</v>
      </c>
      <c r="AA74" s="75" t="s">
        <v>14</v>
      </c>
      <c r="AB74" s="75" t="s">
        <v>14</v>
      </c>
      <c r="AC74" s="75"/>
    </row>
    <row r="75" spans="1:29" s="30" customFormat="1" ht="15">
      <c r="A75" s="77">
        <v>44210</v>
      </c>
      <c r="B75" s="75" t="s">
        <v>228</v>
      </c>
      <c r="C75" s="75" t="s">
        <v>456</v>
      </c>
      <c r="D75" s="75" t="s">
        <v>226</v>
      </c>
      <c r="E75" s="181" t="s">
        <v>457</v>
      </c>
      <c r="F75" s="75"/>
      <c r="G75" s="75">
        <v>2</v>
      </c>
      <c r="H75" s="75">
        <v>1</v>
      </c>
      <c r="I75" s="75" t="s">
        <v>14</v>
      </c>
      <c r="J75" s="75" t="s">
        <v>458</v>
      </c>
      <c r="K75" s="75" t="str">
        <f>_xlfn.XLOOKUP(L75,'Inst summary and ER calculation'!$B$3:$B$904,'Inst summary and ER calculation'!$I$3:$I$904)</f>
        <v>5-6 years</v>
      </c>
      <c r="L75" s="78">
        <v>42109</v>
      </c>
      <c r="M75" s="75" t="s">
        <v>14</v>
      </c>
      <c r="N75" s="75">
        <v>20</v>
      </c>
      <c r="O75" s="75">
        <v>85</v>
      </c>
      <c r="P75" s="75" t="s">
        <v>14</v>
      </c>
      <c r="Q75" s="75" t="s">
        <v>13</v>
      </c>
      <c r="R75" s="75"/>
      <c r="S75" s="75"/>
      <c r="T75" s="75"/>
      <c r="U75" s="31" t="str">
        <f t="shared" si="2"/>
        <v/>
      </c>
      <c r="V75" s="75" t="s">
        <v>14</v>
      </c>
      <c r="W75" s="75" t="s">
        <v>14</v>
      </c>
      <c r="X75" s="75" t="s">
        <v>14</v>
      </c>
      <c r="Y75" s="75" t="s">
        <v>14</v>
      </c>
      <c r="Z75" s="75" t="s">
        <v>14</v>
      </c>
      <c r="AA75" s="75" t="s">
        <v>14</v>
      </c>
      <c r="AB75" s="75" t="s">
        <v>14</v>
      </c>
      <c r="AC75" s="75"/>
    </row>
    <row r="76" spans="1:29" s="30" customFormat="1" ht="15.75" customHeight="1">
      <c r="A76" s="77">
        <v>44211</v>
      </c>
      <c r="B76" s="75" t="s">
        <v>78</v>
      </c>
      <c r="C76" s="75" t="s">
        <v>385</v>
      </c>
      <c r="D76" s="75" t="s">
        <v>226</v>
      </c>
      <c r="E76" s="181" t="s">
        <v>386</v>
      </c>
      <c r="F76" s="75"/>
      <c r="G76" s="75">
        <v>3</v>
      </c>
      <c r="H76" s="75">
        <v>1</v>
      </c>
      <c r="I76" s="75" t="s">
        <v>14</v>
      </c>
      <c r="J76" s="75" t="s">
        <v>387</v>
      </c>
      <c r="K76" s="75" t="str">
        <f>_xlfn.XLOOKUP(L76,'Inst summary and ER calculation'!$B$3:$B$904,'Inst summary and ER calculation'!$I$3:$I$904)</f>
        <v>5-6 years</v>
      </c>
      <c r="L76" s="78">
        <v>42109</v>
      </c>
      <c r="M76" s="75" t="s">
        <v>14</v>
      </c>
      <c r="N76" s="75">
        <v>20</v>
      </c>
      <c r="O76" s="75">
        <v>78</v>
      </c>
      <c r="P76" s="75" t="s">
        <v>14</v>
      </c>
      <c r="Q76" s="75" t="s">
        <v>13</v>
      </c>
      <c r="R76" s="75"/>
      <c r="S76" s="75"/>
      <c r="T76" s="75"/>
      <c r="U76" s="31" t="str">
        <f t="shared" si="2"/>
        <v/>
      </c>
      <c r="V76" s="75" t="s">
        <v>14</v>
      </c>
      <c r="W76" s="75" t="s">
        <v>14</v>
      </c>
      <c r="X76" s="75" t="s">
        <v>14</v>
      </c>
      <c r="Y76" s="75" t="s">
        <v>14</v>
      </c>
      <c r="Z76" s="75" t="s">
        <v>14</v>
      </c>
      <c r="AA76" s="75" t="s">
        <v>14</v>
      </c>
      <c r="AB76" s="75" t="s">
        <v>14</v>
      </c>
      <c r="AC76" s="75"/>
    </row>
    <row r="77" spans="1:29" s="30" customFormat="1" ht="15">
      <c r="A77" s="77">
        <v>44210</v>
      </c>
      <c r="B77" s="75" t="s">
        <v>228</v>
      </c>
      <c r="C77" s="75" t="s">
        <v>512</v>
      </c>
      <c r="D77" s="75" t="s">
        <v>226</v>
      </c>
      <c r="E77" s="181" t="s">
        <v>513</v>
      </c>
      <c r="F77" s="75"/>
      <c r="G77" s="75">
        <v>3</v>
      </c>
      <c r="H77" s="75">
        <v>1</v>
      </c>
      <c r="I77" s="75" t="s">
        <v>14</v>
      </c>
      <c r="J77" s="75" t="s">
        <v>514</v>
      </c>
      <c r="K77" s="75" t="str">
        <f>_xlfn.XLOOKUP(L77,'Inst summary and ER calculation'!$B$3:$B$904,'Inst summary and ER calculation'!$I$3:$I$904)</f>
        <v>6-7 years</v>
      </c>
      <c r="L77" s="78">
        <v>42019</v>
      </c>
      <c r="M77" s="75" t="s">
        <v>14</v>
      </c>
      <c r="N77" s="75">
        <v>21</v>
      </c>
      <c r="O77" s="75">
        <v>90</v>
      </c>
      <c r="P77" s="75" t="s">
        <v>14</v>
      </c>
      <c r="Q77" s="75" t="s">
        <v>13</v>
      </c>
      <c r="R77" s="75"/>
      <c r="S77" s="75"/>
      <c r="T77" s="75"/>
      <c r="U77" s="31" t="str">
        <f t="shared" si="2"/>
        <v/>
      </c>
      <c r="V77" s="75" t="s">
        <v>14</v>
      </c>
      <c r="W77" s="75" t="s">
        <v>14</v>
      </c>
      <c r="X77" s="75" t="s">
        <v>14</v>
      </c>
      <c r="Y77" s="75" t="s">
        <v>14</v>
      </c>
      <c r="Z77" s="75" t="s">
        <v>14</v>
      </c>
      <c r="AA77" s="75" t="s">
        <v>14</v>
      </c>
      <c r="AB77" s="75" t="s">
        <v>14</v>
      </c>
      <c r="AC77" s="75"/>
    </row>
    <row r="78" spans="1:29" s="30" customFormat="1" ht="15.75" customHeight="1">
      <c r="A78" s="77">
        <v>44203</v>
      </c>
      <c r="B78" s="75" t="s">
        <v>82</v>
      </c>
      <c r="C78" s="75" t="s">
        <v>332</v>
      </c>
      <c r="D78" s="75" t="s">
        <v>226</v>
      </c>
      <c r="E78" s="182" t="s">
        <v>333</v>
      </c>
      <c r="F78" s="75"/>
      <c r="G78" s="75">
        <v>2</v>
      </c>
      <c r="H78" s="75">
        <v>2</v>
      </c>
      <c r="I78" s="75" t="s">
        <v>14</v>
      </c>
      <c r="J78" s="75" t="s">
        <v>334</v>
      </c>
      <c r="K78" s="75" t="str">
        <f>_xlfn.XLOOKUP(L78,'Inst summary and ER calculation'!$B$3:$B$904,'Inst summary and ER calculation'!$I$3:$I$904)</f>
        <v>5-6 years</v>
      </c>
      <c r="L78" s="78">
        <v>42109</v>
      </c>
      <c r="M78" s="75" t="s">
        <v>13</v>
      </c>
      <c r="N78" s="75"/>
      <c r="O78" s="75"/>
      <c r="P78" s="75"/>
      <c r="Q78" s="75"/>
      <c r="R78" s="75"/>
      <c r="S78" s="75"/>
      <c r="T78" s="75"/>
      <c r="U78" s="31" t="str">
        <f t="shared" si="2"/>
        <v/>
      </c>
      <c r="V78" s="75"/>
      <c r="W78" s="75"/>
      <c r="X78" s="75"/>
      <c r="Y78" s="75"/>
      <c r="Z78" s="75"/>
      <c r="AA78" s="75"/>
      <c r="AB78" s="75"/>
      <c r="AC78" s="75"/>
    </row>
    <row r="79" spans="1:29" s="30" customFormat="1" ht="15">
      <c r="A79" s="77">
        <v>44211</v>
      </c>
      <c r="B79" s="75" t="s">
        <v>241</v>
      </c>
      <c r="C79" s="75" t="s">
        <v>477</v>
      </c>
      <c r="D79" s="75" t="s">
        <v>226</v>
      </c>
      <c r="E79" s="181" t="s">
        <v>478</v>
      </c>
      <c r="F79" s="75"/>
      <c r="G79" s="75">
        <v>5</v>
      </c>
      <c r="H79" s="75">
        <v>0</v>
      </c>
      <c r="I79" s="75" t="s">
        <v>14</v>
      </c>
      <c r="J79" s="75" t="s">
        <v>479</v>
      </c>
      <c r="K79" s="75" t="str">
        <f>_xlfn.XLOOKUP(L79,'Inst summary and ER calculation'!$B$3:$B$904,'Inst summary and ER calculation'!$I$3:$I$904)</f>
        <v>5-6 years</v>
      </c>
      <c r="L79" s="78">
        <v>42073</v>
      </c>
      <c r="M79" s="75" t="s">
        <v>14</v>
      </c>
      <c r="N79" s="75">
        <v>18</v>
      </c>
      <c r="O79" s="75">
        <v>81</v>
      </c>
      <c r="P79" s="75" t="s">
        <v>14</v>
      </c>
      <c r="Q79" s="75" t="s">
        <v>13</v>
      </c>
      <c r="R79" s="75"/>
      <c r="S79" s="75"/>
      <c r="T79" s="75"/>
      <c r="U79" s="31" t="str">
        <f t="shared" si="2"/>
        <v/>
      </c>
      <c r="V79" s="75" t="s">
        <v>14</v>
      </c>
      <c r="W79" s="75" t="s">
        <v>14</v>
      </c>
      <c r="X79" s="75" t="s">
        <v>14</v>
      </c>
      <c r="Y79" s="75" t="s">
        <v>14</v>
      </c>
      <c r="Z79" s="75" t="s">
        <v>14</v>
      </c>
      <c r="AA79" s="75" t="s">
        <v>14</v>
      </c>
      <c r="AB79" s="75" t="s">
        <v>14</v>
      </c>
      <c r="AC79" s="75"/>
    </row>
    <row r="80" spans="1:29" s="30" customFormat="1" ht="15.75" customHeight="1">
      <c r="A80" s="77">
        <v>44210</v>
      </c>
      <c r="B80" s="75" t="s">
        <v>78</v>
      </c>
      <c r="C80" s="75" t="s">
        <v>366</v>
      </c>
      <c r="D80" s="75" t="s">
        <v>226</v>
      </c>
      <c r="E80" s="181" t="s">
        <v>367</v>
      </c>
      <c r="F80" s="75"/>
      <c r="G80" s="75">
        <v>2</v>
      </c>
      <c r="H80" s="75">
        <v>1</v>
      </c>
      <c r="I80" s="75" t="s">
        <v>14</v>
      </c>
      <c r="J80" s="75" t="s">
        <v>368</v>
      </c>
      <c r="K80" s="75" t="str">
        <f>_xlfn.XLOOKUP(L80,'Inst summary and ER calculation'!$B$3:$B$904,'Inst summary and ER calculation'!$I$3:$I$904)</f>
        <v>5-6 years</v>
      </c>
      <c r="L80" s="78">
        <v>42078</v>
      </c>
      <c r="M80" s="75" t="s">
        <v>14</v>
      </c>
      <c r="N80" s="75">
        <v>20</v>
      </c>
      <c r="O80" s="75">
        <v>78</v>
      </c>
      <c r="P80" s="75" t="s">
        <v>14</v>
      </c>
      <c r="Q80" s="75" t="s">
        <v>13</v>
      </c>
      <c r="R80" s="75"/>
      <c r="S80" s="75"/>
      <c r="T80" s="75"/>
      <c r="U80" s="31" t="str">
        <f t="shared" si="2"/>
        <v/>
      </c>
      <c r="V80" s="75" t="s">
        <v>14</v>
      </c>
      <c r="W80" s="75" t="s">
        <v>14</v>
      </c>
      <c r="X80" s="75" t="s">
        <v>14</v>
      </c>
      <c r="Y80" s="75" t="s">
        <v>14</v>
      </c>
      <c r="Z80" s="75" t="s">
        <v>14</v>
      </c>
      <c r="AA80" s="75" t="s">
        <v>14</v>
      </c>
      <c r="AB80" s="75" t="s">
        <v>14</v>
      </c>
      <c r="AC80" s="75"/>
    </row>
    <row r="81" spans="1:29" s="30" customFormat="1" ht="15">
      <c r="A81" s="77">
        <v>44211</v>
      </c>
      <c r="B81" s="75" t="s">
        <v>388</v>
      </c>
      <c r="C81" s="75" t="s">
        <v>389</v>
      </c>
      <c r="D81" s="75" t="s">
        <v>226</v>
      </c>
      <c r="E81" s="181" t="s">
        <v>390</v>
      </c>
      <c r="F81" s="75"/>
      <c r="G81" s="75">
        <v>2</v>
      </c>
      <c r="H81" s="75">
        <v>2</v>
      </c>
      <c r="I81" s="75" t="s">
        <v>14</v>
      </c>
      <c r="J81" s="75" t="s">
        <v>391</v>
      </c>
      <c r="K81" s="75" t="str">
        <f>_xlfn.XLOOKUP(L81,'Inst summary and ER calculation'!$B$3:$B$904,'Inst summary and ER calculation'!$I$3:$I$904)</f>
        <v>5-6 years</v>
      </c>
      <c r="L81" s="78">
        <v>42088</v>
      </c>
      <c r="M81" s="75" t="s">
        <v>14</v>
      </c>
      <c r="N81" s="75">
        <v>16</v>
      </c>
      <c r="O81" s="75">
        <v>75</v>
      </c>
      <c r="P81" s="75" t="s">
        <v>14</v>
      </c>
      <c r="Q81" s="75" t="s">
        <v>13</v>
      </c>
      <c r="R81" s="75"/>
      <c r="S81" s="75"/>
      <c r="T81" s="75"/>
      <c r="U81" s="31" t="str">
        <f t="shared" si="2"/>
        <v/>
      </c>
      <c r="V81" s="75" t="s">
        <v>14</v>
      </c>
      <c r="W81" s="75" t="s">
        <v>14</v>
      </c>
      <c r="X81" s="75" t="s">
        <v>14</v>
      </c>
      <c r="Y81" s="75" t="s">
        <v>14</v>
      </c>
      <c r="Z81" s="75" t="s">
        <v>14</v>
      </c>
      <c r="AA81" s="75" t="s">
        <v>14</v>
      </c>
      <c r="AB81" s="75" t="s">
        <v>14</v>
      </c>
      <c r="AC81" s="75"/>
    </row>
    <row r="82" spans="1:29" s="30" customFormat="1" ht="15.75" customHeight="1">
      <c r="A82" s="77">
        <v>44211</v>
      </c>
      <c r="B82" s="75" t="s">
        <v>78</v>
      </c>
      <c r="C82" s="75" t="s">
        <v>358</v>
      </c>
      <c r="D82" s="75" t="s">
        <v>226</v>
      </c>
      <c r="E82" s="181" t="s">
        <v>359</v>
      </c>
      <c r="F82" s="75"/>
      <c r="G82" s="75">
        <v>3</v>
      </c>
      <c r="H82" s="75">
        <v>2</v>
      </c>
      <c r="I82" s="75" t="s">
        <v>14</v>
      </c>
      <c r="J82" s="75" t="s">
        <v>360</v>
      </c>
      <c r="K82" s="75" t="str">
        <f>_xlfn.XLOOKUP(L82,'Inst summary and ER calculation'!$B$3:$B$904,'Inst summary and ER calculation'!$I$3:$I$904)</f>
        <v>6-7 years</v>
      </c>
      <c r="L82" s="78">
        <v>41988</v>
      </c>
      <c r="M82" s="75" t="s">
        <v>13</v>
      </c>
      <c r="N82" s="75"/>
      <c r="O82" s="75"/>
      <c r="P82" s="75"/>
      <c r="Q82" s="75"/>
      <c r="R82" s="75"/>
      <c r="S82" s="75"/>
      <c r="T82" s="75"/>
      <c r="U82" s="31" t="str">
        <f t="shared" si="2"/>
        <v/>
      </c>
      <c r="V82" s="75"/>
      <c r="W82" s="75"/>
      <c r="X82" s="75"/>
      <c r="Y82" s="75"/>
      <c r="Z82" s="75"/>
      <c r="AA82" s="75"/>
      <c r="AB82" s="75"/>
      <c r="AC82" s="75"/>
    </row>
    <row r="83" spans="1:29" s="30" customFormat="1" ht="15">
      <c r="A83" s="77">
        <v>44211</v>
      </c>
      <c r="B83" s="75" t="s">
        <v>78</v>
      </c>
      <c r="C83" s="75" t="s">
        <v>377</v>
      </c>
      <c r="D83" s="75" t="s">
        <v>226</v>
      </c>
      <c r="E83" s="181" t="s">
        <v>378</v>
      </c>
      <c r="F83" s="75"/>
      <c r="G83" s="75">
        <v>2</v>
      </c>
      <c r="H83" s="75">
        <v>2</v>
      </c>
      <c r="I83" s="75" t="s">
        <v>14</v>
      </c>
      <c r="J83" s="75" t="s">
        <v>379</v>
      </c>
      <c r="K83" s="75" t="str">
        <f>_xlfn.XLOOKUP(L83,'Inst summary and ER calculation'!$B$3:$B$904,'Inst summary and ER calculation'!$I$3:$I$904)</f>
        <v>5-6 years</v>
      </c>
      <c r="L83" s="78">
        <v>42170</v>
      </c>
      <c r="M83" s="75" t="s">
        <v>14</v>
      </c>
      <c r="N83" s="75">
        <v>18</v>
      </c>
      <c r="O83" s="75">
        <v>76</v>
      </c>
      <c r="P83" s="75" t="s">
        <v>14</v>
      </c>
      <c r="Q83" s="75" t="s">
        <v>13</v>
      </c>
      <c r="R83" s="75"/>
      <c r="S83" s="75"/>
      <c r="T83" s="75"/>
      <c r="U83" s="31" t="str">
        <f t="shared" si="2"/>
        <v/>
      </c>
      <c r="V83" s="75" t="s">
        <v>14</v>
      </c>
      <c r="W83" s="75" t="s">
        <v>14</v>
      </c>
      <c r="X83" s="75" t="s">
        <v>14</v>
      </c>
      <c r="Y83" s="75" t="s">
        <v>14</v>
      </c>
      <c r="Z83" s="75" t="s">
        <v>14</v>
      </c>
      <c r="AA83" s="75" t="s">
        <v>14</v>
      </c>
      <c r="AB83" s="75" t="s">
        <v>14</v>
      </c>
      <c r="AC83" s="75"/>
    </row>
    <row r="84" spans="1:29" s="30" customFormat="1" ht="15.75" customHeight="1">
      <c r="A84" s="77">
        <v>44210</v>
      </c>
      <c r="B84" s="75" t="s">
        <v>78</v>
      </c>
      <c r="C84" s="75" t="s">
        <v>421</v>
      </c>
      <c r="D84" s="75" t="s">
        <v>226</v>
      </c>
      <c r="E84" s="181" t="s">
        <v>422</v>
      </c>
      <c r="F84" s="75"/>
      <c r="G84" s="75">
        <v>3</v>
      </c>
      <c r="H84" s="75">
        <v>2</v>
      </c>
      <c r="I84" s="75" t="s">
        <v>14</v>
      </c>
      <c r="J84" s="75" t="s">
        <v>423</v>
      </c>
      <c r="K84" s="75" t="str">
        <f>_xlfn.XLOOKUP(L84,'Inst summary and ER calculation'!$B$3:$B$904,'Inst summary and ER calculation'!$I$3:$I$904)</f>
        <v>5-6 years</v>
      </c>
      <c r="L84" s="78">
        <v>42109</v>
      </c>
      <c r="M84" s="75" t="s">
        <v>14</v>
      </c>
      <c r="N84" s="75">
        <v>20</v>
      </c>
      <c r="O84" s="75">
        <v>78</v>
      </c>
      <c r="P84" s="75" t="s">
        <v>14</v>
      </c>
      <c r="Q84" s="75" t="s">
        <v>13</v>
      </c>
      <c r="R84" s="75"/>
      <c r="S84" s="75"/>
      <c r="T84" s="75"/>
      <c r="U84" s="31" t="str">
        <f t="shared" si="2"/>
        <v/>
      </c>
      <c r="V84" s="75" t="s">
        <v>14</v>
      </c>
      <c r="W84" s="75" t="s">
        <v>14</v>
      </c>
      <c r="X84" s="75" t="s">
        <v>14</v>
      </c>
      <c r="Y84" s="75" t="s">
        <v>14</v>
      </c>
      <c r="Z84" s="75" t="s">
        <v>14</v>
      </c>
      <c r="AA84" s="75" t="s">
        <v>14</v>
      </c>
      <c r="AB84" s="75" t="s">
        <v>14</v>
      </c>
      <c r="AC84" s="75"/>
    </row>
    <row r="85" spans="1:29" s="30" customFormat="1" ht="15">
      <c r="A85" s="77">
        <v>44205</v>
      </c>
      <c r="B85" s="75" t="s">
        <v>82</v>
      </c>
      <c r="C85" s="75" t="s">
        <v>352</v>
      </c>
      <c r="D85" s="79" t="s">
        <v>226</v>
      </c>
      <c r="E85" s="182" t="s">
        <v>353</v>
      </c>
      <c r="F85" s="75"/>
      <c r="G85" s="75">
        <v>2</v>
      </c>
      <c r="H85" s="75">
        <v>3</v>
      </c>
      <c r="I85" s="75" t="s">
        <v>14</v>
      </c>
      <c r="J85" s="75" t="s">
        <v>354</v>
      </c>
      <c r="K85" s="75" t="str">
        <f>_xlfn.XLOOKUP(L85,'Inst summary and ER calculation'!$B$3:$B$904,'Inst summary and ER calculation'!$I$3:$I$904)</f>
        <v>6-7 years</v>
      </c>
      <c r="L85" s="78">
        <v>42050</v>
      </c>
      <c r="M85" s="75" t="s">
        <v>13</v>
      </c>
      <c r="N85" s="75"/>
      <c r="O85" s="75"/>
      <c r="P85" s="75"/>
      <c r="Q85" s="75"/>
      <c r="R85" s="75"/>
      <c r="S85" s="75"/>
      <c r="T85" s="75"/>
      <c r="U85" s="31" t="str">
        <f t="shared" si="2"/>
        <v/>
      </c>
      <c r="V85" s="75"/>
      <c r="W85" s="75"/>
      <c r="X85" s="75"/>
      <c r="Y85" s="75"/>
      <c r="Z85" s="75"/>
      <c r="AA85" s="75"/>
      <c r="AB85" s="75"/>
      <c r="AC85" s="75"/>
    </row>
    <row r="86" spans="1:29" s="30" customFormat="1" ht="15.75" customHeight="1">
      <c r="A86" s="77">
        <v>44206</v>
      </c>
      <c r="B86" s="75" t="s">
        <v>112</v>
      </c>
      <c r="C86" s="75" t="s">
        <v>922</v>
      </c>
      <c r="D86" s="75" t="s">
        <v>226</v>
      </c>
      <c r="E86" s="182" t="s">
        <v>429</v>
      </c>
      <c r="F86" s="75"/>
      <c r="G86" s="75">
        <v>3</v>
      </c>
      <c r="H86" s="75">
        <v>1</v>
      </c>
      <c r="I86" s="75" t="s">
        <v>14</v>
      </c>
      <c r="J86" s="75" t="s">
        <v>430</v>
      </c>
      <c r="K86" s="75" t="str">
        <f>_xlfn.XLOOKUP(L86,'Inst summary and ER calculation'!$B$3:$B$904,'Inst summary and ER calculation'!$I$3:$I$904)</f>
        <v>6-7 years</v>
      </c>
      <c r="L86" s="78">
        <v>41933</v>
      </c>
      <c r="M86" s="75" t="s">
        <v>14</v>
      </c>
      <c r="N86" s="75">
        <v>21</v>
      </c>
      <c r="O86" s="75">
        <v>84</v>
      </c>
      <c r="P86" s="75" t="s">
        <v>14</v>
      </c>
      <c r="Q86" s="75" t="s">
        <v>13</v>
      </c>
      <c r="R86" s="75"/>
      <c r="S86" s="75"/>
      <c r="T86" s="75"/>
      <c r="U86" s="31" t="str">
        <f t="shared" si="2"/>
        <v/>
      </c>
      <c r="V86" s="75" t="s">
        <v>14</v>
      </c>
      <c r="W86" s="75" t="s">
        <v>14</v>
      </c>
      <c r="X86" s="75" t="s">
        <v>14</v>
      </c>
      <c r="Y86" s="75" t="s">
        <v>14</v>
      </c>
      <c r="Z86" s="75" t="s">
        <v>14</v>
      </c>
      <c r="AA86" s="75" t="s">
        <v>14</v>
      </c>
      <c r="AB86" s="75" t="s">
        <v>14</v>
      </c>
      <c r="AC86" s="75"/>
    </row>
    <row r="87" spans="1:29" s="30" customFormat="1" ht="15">
      <c r="A87" s="77">
        <v>44212</v>
      </c>
      <c r="B87" s="75" t="s">
        <v>244</v>
      </c>
      <c r="C87" s="75" t="s">
        <v>912</v>
      </c>
      <c r="D87" s="75" t="s">
        <v>226</v>
      </c>
      <c r="E87" s="181" t="s">
        <v>507</v>
      </c>
      <c r="F87" s="75"/>
      <c r="G87" s="75">
        <v>3</v>
      </c>
      <c r="H87" s="75">
        <v>1</v>
      </c>
      <c r="I87" s="75" t="s">
        <v>14</v>
      </c>
      <c r="J87" s="75" t="s">
        <v>508</v>
      </c>
      <c r="K87" s="75" t="str">
        <f>_xlfn.XLOOKUP(L87,'Inst summary and ER calculation'!$B$3:$B$904,'Inst summary and ER calculation'!$I$3:$I$904)</f>
        <v>5-6 years</v>
      </c>
      <c r="L87" s="78">
        <v>42124</v>
      </c>
      <c r="M87" s="75" t="s">
        <v>14</v>
      </c>
      <c r="N87" s="75">
        <v>21</v>
      </c>
      <c r="O87" s="75">
        <v>90</v>
      </c>
      <c r="P87" s="75" t="s">
        <v>14</v>
      </c>
      <c r="Q87" s="75" t="s">
        <v>13</v>
      </c>
      <c r="R87" s="75"/>
      <c r="S87" s="75"/>
      <c r="T87" s="75"/>
      <c r="U87" s="31" t="str">
        <f t="shared" si="2"/>
        <v/>
      </c>
      <c r="V87" s="75" t="s">
        <v>14</v>
      </c>
      <c r="W87" s="75" t="s">
        <v>14</v>
      </c>
      <c r="X87" s="75" t="s">
        <v>14</v>
      </c>
      <c r="Y87" s="75" t="s">
        <v>14</v>
      </c>
      <c r="Z87" s="75" t="s">
        <v>14</v>
      </c>
      <c r="AA87" s="75" t="s">
        <v>14</v>
      </c>
      <c r="AB87" s="75" t="s">
        <v>14</v>
      </c>
      <c r="AC87" s="75"/>
    </row>
    <row r="88" spans="1:29" s="30" customFormat="1" ht="15.75" customHeight="1">
      <c r="A88" s="77">
        <v>44211</v>
      </c>
      <c r="B88" s="75" t="s">
        <v>118</v>
      </c>
      <c r="C88" s="75" t="s">
        <v>897</v>
      </c>
      <c r="D88" s="75" t="s">
        <v>226</v>
      </c>
      <c r="E88" s="181" t="s">
        <v>591</v>
      </c>
      <c r="F88" s="75"/>
      <c r="G88" s="75">
        <v>2</v>
      </c>
      <c r="H88" s="75">
        <v>2</v>
      </c>
      <c r="I88" s="75" t="s">
        <v>14</v>
      </c>
      <c r="J88" s="75" t="s">
        <v>592</v>
      </c>
      <c r="K88" s="75" t="str">
        <f>_xlfn.XLOOKUP(L88,'Inst summary and ER calculation'!$B$3:$B$904,'Inst summary and ER calculation'!$I$3:$I$904)</f>
        <v>5-6 years</v>
      </c>
      <c r="L88" s="78">
        <v>42171</v>
      </c>
      <c r="M88" s="75" t="s">
        <v>14</v>
      </c>
      <c r="N88" s="75">
        <v>21</v>
      </c>
      <c r="O88" s="75">
        <v>84</v>
      </c>
      <c r="P88" s="75" t="s">
        <v>14</v>
      </c>
      <c r="Q88" s="75" t="s">
        <v>13</v>
      </c>
      <c r="R88" s="75"/>
      <c r="S88" s="75"/>
      <c r="T88" s="75"/>
      <c r="U88" s="31" t="str">
        <f t="shared" si="2"/>
        <v/>
      </c>
      <c r="V88" s="75" t="s">
        <v>14</v>
      </c>
      <c r="W88" s="75" t="s">
        <v>14</v>
      </c>
      <c r="X88" s="75" t="s">
        <v>14</v>
      </c>
      <c r="Y88" s="75" t="s">
        <v>14</v>
      </c>
      <c r="Z88" s="75" t="s">
        <v>14</v>
      </c>
      <c r="AA88" s="75" t="s">
        <v>14</v>
      </c>
      <c r="AB88" s="75" t="s">
        <v>14</v>
      </c>
      <c r="AC88" s="75"/>
    </row>
    <row r="89" spans="1:29" s="30" customFormat="1" ht="15">
      <c r="A89" s="77">
        <v>44212</v>
      </c>
      <c r="B89" s="75" t="s">
        <v>230</v>
      </c>
      <c r="C89" s="75" t="s">
        <v>890</v>
      </c>
      <c r="D89" s="75" t="s">
        <v>226</v>
      </c>
      <c r="E89" s="181" t="s">
        <v>777</v>
      </c>
      <c r="F89" s="75"/>
      <c r="G89" s="75">
        <v>2</v>
      </c>
      <c r="H89" s="75">
        <v>3</v>
      </c>
      <c r="I89" s="75" t="s">
        <v>14</v>
      </c>
      <c r="J89" s="75" t="s">
        <v>778</v>
      </c>
      <c r="K89" s="75" t="str">
        <f>_xlfn.XLOOKUP(L89,'Inst summary and ER calculation'!$B$3:$B$904,'Inst summary and ER calculation'!$I$3:$I$904)</f>
        <v>5-6 years</v>
      </c>
      <c r="L89" s="78">
        <v>42165</v>
      </c>
      <c r="M89" s="75" t="s">
        <v>14</v>
      </c>
      <c r="N89" s="75">
        <v>14</v>
      </c>
      <c r="O89" s="75">
        <v>60</v>
      </c>
      <c r="P89" s="75" t="s">
        <v>14</v>
      </c>
      <c r="Q89" s="75" t="s">
        <v>13</v>
      </c>
      <c r="R89" s="75"/>
      <c r="S89" s="75"/>
      <c r="T89" s="75"/>
      <c r="U89" s="31" t="str">
        <f t="shared" si="2"/>
        <v/>
      </c>
      <c r="V89" s="75" t="s">
        <v>14</v>
      </c>
      <c r="W89" s="75" t="s">
        <v>14</v>
      </c>
      <c r="X89" s="75" t="s">
        <v>14</v>
      </c>
      <c r="Y89" s="75" t="s">
        <v>14</v>
      </c>
      <c r="Z89" s="75" t="s">
        <v>14</v>
      </c>
      <c r="AA89" s="75" t="s">
        <v>14</v>
      </c>
      <c r="AB89" s="75" t="s">
        <v>14</v>
      </c>
      <c r="AC89" s="75"/>
    </row>
    <row r="90" spans="1:29" s="30" customFormat="1" ht="15.75" customHeight="1">
      <c r="A90" s="77">
        <v>44211</v>
      </c>
      <c r="B90" s="75" t="s">
        <v>246</v>
      </c>
      <c r="C90" s="75" t="s">
        <v>43</v>
      </c>
      <c r="D90" s="75" t="s">
        <v>226</v>
      </c>
      <c r="E90" s="181" t="s">
        <v>459</v>
      </c>
      <c r="F90" s="75"/>
      <c r="G90" s="75">
        <v>5</v>
      </c>
      <c r="H90" s="75">
        <v>2</v>
      </c>
      <c r="I90" s="75" t="s">
        <v>14</v>
      </c>
      <c r="J90" s="75" t="s">
        <v>460</v>
      </c>
      <c r="K90" s="75" t="str">
        <f>_xlfn.XLOOKUP(L90,'Inst summary and ER calculation'!$B$3:$B$904,'Inst summary and ER calculation'!$I$3:$I$904)</f>
        <v>5-6 years</v>
      </c>
      <c r="L90" s="78">
        <v>42122</v>
      </c>
      <c r="M90" s="75" t="s">
        <v>14</v>
      </c>
      <c r="N90" s="75">
        <v>14</v>
      </c>
      <c r="O90" s="75">
        <v>60</v>
      </c>
      <c r="P90" s="75" t="s">
        <v>14</v>
      </c>
      <c r="Q90" s="75" t="s">
        <v>13</v>
      </c>
      <c r="R90" s="75"/>
      <c r="S90" s="75"/>
      <c r="T90" s="75"/>
      <c r="U90" s="31" t="str">
        <f t="shared" si="2"/>
        <v/>
      </c>
      <c r="V90" s="75" t="s">
        <v>14</v>
      </c>
      <c r="W90" s="75" t="s">
        <v>14</v>
      </c>
      <c r="X90" s="75" t="s">
        <v>14</v>
      </c>
      <c r="Y90" s="75" t="s">
        <v>14</v>
      </c>
      <c r="Z90" s="75" t="s">
        <v>14</v>
      </c>
      <c r="AA90" s="75" t="s">
        <v>14</v>
      </c>
      <c r="AB90" s="75" t="s">
        <v>14</v>
      </c>
      <c r="AC90" s="75"/>
    </row>
    <row r="91" spans="1:29" s="30" customFormat="1" ht="15">
      <c r="A91" s="77">
        <v>44205</v>
      </c>
      <c r="B91" s="75" t="s">
        <v>417</v>
      </c>
      <c r="C91" s="75" t="s">
        <v>418</v>
      </c>
      <c r="D91" s="75" t="s">
        <v>226</v>
      </c>
      <c r="E91" s="182" t="s">
        <v>419</v>
      </c>
      <c r="F91" s="75"/>
      <c r="G91" s="75">
        <v>5</v>
      </c>
      <c r="H91" s="75">
        <v>1</v>
      </c>
      <c r="I91" s="75" t="s">
        <v>14</v>
      </c>
      <c r="J91" s="75" t="s">
        <v>420</v>
      </c>
      <c r="K91" s="75" t="str">
        <f>_xlfn.XLOOKUP(L91,'Inst summary and ER calculation'!$B$3:$B$904,'Inst summary and ER calculation'!$I$3:$I$904)</f>
        <v>6-7 years</v>
      </c>
      <c r="L91" s="78">
        <v>41950</v>
      </c>
      <c r="M91" s="75" t="s">
        <v>14</v>
      </c>
      <c r="N91" s="75">
        <v>14</v>
      </c>
      <c r="O91" s="75">
        <v>60</v>
      </c>
      <c r="P91" s="75" t="s">
        <v>14</v>
      </c>
      <c r="Q91" s="75" t="s">
        <v>13</v>
      </c>
      <c r="R91" s="75"/>
      <c r="S91" s="75"/>
      <c r="T91" s="75"/>
      <c r="U91" s="31" t="str">
        <f t="shared" si="2"/>
        <v/>
      </c>
      <c r="V91" s="75" t="s">
        <v>14</v>
      </c>
      <c r="W91" s="75" t="s">
        <v>14</v>
      </c>
      <c r="X91" s="75" t="s">
        <v>14</v>
      </c>
      <c r="Y91" s="75" t="s">
        <v>14</v>
      </c>
      <c r="Z91" s="75" t="s">
        <v>14</v>
      </c>
      <c r="AA91" s="75" t="s">
        <v>14</v>
      </c>
      <c r="AB91" s="75" t="s">
        <v>14</v>
      </c>
      <c r="AC91" s="75"/>
    </row>
    <row r="92" spans="1:29" s="30" customFormat="1" ht="15.75" customHeight="1">
      <c r="A92" s="77">
        <v>44210</v>
      </c>
      <c r="B92" s="75" t="s">
        <v>135</v>
      </c>
      <c r="C92" s="75" t="s">
        <v>400</v>
      </c>
      <c r="D92" s="79" t="s">
        <v>226</v>
      </c>
      <c r="E92" s="181" t="s">
        <v>401</v>
      </c>
      <c r="F92" s="75"/>
      <c r="G92" s="75">
        <v>3</v>
      </c>
      <c r="H92" s="75">
        <v>1</v>
      </c>
      <c r="I92" s="75" t="s">
        <v>14</v>
      </c>
      <c r="J92" s="75" t="s">
        <v>402</v>
      </c>
      <c r="K92" s="75" t="str">
        <f>_xlfn.XLOOKUP(L92,'Inst summary and ER calculation'!$B$3:$B$904,'Inst summary and ER calculation'!$I$3:$I$904)</f>
        <v>6-7 years</v>
      </c>
      <c r="L92" s="78">
        <v>41927</v>
      </c>
      <c r="M92" s="75" t="s">
        <v>14</v>
      </c>
      <c r="N92" s="75">
        <v>21</v>
      </c>
      <c r="O92" s="75">
        <v>90</v>
      </c>
      <c r="P92" s="75" t="s">
        <v>14</v>
      </c>
      <c r="Q92" s="75" t="s">
        <v>13</v>
      </c>
      <c r="R92" s="75"/>
      <c r="S92" s="75"/>
      <c r="T92" s="75"/>
      <c r="U92" s="31" t="str">
        <f t="shared" si="2"/>
        <v/>
      </c>
      <c r="V92" s="75" t="s">
        <v>14</v>
      </c>
      <c r="W92" s="75" t="s">
        <v>14</v>
      </c>
      <c r="X92" s="75" t="s">
        <v>14</v>
      </c>
      <c r="Y92" s="75" t="s">
        <v>14</v>
      </c>
      <c r="Z92" s="75" t="s">
        <v>14</v>
      </c>
      <c r="AA92" s="75" t="s">
        <v>14</v>
      </c>
      <c r="AB92" s="75" t="s">
        <v>14</v>
      </c>
      <c r="AC92" s="75"/>
    </row>
    <row r="93" spans="1:29" s="30" customFormat="1" ht="15">
      <c r="A93" s="77">
        <v>44210</v>
      </c>
      <c r="B93" s="75" t="s">
        <v>237</v>
      </c>
      <c r="C93" s="75" t="s">
        <v>701</v>
      </c>
      <c r="D93" s="75" t="s">
        <v>226</v>
      </c>
      <c r="E93" s="181" t="s">
        <v>702</v>
      </c>
      <c r="F93" s="75"/>
      <c r="G93" s="75">
        <v>3</v>
      </c>
      <c r="H93" s="75">
        <v>2</v>
      </c>
      <c r="I93" s="75" t="s">
        <v>14</v>
      </c>
      <c r="J93" s="75" t="s">
        <v>703</v>
      </c>
      <c r="K93" s="75" t="str">
        <f>_xlfn.XLOOKUP(L93,'Inst summary and ER calculation'!$B$3:$B$904,'Inst summary and ER calculation'!$I$3:$I$904)</f>
        <v>6-7 years</v>
      </c>
      <c r="L93" s="78">
        <v>41902</v>
      </c>
      <c r="M93" s="75" t="s">
        <v>14</v>
      </c>
      <c r="N93" s="75">
        <v>14</v>
      </c>
      <c r="O93" s="75">
        <v>60</v>
      </c>
      <c r="P93" s="75" t="s">
        <v>14</v>
      </c>
      <c r="Q93" s="75" t="s">
        <v>13</v>
      </c>
      <c r="R93" s="75"/>
      <c r="S93" s="75"/>
      <c r="T93" s="75"/>
      <c r="U93" s="31" t="str">
        <f t="shared" si="2"/>
        <v/>
      </c>
      <c r="V93" s="75" t="s">
        <v>14</v>
      </c>
      <c r="W93" s="75" t="s">
        <v>14</v>
      </c>
      <c r="X93" s="75" t="s">
        <v>14</v>
      </c>
      <c r="Y93" s="75" t="s">
        <v>14</v>
      </c>
      <c r="Z93" s="75" t="s">
        <v>14</v>
      </c>
      <c r="AA93" s="75" t="s">
        <v>14</v>
      </c>
      <c r="AB93" s="75" t="s">
        <v>14</v>
      </c>
      <c r="AC93" s="75"/>
    </row>
    <row r="94" spans="1:29" s="30" customFormat="1" ht="15.75" customHeight="1">
      <c r="A94" s="77">
        <v>44210</v>
      </c>
      <c r="B94" s="75" t="s">
        <v>234</v>
      </c>
      <c r="C94" s="75" t="s">
        <v>630</v>
      </c>
      <c r="D94" s="75" t="s">
        <v>226</v>
      </c>
      <c r="E94" s="181" t="s">
        <v>631</v>
      </c>
      <c r="F94" s="75"/>
      <c r="G94" s="75">
        <v>4</v>
      </c>
      <c r="H94" s="75">
        <v>1</v>
      </c>
      <c r="I94" s="75" t="s">
        <v>14</v>
      </c>
      <c r="J94" s="75" t="s">
        <v>632</v>
      </c>
      <c r="K94" s="75" t="str">
        <f>_xlfn.XLOOKUP(L94,'Inst summary and ER calculation'!$B$3:$B$904,'Inst summary and ER calculation'!$I$3:$I$904)</f>
        <v>5-6 years</v>
      </c>
      <c r="L94" s="78">
        <v>42149</v>
      </c>
      <c r="M94" s="75" t="s">
        <v>14</v>
      </c>
      <c r="N94" s="75">
        <v>14</v>
      </c>
      <c r="O94" s="75">
        <v>60</v>
      </c>
      <c r="P94" s="75" t="s">
        <v>14</v>
      </c>
      <c r="Q94" s="75" t="s">
        <v>13</v>
      </c>
      <c r="R94" s="75"/>
      <c r="S94" s="75"/>
      <c r="T94" s="75"/>
      <c r="U94" s="31" t="str">
        <f t="shared" si="2"/>
        <v/>
      </c>
      <c r="V94" s="75" t="s">
        <v>14</v>
      </c>
      <c r="W94" s="75" t="s">
        <v>14</v>
      </c>
      <c r="X94" s="75" t="s">
        <v>14</v>
      </c>
      <c r="Y94" s="75" t="s">
        <v>14</v>
      </c>
      <c r="Z94" s="75" t="s">
        <v>14</v>
      </c>
      <c r="AA94" s="75" t="s">
        <v>14</v>
      </c>
      <c r="AB94" s="75" t="s">
        <v>14</v>
      </c>
      <c r="AC94" s="75"/>
    </row>
    <row r="95" spans="1:29" s="30" customFormat="1" ht="15">
      <c r="A95" s="77">
        <v>44202</v>
      </c>
      <c r="B95" s="75" t="s">
        <v>265</v>
      </c>
      <c r="C95" s="75" t="s">
        <v>926</v>
      </c>
      <c r="D95" s="75" t="s">
        <v>226</v>
      </c>
      <c r="E95" s="180" t="s">
        <v>726</v>
      </c>
      <c r="F95" s="80"/>
      <c r="G95" s="75">
        <v>4</v>
      </c>
      <c r="H95" s="75">
        <v>1</v>
      </c>
      <c r="I95" s="75" t="s">
        <v>14</v>
      </c>
      <c r="J95" s="75" t="s">
        <v>727</v>
      </c>
      <c r="K95" s="75" t="str">
        <f>_xlfn.XLOOKUP(L95,'Inst summary and ER calculation'!$B$3:$B$904,'Inst summary and ER calculation'!$I$3:$I$904)</f>
        <v>5-6 years</v>
      </c>
      <c r="L95" s="78">
        <v>42123</v>
      </c>
      <c r="M95" s="75" t="s">
        <v>14</v>
      </c>
      <c r="N95" s="75">
        <v>14</v>
      </c>
      <c r="O95" s="75">
        <v>60</v>
      </c>
      <c r="P95" s="75" t="s">
        <v>14</v>
      </c>
      <c r="Q95" s="75" t="s">
        <v>13</v>
      </c>
      <c r="R95" s="75"/>
      <c r="S95" s="75"/>
      <c r="T95" s="75"/>
      <c r="U95" s="31" t="str">
        <f t="shared" si="2"/>
        <v/>
      </c>
      <c r="V95" s="75" t="s">
        <v>14</v>
      </c>
      <c r="W95" s="75" t="s">
        <v>14</v>
      </c>
      <c r="X95" s="75" t="s">
        <v>14</v>
      </c>
      <c r="Y95" s="75" t="s">
        <v>14</v>
      </c>
      <c r="Z95" s="75" t="s">
        <v>14</v>
      </c>
      <c r="AA95" s="75" t="s">
        <v>14</v>
      </c>
      <c r="AB95" s="75" t="s">
        <v>14</v>
      </c>
      <c r="AC95" s="75"/>
    </row>
    <row r="96" spans="1:29" s="30" customFormat="1" ht="15.75" customHeight="1">
      <c r="A96" s="77">
        <v>44211</v>
      </c>
      <c r="B96" s="75" t="s">
        <v>243</v>
      </c>
      <c r="C96" s="75" t="s">
        <v>906</v>
      </c>
      <c r="D96" s="75" t="s">
        <v>226</v>
      </c>
      <c r="E96" s="181" t="s">
        <v>440</v>
      </c>
      <c r="F96" s="75"/>
      <c r="G96" s="75">
        <v>2</v>
      </c>
      <c r="H96" s="75">
        <v>1</v>
      </c>
      <c r="I96" s="75" t="s">
        <v>14</v>
      </c>
      <c r="J96" s="75" t="s">
        <v>441</v>
      </c>
      <c r="K96" s="75" t="str">
        <f>_xlfn.XLOOKUP(L96,'Inst summary and ER calculation'!$B$3:$B$904,'Inst summary and ER calculation'!$I$3:$I$904)</f>
        <v>6-7 years</v>
      </c>
      <c r="L96" s="78">
        <v>41902</v>
      </c>
      <c r="M96" s="75" t="s">
        <v>14</v>
      </c>
      <c r="N96" s="75">
        <v>18</v>
      </c>
      <c r="O96" s="75">
        <v>80</v>
      </c>
      <c r="P96" s="75" t="s">
        <v>14</v>
      </c>
      <c r="Q96" s="75" t="s">
        <v>13</v>
      </c>
      <c r="R96" s="75"/>
      <c r="S96" s="75"/>
      <c r="T96" s="75"/>
      <c r="U96" s="31" t="str">
        <f t="shared" si="2"/>
        <v/>
      </c>
      <c r="V96" s="75" t="s">
        <v>14</v>
      </c>
      <c r="W96" s="75" t="s">
        <v>14</v>
      </c>
      <c r="X96" s="75" t="s">
        <v>14</v>
      </c>
      <c r="Y96" s="75" t="s">
        <v>14</v>
      </c>
      <c r="Z96" s="75" t="s">
        <v>14</v>
      </c>
      <c r="AA96" s="75" t="s">
        <v>14</v>
      </c>
      <c r="AB96" s="75" t="s">
        <v>14</v>
      </c>
      <c r="AC96" s="75"/>
    </row>
    <row r="97" spans="1:29" s="30" customFormat="1" ht="15">
      <c r="A97" s="77">
        <v>44200</v>
      </c>
      <c r="B97" s="75" t="s">
        <v>84</v>
      </c>
      <c r="C97" s="75" t="s">
        <v>764</v>
      </c>
      <c r="D97" s="75" t="s">
        <v>226</v>
      </c>
      <c r="E97" s="181" t="s">
        <v>765</v>
      </c>
      <c r="F97" s="75"/>
      <c r="G97" s="75">
        <v>2</v>
      </c>
      <c r="H97" s="75">
        <v>1</v>
      </c>
      <c r="I97" s="75" t="s">
        <v>14</v>
      </c>
      <c r="J97" s="75" t="s">
        <v>766</v>
      </c>
      <c r="K97" s="75" t="str">
        <f>_xlfn.XLOOKUP(L97,'Inst summary and ER calculation'!$B$3:$B$904,'Inst summary and ER calculation'!$I$3:$I$904)</f>
        <v>6-7 years</v>
      </c>
      <c r="L97" s="81">
        <v>42019</v>
      </c>
      <c r="M97" s="75" t="s">
        <v>14</v>
      </c>
      <c r="N97" s="75">
        <v>14</v>
      </c>
      <c r="O97" s="75">
        <v>60</v>
      </c>
      <c r="P97" s="75" t="s">
        <v>14</v>
      </c>
      <c r="Q97" s="75" t="s">
        <v>13</v>
      </c>
      <c r="R97" s="75"/>
      <c r="S97" s="75"/>
      <c r="T97" s="75"/>
      <c r="U97" s="31" t="str">
        <f t="shared" si="2"/>
        <v/>
      </c>
      <c r="V97" s="75" t="s">
        <v>14</v>
      </c>
      <c r="W97" s="75" t="s">
        <v>14</v>
      </c>
      <c r="X97" s="75" t="s">
        <v>14</v>
      </c>
      <c r="Y97" s="75" t="s">
        <v>14</v>
      </c>
      <c r="Z97" s="75" t="s">
        <v>14</v>
      </c>
      <c r="AA97" s="75" t="s">
        <v>14</v>
      </c>
      <c r="AB97" s="75" t="s">
        <v>14</v>
      </c>
      <c r="AC97" s="75"/>
    </row>
    <row r="98" spans="1:29" s="30" customFormat="1" ht="15.75" customHeight="1">
      <c r="A98" s="77">
        <v>44211</v>
      </c>
      <c r="B98" s="75" t="s">
        <v>121</v>
      </c>
      <c r="C98" s="75" t="s">
        <v>928</v>
      </c>
      <c r="D98" s="75" t="s">
        <v>226</v>
      </c>
      <c r="E98" s="181" t="s">
        <v>618</v>
      </c>
      <c r="F98" s="75"/>
      <c r="G98" s="75">
        <v>4</v>
      </c>
      <c r="H98" s="75">
        <v>0</v>
      </c>
      <c r="I98" s="75" t="s">
        <v>14</v>
      </c>
      <c r="J98" s="75" t="s">
        <v>619</v>
      </c>
      <c r="K98" s="75" t="str">
        <f>_xlfn.XLOOKUP(L98,'Inst summary and ER calculation'!$B$3:$B$904,'Inst summary and ER calculation'!$I$3:$I$904)</f>
        <v>5-6 years</v>
      </c>
      <c r="L98" s="78">
        <v>42102</v>
      </c>
      <c r="M98" s="75" t="s">
        <v>14</v>
      </c>
      <c r="N98" s="75">
        <v>20</v>
      </c>
      <c r="O98" s="75">
        <v>84</v>
      </c>
      <c r="P98" s="75" t="s">
        <v>14</v>
      </c>
      <c r="Q98" s="75" t="s">
        <v>13</v>
      </c>
      <c r="R98" s="75"/>
      <c r="S98" s="75"/>
      <c r="T98" s="75"/>
      <c r="U98" s="31" t="str">
        <f t="shared" si="2"/>
        <v/>
      </c>
      <c r="V98" s="75" t="s">
        <v>14</v>
      </c>
      <c r="W98" s="75" t="s">
        <v>14</v>
      </c>
      <c r="X98" s="75" t="s">
        <v>14</v>
      </c>
      <c r="Y98" s="75" t="s">
        <v>14</v>
      </c>
      <c r="Z98" s="75" t="s">
        <v>14</v>
      </c>
      <c r="AA98" s="75" t="s">
        <v>14</v>
      </c>
      <c r="AB98" s="75" t="s">
        <v>14</v>
      </c>
      <c r="AC98" s="75"/>
    </row>
    <row r="99" spans="1:29" s="30" customFormat="1" ht="15">
      <c r="A99" s="77">
        <v>44202</v>
      </c>
      <c r="B99" s="75" t="s">
        <v>84</v>
      </c>
      <c r="C99" s="75" t="s">
        <v>615</v>
      </c>
      <c r="D99" s="79" t="s">
        <v>226</v>
      </c>
      <c r="E99" s="182" t="s">
        <v>616</v>
      </c>
      <c r="F99" s="75"/>
      <c r="G99" s="75">
        <v>2</v>
      </c>
      <c r="H99" s="75">
        <v>2</v>
      </c>
      <c r="I99" s="75" t="s">
        <v>14</v>
      </c>
      <c r="J99" s="80" t="s">
        <v>617</v>
      </c>
      <c r="K99" s="75" t="str">
        <f>_xlfn.XLOOKUP(L99,'Inst summary and ER calculation'!$B$3:$B$904,'Inst summary and ER calculation'!$I$3:$I$904)</f>
        <v>6-7 years</v>
      </c>
      <c r="L99" s="84">
        <v>41866</v>
      </c>
      <c r="M99" s="75" t="s">
        <v>14</v>
      </c>
      <c r="N99" s="75">
        <v>14</v>
      </c>
      <c r="O99" s="75">
        <v>60</v>
      </c>
      <c r="P99" s="75" t="s">
        <v>14</v>
      </c>
      <c r="Q99" s="75" t="s">
        <v>13</v>
      </c>
      <c r="R99" s="75"/>
      <c r="S99" s="75"/>
      <c r="T99" s="75"/>
      <c r="U99" s="31" t="str">
        <f t="shared" ref="U99:U130" si="3">IF(R99="Yes",MAX(S99/(S99+N99),T99/(T99+O99)),"")</f>
        <v/>
      </c>
      <c r="V99" s="75" t="s">
        <v>14</v>
      </c>
      <c r="W99" s="75" t="s">
        <v>14</v>
      </c>
      <c r="X99" s="75" t="s">
        <v>14</v>
      </c>
      <c r="Y99" s="75" t="s">
        <v>14</v>
      </c>
      <c r="Z99" s="75" t="s">
        <v>14</v>
      </c>
      <c r="AA99" s="75" t="s">
        <v>14</v>
      </c>
      <c r="AB99" s="75" t="s">
        <v>14</v>
      </c>
      <c r="AC99" s="75"/>
    </row>
    <row r="100" spans="1:29" s="30" customFormat="1" ht="15.75" customHeight="1">
      <c r="A100" s="77">
        <v>44212</v>
      </c>
      <c r="B100" s="75" t="s">
        <v>242</v>
      </c>
      <c r="C100" s="75" t="s">
        <v>550</v>
      </c>
      <c r="D100" s="75" t="s">
        <v>226</v>
      </c>
      <c r="E100" s="181" t="s">
        <v>551</v>
      </c>
      <c r="F100" s="75"/>
      <c r="G100" s="75">
        <v>4</v>
      </c>
      <c r="H100" s="75">
        <v>1</v>
      </c>
      <c r="I100" s="75" t="s">
        <v>14</v>
      </c>
      <c r="J100" s="75" t="s">
        <v>552</v>
      </c>
      <c r="K100" s="75" t="str">
        <f>_xlfn.XLOOKUP(L100,'Inst summary and ER calculation'!$B$3:$B$904,'Inst summary and ER calculation'!$I$3:$I$904)</f>
        <v>5-6 years</v>
      </c>
      <c r="L100" s="78">
        <v>42155</v>
      </c>
      <c r="M100" s="75" t="s">
        <v>14</v>
      </c>
      <c r="N100" s="75">
        <v>21</v>
      </c>
      <c r="O100" s="75">
        <v>85</v>
      </c>
      <c r="P100" s="75" t="s">
        <v>14</v>
      </c>
      <c r="Q100" s="75" t="s">
        <v>13</v>
      </c>
      <c r="R100" s="75"/>
      <c r="S100" s="75"/>
      <c r="T100" s="75"/>
      <c r="U100" s="31" t="str">
        <f t="shared" si="3"/>
        <v/>
      </c>
      <c r="V100" s="75" t="s">
        <v>14</v>
      </c>
      <c r="W100" s="75" t="s">
        <v>14</v>
      </c>
      <c r="X100" s="75" t="s">
        <v>14</v>
      </c>
      <c r="Y100" s="75" t="s">
        <v>14</v>
      </c>
      <c r="Z100" s="75" t="s">
        <v>14</v>
      </c>
      <c r="AA100" s="75" t="s">
        <v>14</v>
      </c>
      <c r="AB100" s="75" t="s">
        <v>14</v>
      </c>
      <c r="AC100" s="75"/>
    </row>
    <row r="101" spans="1:29" s="30" customFormat="1" ht="15">
      <c r="A101" s="77">
        <v>44205</v>
      </c>
      <c r="B101" s="75" t="s">
        <v>122</v>
      </c>
      <c r="C101" s="75" t="s">
        <v>905</v>
      </c>
      <c r="D101" s="75" t="s">
        <v>226</v>
      </c>
      <c r="E101" s="180" t="s">
        <v>716</v>
      </c>
      <c r="F101" s="80"/>
      <c r="G101" s="75">
        <v>2</v>
      </c>
      <c r="H101" s="75">
        <v>2</v>
      </c>
      <c r="I101" s="75" t="s">
        <v>14</v>
      </c>
      <c r="J101" s="75" t="s">
        <v>717</v>
      </c>
      <c r="K101" s="75" t="str">
        <f>_xlfn.XLOOKUP(L101,'Inst summary and ER calculation'!$B$3:$B$904,'Inst summary and ER calculation'!$I$3:$I$904)</f>
        <v>6-7 years</v>
      </c>
      <c r="L101" s="78">
        <v>42056</v>
      </c>
      <c r="M101" s="75" t="s">
        <v>14</v>
      </c>
      <c r="N101" s="75">
        <v>14</v>
      </c>
      <c r="O101" s="75">
        <v>60</v>
      </c>
      <c r="P101" s="75" t="s">
        <v>14</v>
      </c>
      <c r="Q101" s="75" t="s">
        <v>13</v>
      </c>
      <c r="R101" s="75"/>
      <c r="S101" s="75"/>
      <c r="T101" s="75"/>
      <c r="U101" s="31" t="str">
        <f t="shared" si="3"/>
        <v/>
      </c>
      <c r="V101" s="75" t="s">
        <v>14</v>
      </c>
      <c r="W101" s="75" t="s">
        <v>14</v>
      </c>
      <c r="X101" s="75" t="s">
        <v>14</v>
      </c>
      <c r="Y101" s="75" t="s">
        <v>14</v>
      </c>
      <c r="Z101" s="75" t="s">
        <v>14</v>
      </c>
      <c r="AA101" s="75" t="s">
        <v>14</v>
      </c>
      <c r="AB101" s="75" t="s">
        <v>14</v>
      </c>
      <c r="AC101" s="75"/>
    </row>
    <row r="102" spans="1:29" s="30" customFormat="1" ht="15.75" customHeight="1">
      <c r="A102" s="77">
        <v>44210</v>
      </c>
      <c r="B102" s="75" t="s">
        <v>117</v>
      </c>
      <c r="C102" s="75" t="s">
        <v>917</v>
      </c>
      <c r="D102" s="75" t="s">
        <v>226</v>
      </c>
      <c r="E102" s="181" t="s">
        <v>759</v>
      </c>
      <c r="F102" s="75"/>
      <c r="G102" s="75">
        <v>3</v>
      </c>
      <c r="H102" s="75">
        <v>1</v>
      </c>
      <c r="I102" s="75" t="s">
        <v>14</v>
      </c>
      <c r="J102" s="80" t="s">
        <v>760</v>
      </c>
      <c r="K102" s="75" t="str">
        <f>_xlfn.XLOOKUP(L102,'Inst summary and ER calculation'!$B$3:$B$904,'Inst summary and ER calculation'!$I$3:$I$904)</f>
        <v>6-7 years</v>
      </c>
      <c r="L102" s="81">
        <v>41849</v>
      </c>
      <c r="M102" s="75" t="s">
        <v>14</v>
      </c>
      <c r="N102" s="75">
        <v>14</v>
      </c>
      <c r="O102" s="75">
        <v>60</v>
      </c>
      <c r="P102" s="75" t="s">
        <v>14</v>
      </c>
      <c r="Q102" s="75" t="s">
        <v>13</v>
      </c>
      <c r="R102" s="75"/>
      <c r="S102" s="75"/>
      <c r="T102" s="75"/>
      <c r="U102" s="31" t="str">
        <f t="shared" si="3"/>
        <v/>
      </c>
      <c r="V102" s="75" t="s">
        <v>14</v>
      </c>
      <c r="W102" s="75" t="s">
        <v>14</v>
      </c>
      <c r="X102" s="75" t="s">
        <v>14</v>
      </c>
      <c r="Y102" s="75" t="s">
        <v>14</v>
      </c>
      <c r="Z102" s="75" t="s">
        <v>14</v>
      </c>
      <c r="AA102" s="75" t="s">
        <v>14</v>
      </c>
      <c r="AB102" s="75" t="s">
        <v>14</v>
      </c>
      <c r="AC102" s="75"/>
    </row>
    <row r="103" spans="1:29" s="30" customFormat="1" ht="15">
      <c r="A103" s="77">
        <v>44211</v>
      </c>
      <c r="B103" s="75" t="s">
        <v>107</v>
      </c>
      <c r="C103" s="75" t="s">
        <v>582</v>
      </c>
      <c r="D103" s="75" t="s">
        <v>226</v>
      </c>
      <c r="E103" s="181" t="s">
        <v>583</v>
      </c>
      <c r="F103" s="75"/>
      <c r="G103" s="75">
        <v>2</v>
      </c>
      <c r="H103" s="75">
        <v>0</v>
      </c>
      <c r="I103" s="75" t="s">
        <v>14</v>
      </c>
      <c r="J103" s="79" t="s">
        <v>584</v>
      </c>
      <c r="K103" s="75" t="str">
        <f>_xlfn.XLOOKUP(L103,'Inst summary and ER calculation'!$B$3:$B$904,'Inst summary and ER calculation'!$I$3:$I$904)</f>
        <v>5-6 years</v>
      </c>
      <c r="L103" s="78">
        <v>42184</v>
      </c>
      <c r="M103" s="75" t="s">
        <v>14</v>
      </c>
      <c r="N103" s="75">
        <v>14</v>
      </c>
      <c r="O103" s="75">
        <v>60</v>
      </c>
      <c r="P103" s="75" t="s">
        <v>14</v>
      </c>
      <c r="Q103" s="75" t="s">
        <v>13</v>
      </c>
      <c r="R103" s="75"/>
      <c r="S103" s="75"/>
      <c r="T103" s="75"/>
      <c r="U103" s="31" t="str">
        <f t="shared" si="3"/>
        <v/>
      </c>
      <c r="V103" s="75" t="s">
        <v>14</v>
      </c>
      <c r="W103" s="75" t="s">
        <v>14</v>
      </c>
      <c r="X103" s="75" t="s">
        <v>14</v>
      </c>
      <c r="Y103" s="75" t="s">
        <v>14</v>
      </c>
      <c r="Z103" s="75" t="s">
        <v>14</v>
      </c>
      <c r="AA103" s="75" t="s">
        <v>14</v>
      </c>
      <c r="AB103" s="75" t="s">
        <v>14</v>
      </c>
      <c r="AC103" s="75"/>
    </row>
    <row r="104" spans="1:29" s="30" customFormat="1" ht="15.75" customHeight="1">
      <c r="A104" s="77">
        <v>44201</v>
      </c>
      <c r="B104" s="75" t="s">
        <v>788</v>
      </c>
      <c r="C104" s="75" t="s">
        <v>789</v>
      </c>
      <c r="D104" s="75" t="s">
        <v>226</v>
      </c>
      <c r="E104" s="182" t="s">
        <v>790</v>
      </c>
      <c r="F104" s="75"/>
      <c r="G104" s="75">
        <v>4</v>
      </c>
      <c r="H104" s="75">
        <v>3</v>
      </c>
      <c r="I104" s="75" t="s">
        <v>14</v>
      </c>
      <c r="J104" s="75" t="s">
        <v>791</v>
      </c>
      <c r="K104" s="75" t="str">
        <f>_xlfn.XLOOKUP(L104,'Inst summary and ER calculation'!$B$3:$B$904,'Inst summary and ER calculation'!$I$3:$I$904)</f>
        <v>5-6 years</v>
      </c>
      <c r="L104" s="78">
        <v>42139</v>
      </c>
      <c r="M104" s="75" t="s">
        <v>14</v>
      </c>
      <c r="N104" s="75">
        <v>18</v>
      </c>
      <c r="O104" s="75">
        <v>75</v>
      </c>
      <c r="P104" s="75" t="s">
        <v>14</v>
      </c>
      <c r="Q104" s="75" t="s">
        <v>13</v>
      </c>
      <c r="R104" s="75"/>
      <c r="S104" s="75"/>
      <c r="T104" s="75"/>
      <c r="U104" s="31" t="str">
        <f t="shared" si="3"/>
        <v/>
      </c>
      <c r="V104" s="75" t="s">
        <v>14</v>
      </c>
      <c r="W104" s="75" t="s">
        <v>14</v>
      </c>
      <c r="X104" s="75" t="s">
        <v>14</v>
      </c>
      <c r="Y104" s="75" t="s">
        <v>14</v>
      </c>
      <c r="Z104" s="75" t="s">
        <v>14</v>
      </c>
      <c r="AA104" s="75" t="s">
        <v>14</v>
      </c>
      <c r="AB104" s="75" t="s">
        <v>14</v>
      </c>
      <c r="AC104" s="75"/>
    </row>
    <row r="105" spans="1:29" s="30" customFormat="1" ht="15">
      <c r="A105" s="77">
        <v>44210</v>
      </c>
      <c r="B105" s="75" t="s">
        <v>84</v>
      </c>
      <c r="C105" s="75" t="s">
        <v>920</v>
      </c>
      <c r="D105" s="75" t="s">
        <v>226</v>
      </c>
      <c r="E105" s="181" t="s">
        <v>731</v>
      </c>
      <c r="F105" s="75"/>
      <c r="G105" s="75">
        <v>3</v>
      </c>
      <c r="H105" s="75">
        <v>1</v>
      </c>
      <c r="I105" s="75" t="s">
        <v>14</v>
      </c>
      <c r="J105" s="87" t="s">
        <v>732</v>
      </c>
      <c r="K105" s="75" t="str">
        <f>_xlfn.XLOOKUP(L105,'Inst summary and ER calculation'!$B$3:$B$904,'Inst summary and ER calculation'!$I$3:$I$904)</f>
        <v>6-7 years</v>
      </c>
      <c r="L105" s="87">
        <v>41858</v>
      </c>
      <c r="M105" s="75" t="s">
        <v>14</v>
      </c>
      <c r="N105" s="75">
        <v>17</v>
      </c>
      <c r="O105" s="75">
        <v>72</v>
      </c>
      <c r="P105" s="75" t="s">
        <v>14</v>
      </c>
      <c r="Q105" s="75" t="s">
        <v>13</v>
      </c>
      <c r="R105" s="75"/>
      <c r="S105" s="75"/>
      <c r="T105" s="75"/>
      <c r="U105" s="31" t="str">
        <f t="shared" si="3"/>
        <v/>
      </c>
      <c r="V105" s="75" t="s">
        <v>14</v>
      </c>
      <c r="W105" s="75" t="s">
        <v>14</v>
      </c>
      <c r="X105" s="75" t="s">
        <v>14</v>
      </c>
      <c r="Y105" s="75" t="s">
        <v>14</v>
      </c>
      <c r="Z105" s="75" t="s">
        <v>14</v>
      </c>
      <c r="AA105" s="75" t="s">
        <v>14</v>
      </c>
      <c r="AB105" s="75" t="s">
        <v>14</v>
      </c>
      <c r="AC105" s="75"/>
    </row>
    <row r="106" spans="1:29" s="30" customFormat="1" ht="15.75" customHeight="1">
      <c r="A106" s="77">
        <v>44202</v>
      </c>
      <c r="B106" s="75" t="s">
        <v>117</v>
      </c>
      <c r="C106" s="75" t="s">
        <v>44</v>
      </c>
      <c r="D106" s="75" t="s">
        <v>226</v>
      </c>
      <c r="E106" s="180" t="s">
        <v>798</v>
      </c>
      <c r="F106" s="80"/>
      <c r="G106" s="75">
        <v>2</v>
      </c>
      <c r="H106" s="75">
        <v>2</v>
      </c>
      <c r="I106" s="75" t="s">
        <v>14</v>
      </c>
      <c r="J106" s="80" t="s">
        <v>799</v>
      </c>
      <c r="K106" s="75" t="str">
        <f>_xlfn.XLOOKUP(L106,'Inst summary and ER calculation'!$B$3:$B$904,'Inst summary and ER calculation'!$I$3:$I$904)</f>
        <v>6-7 years</v>
      </c>
      <c r="L106" s="81">
        <v>41935</v>
      </c>
      <c r="M106" s="75" t="s">
        <v>14</v>
      </c>
      <c r="N106" s="75">
        <v>14</v>
      </c>
      <c r="O106" s="75">
        <v>60</v>
      </c>
      <c r="P106" s="75" t="s">
        <v>14</v>
      </c>
      <c r="Q106" s="75" t="s">
        <v>13</v>
      </c>
      <c r="R106" s="75"/>
      <c r="S106" s="75"/>
      <c r="T106" s="75"/>
      <c r="U106" s="31" t="str">
        <f t="shared" si="3"/>
        <v/>
      </c>
      <c r="V106" s="75" t="s">
        <v>14</v>
      </c>
      <c r="W106" s="75" t="s">
        <v>14</v>
      </c>
      <c r="X106" s="75" t="s">
        <v>14</v>
      </c>
      <c r="Y106" s="75" t="s">
        <v>14</v>
      </c>
      <c r="Z106" s="75" t="s">
        <v>14</v>
      </c>
      <c r="AA106" s="75" t="s">
        <v>14</v>
      </c>
      <c r="AB106" s="75" t="s">
        <v>14</v>
      </c>
      <c r="AC106" s="75"/>
    </row>
    <row r="107" spans="1:29" s="30" customFormat="1" ht="15">
      <c r="A107" s="77">
        <v>44205</v>
      </c>
      <c r="B107" s="75" t="s">
        <v>127</v>
      </c>
      <c r="C107" s="75" t="s">
        <v>771</v>
      </c>
      <c r="D107" s="75" t="s">
        <v>226</v>
      </c>
      <c r="E107" s="182" t="s">
        <v>772</v>
      </c>
      <c r="F107" s="75"/>
      <c r="G107" s="75">
        <v>3</v>
      </c>
      <c r="H107" s="75">
        <v>2</v>
      </c>
      <c r="I107" s="75" t="s">
        <v>14</v>
      </c>
      <c r="J107" s="75" t="s">
        <v>773</v>
      </c>
      <c r="K107" s="75" t="str">
        <f>_xlfn.XLOOKUP(L107,'Inst summary and ER calculation'!$B$3:$B$904,'Inst summary and ER calculation'!$I$3:$I$904)</f>
        <v>6-7 years</v>
      </c>
      <c r="L107" s="78">
        <v>41978</v>
      </c>
      <c r="M107" s="75" t="s">
        <v>14</v>
      </c>
      <c r="N107" s="75">
        <v>14</v>
      </c>
      <c r="O107" s="75">
        <v>60</v>
      </c>
      <c r="P107" s="75" t="s">
        <v>14</v>
      </c>
      <c r="Q107" s="75" t="s">
        <v>13</v>
      </c>
      <c r="R107" s="75"/>
      <c r="S107" s="75"/>
      <c r="T107" s="75"/>
      <c r="U107" s="31" t="str">
        <f t="shared" si="3"/>
        <v/>
      </c>
      <c r="V107" s="75" t="s">
        <v>14</v>
      </c>
      <c r="W107" s="75" t="s">
        <v>14</v>
      </c>
      <c r="X107" s="75" t="s">
        <v>14</v>
      </c>
      <c r="Y107" s="75" t="s">
        <v>14</v>
      </c>
      <c r="Z107" s="75" t="s">
        <v>14</v>
      </c>
      <c r="AA107" s="75" t="s">
        <v>14</v>
      </c>
      <c r="AB107" s="75" t="s">
        <v>14</v>
      </c>
      <c r="AC107" s="75"/>
    </row>
    <row r="108" spans="1:29" s="30" customFormat="1" ht="15.75" customHeight="1">
      <c r="A108" s="77">
        <v>44211</v>
      </c>
      <c r="B108" s="75" t="s">
        <v>256</v>
      </c>
      <c r="C108" s="75" t="s">
        <v>509</v>
      </c>
      <c r="D108" s="75" t="s">
        <v>226</v>
      </c>
      <c r="E108" s="181" t="s">
        <v>510</v>
      </c>
      <c r="F108" s="75"/>
      <c r="G108" s="75">
        <v>5</v>
      </c>
      <c r="H108" s="75">
        <v>0</v>
      </c>
      <c r="I108" s="75" t="s">
        <v>14</v>
      </c>
      <c r="J108" s="75" t="s">
        <v>511</v>
      </c>
      <c r="K108" s="75" t="str">
        <f>_xlfn.XLOOKUP(L108,'Inst summary and ER calculation'!$B$3:$B$904,'Inst summary and ER calculation'!$I$3:$I$904)</f>
        <v>5-6 years</v>
      </c>
      <c r="L108" s="78">
        <v>42109</v>
      </c>
      <c r="M108" s="75" t="s">
        <v>14</v>
      </c>
      <c r="N108" s="75">
        <v>14</v>
      </c>
      <c r="O108" s="75">
        <v>60</v>
      </c>
      <c r="P108" s="75" t="s">
        <v>14</v>
      </c>
      <c r="Q108" s="75" t="s">
        <v>13</v>
      </c>
      <c r="R108" s="75"/>
      <c r="S108" s="75"/>
      <c r="T108" s="75"/>
      <c r="U108" s="31" t="str">
        <f t="shared" si="3"/>
        <v/>
      </c>
      <c r="V108" s="75" t="s">
        <v>14</v>
      </c>
      <c r="W108" s="75" t="s">
        <v>14</v>
      </c>
      <c r="X108" s="75" t="s">
        <v>14</v>
      </c>
      <c r="Y108" s="75" t="s">
        <v>14</v>
      </c>
      <c r="Z108" s="75" t="s">
        <v>14</v>
      </c>
      <c r="AA108" s="75" t="s">
        <v>14</v>
      </c>
      <c r="AB108" s="75" t="s">
        <v>14</v>
      </c>
      <c r="AC108" s="75"/>
    </row>
    <row r="109" spans="1:29" s="30" customFormat="1" ht="15">
      <c r="A109" s="77">
        <v>44210</v>
      </c>
      <c r="B109" s="75" t="s">
        <v>257</v>
      </c>
      <c r="C109" s="75" t="s">
        <v>689</v>
      </c>
      <c r="D109" s="75" t="s">
        <v>226</v>
      </c>
      <c r="E109" s="181" t="s">
        <v>690</v>
      </c>
      <c r="F109" s="75"/>
      <c r="G109" s="75">
        <v>2</v>
      </c>
      <c r="H109" s="75">
        <v>3</v>
      </c>
      <c r="I109" s="75" t="s">
        <v>14</v>
      </c>
      <c r="J109" s="75" t="s">
        <v>691</v>
      </c>
      <c r="K109" s="75" t="str">
        <f>_xlfn.XLOOKUP(L109,'Inst summary and ER calculation'!$B$3:$B$904,'Inst summary and ER calculation'!$I$3:$I$904)</f>
        <v>6-7 years</v>
      </c>
      <c r="L109" s="78">
        <v>41958</v>
      </c>
      <c r="M109" s="75" t="s">
        <v>14</v>
      </c>
      <c r="N109" s="75">
        <v>14</v>
      </c>
      <c r="O109" s="75">
        <v>63</v>
      </c>
      <c r="P109" s="75" t="s">
        <v>14</v>
      </c>
      <c r="Q109" s="75" t="s">
        <v>13</v>
      </c>
      <c r="R109" s="75"/>
      <c r="S109" s="75"/>
      <c r="T109" s="75"/>
      <c r="U109" s="31" t="str">
        <f t="shared" si="3"/>
        <v/>
      </c>
      <c r="V109" s="75" t="s">
        <v>14</v>
      </c>
      <c r="W109" s="75" t="s">
        <v>14</v>
      </c>
      <c r="X109" s="75" t="s">
        <v>14</v>
      </c>
      <c r="Y109" s="75" t="s">
        <v>14</v>
      </c>
      <c r="Z109" s="75" t="s">
        <v>14</v>
      </c>
      <c r="AA109" s="75" t="s">
        <v>14</v>
      </c>
      <c r="AB109" s="75" t="s">
        <v>14</v>
      </c>
      <c r="AC109" s="75"/>
    </row>
    <row r="110" spans="1:29" s="30" customFormat="1" ht="15.75" customHeight="1">
      <c r="A110" s="77">
        <v>44211</v>
      </c>
      <c r="B110" s="75" t="s">
        <v>106</v>
      </c>
      <c r="C110" s="75" t="s">
        <v>267</v>
      </c>
      <c r="D110" s="75" t="s">
        <v>226</v>
      </c>
      <c r="E110" s="181" t="s">
        <v>489</v>
      </c>
      <c r="F110" s="75"/>
      <c r="G110" s="75">
        <v>3</v>
      </c>
      <c r="H110" s="75">
        <v>3</v>
      </c>
      <c r="I110" s="75" t="s">
        <v>14</v>
      </c>
      <c r="J110" s="75" t="s">
        <v>490</v>
      </c>
      <c r="K110" s="75" t="str">
        <f>_xlfn.XLOOKUP(L110,'Inst summary and ER calculation'!$B$3:$B$904,'Inst summary and ER calculation'!$I$3:$I$904)</f>
        <v>6-7 years</v>
      </c>
      <c r="L110" s="78">
        <v>42037</v>
      </c>
      <c r="M110" s="75" t="s">
        <v>14</v>
      </c>
      <c r="N110" s="75">
        <v>14</v>
      </c>
      <c r="O110" s="75">
        <v>60</v>
      </c>
      <c r="P110" s="75" t="s">
        <v>14</v>
      </c>
      <c r="Q110" s="75" t="s">
        <v>13</v>
      </c>
      <c r="R110" s="75"/>
      <c r="S110" s="75"/>
      <c r="T110" s="75"/>
      <c r="U110" s="31" t="str">
        <f t="shared" si="3"/>
        <v/>
      </c>
      <c r="V110" s="75" t="s">
        <v>14</v>
      </c>
      <c r="W110" s="75" t="s">
        <v>14</v>
      </c>
      <c r="X110" s="75" t="s">
        <v>14</v>
      </c>
      <c r="Y110" s="75" t="s">
        <v>14</v>
      </c>
      <c r="Z110" s="75" t="s">
        <v>14</v>
      </c>
      <c r="AA110" s="75" t="s">
        <v>14</v>
      </c>
      <c r="AB110" s="75" t="s">
        <v>14</v>
      </c>
      <c r="AC110" s="75"/>
    </row>
    <row r="111" spans="1:29" s="30" customFormat="1" ht="15">
      <c r="A111" s="77">
        <v>44205</v>
      </c>
      <c r="B111" s="75" t="s">
        <v>249</v>
      </c>
      <c r="C111" s="75" t="s">
        <v>453</v>
      </c>
      <c r="D111" s="75" t="s">
        <v>226</v>
      </c>
      <c r="E111" s="182" t="s">
        <v>454</v>
      </c>
      <c r="F111" s="75"/>
      <c r="G111" s="75">
        <v>3</v>
      </c>
      <c r="H111" s="75">
        <v>1</v>
      </c>
      <c r="I111" s="75" t="s">
        <v>14</v>
      </c>
      <c r="J111" s="86" t="s">
        <v>455</v>
      </c>
      <c r="K111" s="75" t="str">
        <f>_xlfn.XLOOKUP(L111,'Inst summary and ER calculation'!$B$3:$B$904,'Inst summary and ER calculation'!$I$3:$I$904)</f>
        <v>6-7 years</v>
      </c>
      <c r="L111" s="84">
        <v>41774</v>
      </c>
      <c r="M111" s="75" t="s">
        <v>14</v>
      </c>
      <c r="N111" s="75">
        <v>14</v>
      </c>
      <c r="O111" s="75">
        <v>60</v>
      </c>
      <c r="P111" s="75" t="s">
        <v>14</v>
      </c>
      <c r="Q111" s="75" t="s">
        <v>13</v>
      </c>
      <c r="R111" s="75"/>
      <c r="S111" s="75"/>
      <c r="T111" s="75"/>
      <c r="U111" s="31" t="str">
        <f t="shared" si="3"/>
        <v/>
      </c>
      <c r="V111" s="75" t="s">
        <v>14</v>
      </c>
      <c r="W111" s="75" t="s">
        <v>14</v>
      </c>
      <c r="X111" s="75" t="s">
        <v>14</v>
      </c>
      <c r="Y111" s="75" t="s">
        <v>14</v>
      </c>
      <c r="Z111" s="75" t="s">
        <v>14</v>
      </c>
      <c r="AA111" s="75" t="s">
        <v>14</v>
      </c>
      <c r="AB111" s="75" t="s">
        <v>14</v>
      </c>
      <c r="AC111" s="75"/>
    </row>
    <row r="112" spans="1:29" s="30" customFormat="1" ht="15.75" customHeight="1">
      <c r="A112" s="77">
        <v>44212</v>
      </c>
      <c r="B112" s="75" t="s">
        <v>84</v>
      </c>
      <c r="C112" s="75" t="s">
        <v>364</v>
      </c>
      <c r="D112" s="75" t="s">
        <v>226</v>
      </c>
      <c r="E112" s="181" t="s">
        <v>253</v>
      </c>
      <c r="F112" s="75"/>
      <c r="G112" s="75">
        <v>2</v>
      </c>
      <c r="H112" s="75">
        <v>2</v>
      </c>
      <c r="I112" s="75" t="s">
        <v>14</v>
      </c>
      <c r="J112" s="75" t="s">
        <v>365</v>
      </c>
      <c r="K112" s="75" t="str">
        <f>_xlfn.XLOOKUP(L112,'Inst summary and ER calculation'!$B$3:$B$904,'Inst summary and ER calculation'!$I$3:$I$904)</f>
        <v>5-6 years</v>
      </c>
      <c r="L112" s="78">
        <v>42170</v>
      </c>
      <c r="M112" s="75" t="s">
        <v>14</v>
      </c>
      <c r="N112" s="75">
        <v>14</v>
      </c>
      <c r="O112" s="75">
        <v>60</v>
      </c>
      <c r="P112" s="75" t="s">
        <v>14</v>
      </c>
      <c r="Q112" s="75" t="s">
        <v>13</v>
      </c>
      <c r="R112" s="75"/>
      <c r="S112" s="75"/>
      <c r="T112" s="75"/>
      <c r="U112" s="31" t="str">
        <f t="shared" si="3"/>
        <v/>
      </c>
      <c r="V112" s="75" t="s">
        <v>14</v>
      </c>
      <c r="W112" s="75" t="s">
        <v>14</v>
      </c>
      <c r="X112" s="75" t="s">
        <v>14</v>
      </c>
      <c r="Y112" s="75" t="s">
        <v>14</v>
      </c>
      <c r="Z112" s="75" t="s">
        <v>14</v>
      </c>
      <c r="AA112" s="75" t="s">
        <v>14</v>
      </c>
      <c r="AB112" s="75" t="s">
        <v>14</v>
      </c>
      <c r="AC112" s="75"/>
    </row>
    <row r="113" spans="1:29" s="30" customFormat="1" ht="15">
      <c r="A113" s="77">
        <v>44211</v>
      </c>
      <c r="B113" s="75" t="s">
        <v>104</v>
      </c>
      <c r="C113" s="75" t="s">
        <v>901</v>
      </c>
      <c r="D113" s="75" t="s">
        <v>226</v>
      </c>
      <c r="E113" s="181" t="s">
        <v>487</v>
      </c>
      <c r="F113" s="75"/>
      <c r="G113" s="75">
        <v>2</v>
      </c>
      <c r="H113" s="75">
        <v>1</v>
      </c>
      <c r="I113" s="75" t="s">
        <v>14</v>
      </c>
      <c r="J113" s="75" t="s">
        <v>488</v>
      </c>
      <c r="K113" s="75" t="str">
        <f>_xlfn.XLOOKUP(L113,'Inst summary and ER calculation'!$B$3:$B$904,'Inst summary and ER calculation'!$I$3:$I$904)</f>
        <v>6-7 years</v>
      </c>
      <c r="L113" s="78">
        <v>41958</v>
      </c>
      <c r="M113" s="75" t="s">
        <v>14</v>
      </c>
      <c r="N113" s="75">
        <v>14</v>
      </c>
      <c r="O113" s="75">
        <v>60</v>
      </c>
      <c r="P113" s="75" t="s">
        <v>14</v>
      </c>
      <c r="Q113" s="75" t="s">
        <v>13</v>
      </c>
      <c r="R113" s="75"/>
      <c r="S113" s="75"/>
      <c r="T113" s="75"/>
      <c r="U113" s="31" t="str">
        <f t="shared" si="3"/>
        <v/>
      </c>
      <c r="V113" s="75" t="s">
        <v>14</v>
      </c>
      <c r="W113" s="75" t="s">
        <v>14</v>
      </c>
      <c r="X113" s="75" t="s">
        <v>14</v>
      </c>
      <c r="Y113" s="75" t="s">
        <v>14</v>
      </c>
      <c r="Z113" s="75" t="s">
        <v>14</v>
      </c>
      <c r="AA113" s="75" t="s">
        <v>14</v>
      </c>
      <c r="AB113" s="75" t="s">
        <v>14</v>
      </c>
      <c r="AC113" s="75"/>
    </row>
    <row r="114" spans="1:29" s="30" customFormat="1" ht="15.75" customHeight="1">
      <c r="A114" s="77">
        <v>44210</v>
      </c>
      <c r="B114" s="77" t="s">
        <v>108</v>
      </c>
      <c r="C114" s="75" t="s">
        <v>930</v>
      </c>
      <c r="D114" s="75" t="s">
        <v>226</v>
      </c>
      <c r="E114" s="181" t="s">
        <v>752</v>
      </c>
      <c r="F114" s="75"/>
      <c r="G114" s="75">
        <v>4</v>
      </c>
      <c r="H114" s="75">
        <v>2</v>
      </c>
      <c r="I114" s="75" t="s">
        <v>14</v>
      </c>
      <c r="J114" s="75" t="s">
        <v>753</v>
      </c>
      <c r="K114" s="75" t="str">
        <f>_xlfn.XLOOKUP(L114,'Inst summary and ER calculation'!$B$3:$B$904,'Inst summary and ER calculation'!$I$3:$I$904)</f>
        <v>5-6 years</v>
      </c>
      <c r="L114" s="78">
        <v>42091</v>
      </c>
      <c r="M114" s="75" t="s">
        <v>14</v>
      </c>
      <c r="N114" s="75">
        <v>20</v>
      </c>
      <c r="O114" s="75">
        <v>90</v>
      </c>
      <c r="P114" s="75" t="s">
        <v>14</v>
      </c>
      <c r="Q114" s="75" t="s">
        <v>13</v>
      </c>
      <c r="R114" s="75"/>
      <c r="S114" s="75"/>
      <c r="T114" s="75"/>
      <c r="U114" s="31" t="str">
        <f t="shared" si="3"/>
        <v/>
      </c>
      <c r="V114" s="75" t="s">
        <v>14</v>
      </c>
      <c r="W114" s="75" t="s">
        <v>14</v>
      </c>
      <c r="X114" s="75" t="s">
        <v>14</v>
      </c>
      <c r="Y114" s="75" t="s">
        <v>14</v>
      </c>
      <c r="Z114" s="75" t="s">
        <v>14</v>
      </c>
      <c r="AA114" s="75" t="s">
        <v>14</v>
      </c>
      <c r="AB114" s="75" t="s">
        <v>14</v>
      </c>
      <c r="AC114" s="75"/>
    </row>
    <row r="115" spans="1:29" s="30" customFormat="1" ht="15">
      <c r="A115" s="77">
        <v>44211</v>
      </c>
      <c r="B115" s="75" t="s">
        <v>256</v>
      </c>
      <c r="C115" s="75" t="s">
        <v>899</v>
      </c>
      <c r="D115" s="80" t="s">
        <v>226</v>
      </c>
      <c r="E115" s="181" t="s">
        <v>310</v>
      </c>
      <c r="F115" s="75"/>
      <c r="G115" s="75">
        <v>2</v>
      </c>
      <c r="H115" s="75">
        <v>0</v>
      </c>
      <c r="I115" s="75" t="s">
        <v>14</v>
      </c>
      <c r="J115" s="75" t="s">
        <v>311</v>
      </c>
      <c r="K115" s="75" t="str">
        <f>_xlfn.XLOOKUP(L115,'Inst summary and ER calculation'!$B$3:$B$904,'Inst summary and ER calculation'!$I$3:$I$904)</f>
        <v>6-7 years</v>
      </c>
      <c r="L115" s="84">
        <v>41741</v>
      </c>
      <c r="M115" s="75" t="s">
        <v>14</v>
      </c>
      <c r="N115" s="75">
        <v>21</v>
      </c>
      <c r="O115" s="75">
        <v>90</v>
      </c>
      <c r="P115" s="75" t="s">
        <v>14</v>
      </c>
      <c r="Q115" s="96" t="s">
        <v>13</v>
      </c>
      <c r="R115" s="96"/>
      <c r="S115" s="75"/>
      <c r="T115" s="75"/>
      <c r="U115" s="31" t="str">
        <f t="shared" si="3"/>
        <v/>
      </c>
      <c r="V115" s="75" t="s">
        <v>14</v>
      </c>
      <c r="W115" s="75" t="s">
        <v>14</v>
      </c>
      <c r="X115" s="75" t="s">
        <v>14</v>
      </c>
      <c r="Y115" s="75" t="s">
        <v>14</v>
      </c>
      <c r="Z115" s="75" t="s">
        <v>14</v>
      </c>
      <c r="AA115" s="75" t="s">
        <v>14</v>
      </c>
      <c r="AB115" s="75" t="s">
        <v>14</v>
      </c>
      <c r="AC115" s="75"/>
    </row>
    <row r="116" spans="1:29" s="30" customFormat="1" ht="15.75" customHeight="1">
      <c r="A116" s="77">
        <v>44200</v>
      </c>
      <c r="B116" s="75" t="s">
        <v>128</v>
      </c>
      <c r="C116" s="75" t="s">
        <v>323</v>
      </c>
      <c r="D116" s="75" t="s">
        <v>226</v>
      </c>
      <c r="E116" s="180" t="s">
        <v>324</v>
      </c>
      <c r="F116" s="80"/>
      <c r="G116" s="75">
        <v>3</v>
      </c>
      <c r="H116" s="75">
        <v>2</v>
      </c>
      <c r="I116" s="75" t="s">
        <v>14</v>
      </c>
      <c r="J116" s="75" t="s">
        <v>325</v>
      </c>
      <c r="K116" s="75" t="str">
        <f>_xlfn.XLOOKUP(L116,'Inst summary and ER calculation'!$B$3:$B$904,'Inst summary and ER calculation'!$I$3:$I$904)</f>
        <v>5-6 years</v>
      </c>
      <c r="L116" s="78">
        <v>42127</v>
      </c>
      <c r="M116" s="75" t="s">
        <v>13</v>
      </c>
      <c r="N116" s="75"/>
      <c r="O116" s="75"/>
      <c r="P116" s="75"/>
      <c r="Q116" s="75"/>
      <c r="R116" s="75"/>
      <c r="S116" s="75"/>
      <c r="T116" s="75"/>
      <c r="U116" s="31" t="str">
        <f t="shared" si="3"/>
        <v/>
      </c>
      <c r="V116" s="75"/>
      <c r="W116" s="75"/>
      <c r="X116" s="75"/>
      <c r="Y116" s="75"/>
      <c r="Z116" s="75"/>
      <c r="AA116" s="75"/>
      <c r="AB116" s="75"/>
      <c r="AC116" s="75"/>
    </row>
    <row r="117" spans="1:29" s="30" customFormat="1" ht="15">
      <c r="A117" s="77">
        <v>44211</v>
      </c>
      <c r="B117" s="75" t="s">
        <v>117</v>
      </c>
      <c r="C117" s="75" t="s">
        <v>743</v>
      </c>
      <c r="D117" s="80" t="s">
        <v>226</v>
      </c>
      <c r="E117" s="181" t="s">
        <v>744</v>
      </c>
      <c r="F117" s="75"/>
      <c r="G117" s="75">
        <v>3</v>
      </c>
      <c r="H117" s="75">
        <v>2</v>
      </c>
      <c r="I117" s="75" t="s">
        <v>14</v>
      </c>
      <c r="J117" s="75" t="s">
        <v>745</v>
      </c>
      <c r="K117" s="75" t="str">
        <f>_xlfn.XLOOKUP(L117,'Inst summary and ER calculation'!$B$3:$B$904,'Inst summary and ER calculation'!$I$3:$I$904)</f>
        <v>6-7 years</v>
      </c>
      <c r="L117" s="78">
        <v>41972</v>
      </c>
      <c r="M117" s="75" t="s">
        <v>14</v>
      </c>
      <c r="N117" s="75">
        <v>21</v>
      </c>
      <c r="O117" s="75">
        <v>90</v>
      </c>
      <c r="P117" s="75" t="s">
        <v>14</v>
      </c>
      <c r="Q117" s="75" t="s">
        <v>13</v>
      </c>
      <c r="R117" s="75"/>
      <c r="S117" s="75"/>
      <c r="T117" s="75"/>
      <c r="U117" s="31" t="str">
        <f t="shared" si="3"/>
        <v/>
      </c>
      <c r="V117" s="75" t="s">
        <v>14</v>
      </c>
      <c r="W117" s="75" t="s">
        <v>14</v>
      </c>
      <c r="X117" s="75" t="s">
        <v>14</v>
      </c>
      <c r="Y117" s="75" t="s">
        <v>14</v>
      </c>
      <c r="Z117" s="75" t="s">
        <v>14</v>
      </c>
      <c r="AA117" s="75" t="s">
        <v>14</v>
      </c>
      <c r="AB117" s="75" t="s">
        <v>14</v>
      </c>
      <c r="AC117" s="75"/>
    </row>
    <row r="118" spans="1:29" s="30" customFormat="1" ht="15.75" customHeight="1">
      <c r="A118" s="77">
        <v>44210</v>
      </c>
      <c r="B118" s="75" t="s">
        <v>262</v>
      </c>
      <c r="C118" s="75" t="s">
        <v>662</v>
      </c>
      <c r="D118" s="75" t="s">
        <v>226</v>
      </c>
      <c r="E118" s="181" t="s">
        <v>663</v>
      </c>
      <c r="F118" s="75"/>
      <c r="G118" s="75">
        <v>4</v>
      </c>
      <c r="H118" s="75">
        <v>1</v>
      </c>
      <c r="I118" s="75" t="s">
        <v>14</v>
      </c>
      <c r="J118" s="75" t="s">
        <v>664</v>
      </c>
      <c r="K118" s="75" t="str">
        <f>_xlfn.XLOOKUP(L118,'Inst summary and ER calculation'!$B$3:$B$904,'Inst summary and ER calculation'!$I$3:$I$904)</f>
        <v>5-6 years</v>
      </c>
      <c r="L118" s="78">
        <v>42123</v>
      </c>
      <c r="M118" s="75" t="s">
        <v>14</v>
      </c>
      <c r="N118" s="75">
        <v>19</v>
      </c>
      <c r="O118" s="75">
        <v>76</v>
      </c>
      <c r="P118" s="75" t="s">
        <v>14</v>
      </c>
      <c r="Q118" s="75" t="s">
        <v>13</v>
      </c>
      <c r="R118" s="75"/>
      <c r="S118" s="75"/>
      <c r="T118" s="75"/>
      <c r="U118" s="31" t="str">
        <f t="shared" si="3"/>
        <v/>
      </c>
      <c r="V118" s="75" t="s">
        <v>14</v>
      </c>
      <c r="W118" s="75" t="s">
        <v>14</v>
      </c>
      <c r="X118" s="75" t="s">
        <v>14</v>
      </c>
      <c r="Y118" s="75" t="s">
        <v>14</v>
      </c>
      <c r="Z118" s="75" t="s">
        <v>14</v>
      </c>
      <c r="AA118" s="75" t="s">
        <v>14</v>
      </c>
      <c r="AB118" s="75" t="s">
        <v>14</v>
      </c>
      <c r="AC118" s="75"/>
    </row>
    <row r="119" spans="1:29" s="30" customFormat="1" ht="15">
      <c r="A119" s="77">
        <v>44199</v>
      </c>
      <c r="B119" s="75" t="s">
        <v>84</v>
      </c>
      <c r="C119" s="75" t="s">
        <v>564</v>
      </c>
      <c r="D119" s="75" t="s">
        <v>226</v>
      </c>
      <c r="E119" s="181" t="s">
        <v>369</v>
      </c>
      <c r="F119" s="75"/>
      <c r="G119" s="75">
        <v>5</v>
      </c>
      <c r="H119" s="75">
        <v>1</v>
      </c>
      <c r="I119" s="75" t="s">
        <v>14</v>
      </c>
      <c r="J119" s="75" t="s">
        <v>370</v>
      </c>
      <c r="K119" s="75" t="str">
        <f>_xlfn.XLOOKUP(L119,'Inst summary and ER calculation'!$B$3:$B$904,'Inst summary and ER calculation'!$I$3:$I$904)</f>
        <v>5-6 years</v>
      </c>
      <c r="L119" s="78">
        <v>42116</v>
      </c>
      <c r="M119" s="75" t="s">
        <v>14</v>
      </c>
      <c r="N119" s="75">
        <v>18</v>
      </c>
      <c r="O119" s="75">
        <v>81</v>
      </c>
      <c r="P119" s="75" t="s">
        <v>14</v>
      </c>
      <c r="Q119" s="75" t="s">
        <v>13</v>
      </c>
      <c r="R119" s="75"/>
      <c r="S119" s="75"/>
      <c r="T119" s="75"/>
      <c r="U119" s="31" t="str">
        <f t="shared" si="3"/>
        <v/>
      </c>
      <c r="V119" s="75" t="s">
        <v>14</v>
      </c>
      <c r="W119" s="75" t="s">
        <v>14</v>
      </c>
      <c r="X119" s="75" t="s">
        <v>14</v>
      </c>
      <c r="Y119" s="75" t="s">
        <v>14</v>
      </c>
      <c r="Z119" s="75" t="s">
        <v>14</v>
      </c>
      <c r="AA119" s="75" t="s">
        <v>14</v>
      </c>
      <c r="AB119" s="75" t="s">
        <v>14</v>
      </c>
      <c r="AC119" s="75"/>
    </row>
    <row r="120" spans="1:29" s="30" customFormat="1" ht="15.75" customHeight="1">
      <c r="A120" s="77">
        <v>44211</v>
      </c>
      <c r="B120" s="75" t="s">
        <v>134</v>
      </c>
      <c r="C120" s="75" t="s">
        <v>564</v>
      </c>
      <c r="D120" s="75" t="s">
        <v>226</v>
      </c>
      <c r="E120" s="181" t="s">
        <v>565</v>
      </c>
      <c r="F120" s="75"/>
      <c r="G120" s="75">
        <v>3</v>
      </c>
      <c r="H120" s="75">
        <v>4</v>
      </c>
      <c r="I120" s="75" t="s">
        <v>14</v>
      </c>
      <c r="J120" s="75" t="s">
        <v>566</v>
      </c>
      <c r="K120" s="75" t="str">
        <f>_xlfn.XLOOKUP(L120,'Inst summary and ER calculation'!$B$3:$B$904,'Inst summary and ER calculation'!$I$3:$I$904)</f>
        <v>5-6 years</v>
      </c>
      <c r="L120" s="78">
        <v>42078</v>
      </c>
      <c r="M120" s="75" t="s">
        <v>14</v>
      </c>
      <c r="N120" s="75">
        <v>14</v>
      </c>
      <c r="O120" s="75">
        <v>60</v>
      </c>
      <c r="P120" s="75" t="s">
        <v>14</v>
      </c>
      <c r="Q120" s="75" t="s">
        <v>13</v>
      </c>
      <c r="R120" s="75"/>
      <c r="S120" s="75"/>
      <c r="T120" s="75"/>
      <c r="U120" s="31" t="str">
        <f t="shared" si="3"/>
        <v/>
      </c>
      <c r="V120" s="75" t="s">
        <v>14</v>
      </c>
      <c r="W120" s="75" t="s">
        <v>14</v>
      </c>
      <c r="X120" s="75" t="s">
        <v>14</v>
      </c>
      <c r="Y120" s="75" t="s">
        <v>14</v>
      </c>
      <c r="Z120" s="75" t="s">
        <v>14</v>
      </c>
      <c r="AA120" s="75" t="s">
        <v>14</v>
      </c>
      <c r="AB120" s="75" t="s">
        <v>14</v>
      </c>
      <c r="AC120" s="75"/>
    </row>
    <row r="121" spans="1:29" s="30" customFormat="1" ht="15">
      <c r="A121" s="77">
        <v>44211</v>
      </c>
      <c r="B121" s="75" t="s">
        <v>227</v>
      </c>
      <c r="C121" s="75" t="s">
        <v>640</v>
      </c>
      <c r="D121" s="80" t="s">
        <v>226</v>
      </c>
      <c r="E121" s="181" t="s">
        <v>641</v>
      </c>
      <c r="F121" s="75"/>
      <c r="G121" s="75">
        <v>2</v>
      </c>
      <c r="H121" s="75">
        <v>3</v>
      </c>
      <c r="I121" s="75" t="s">
        <v>14</v>
      </c>
      <c r="J121" s="75" t="s">
        <v>642</v>
      </c>
      <c r="K121" s="75" t="str">
        <f>_xlfn.XLOOKUP(L121,'Inst summary and ER calculation'!$B$3:$B$904,'Inst summary and ER calculation'!$I$3:$I$904)</f>
        <v>6-7 years</v>
      </c>
      <c r="L121" s="78">
        <v>42055</v>
      </c>
      <c r="M121" s="75" t="s">
        <v>14</v>
      </c>
      <c r="N121" s="75">
        <v>21</v>
      </c>
      <c r="O121" s="75">
        <v>90</v>
      </c>
      <c r="P121" s="75" t="s">
        <v>14</v>
      </c>
      <c r="Q121" s="75" t="s">
        <v>13</v>
      </c>
      <c r="R121" s="75"/>
      <c r="S121" s="75"/>
      <c r="T121" s="75"/>
      <c r="U121" s="31" t="str">
        <f t="shared" si="3"/>
        <v/>
      </c>
      <c r="V121" s="75" t="s">
        <v>14</v>
      </c>
      <c r="W121" s="75" t="s">
        <v>14</v>
      </c>
      <c r="X121" s="75" t="s">
        <v>14</v>
      </c>
      <c r="Y121" s="75" t="s">
        <v>14</v>
      </c>
      <c r="Z121" s="75" t="s">
        <v>14</v>
      </c>
      <c r="AA121" s="75" t="s">
        <v>14</v>
      </c>
      <c r="AB121" s="75" t="s">
        <v>14</v>
      </c>
      <c r="AC121" s="75"/>
    </row>
    <row r="122" spans="1:29" s="30" customFormat="1" ht="15.75" customHeight="1">
      <c r="A122" s="77">
        <v>44207</v>
      </c>
      <c r="B122" s="75" t="s">
        <v>106</v>
      </c>
      <c r="C122" s="75" t="s">
        <v>238</v>
      </c>
      <c r="D122" s="75" t="s">
        <v>226</v>
      </c>
      <c r="E122" s="181" t="s">
        <v>523</v>
      </c>
      <c r="F122" s="75"/>
      <c r="G122" s="75">
        <v>3</v>
      </c>
      <c r="H122" s="75">
        <v>4</v>
      </c>
      <c r="I122" s="75" t="s">
        <v>14</v>
      </c>
      <c r="J122" s="75" t="s">
        <v>524</v>
      </c>
      <c r="K122" s="75" t="str">
        <f>_xlfn.XLOOKUP(L122,'Inst summary and ER calculation'!$B$3:$B$904,'Inst summary and ER calculation'!$I$3:$I$904)</f>
        <v>5-6 years</v>
      </c>
      <c r="L122" s="78">
        <v>42078</v>
      </c>
      <c r="M122" s="75" t="s">
        <v>14</v>
      </c>
      <c r="N122" s="75">
        <v>14</v>
      </c>
      <c r="O122" s="75">
        <v>60</v>
      </c>
      <c r="P122" s="75" t="s">
        <v>14</v>
      </c>
      <c r="Q122" s="75" t="s">
        <v>13</v>
      </c>
      <c r="R122" s="75"/>
      <c r="S122" s="75"/>
      <c r="T122" s="75"/>
      <c r="U122" s="31" t="str">
        <f t="shared" si="3"/>
        <v/>
      </c>
      <c r="V122" s="75" t="s">
        <v>14</v>
      </c>
      <c r="W122" s="75" t="s">
        <v>14</v>
      </c>
      <c r="X122" s="75" t="s">
        <v>14</v>
      </c>
      <c r="Y122" s="75" t="s">
        <v>14</v>
      </c>
      <c r="Z122" s="75" t="s">
        <v>14</v>
      </c>
      <c r="AA122" s="75" t="s">
        <v>14</v>
      </c>
      <c r="AB122" s="75" t="s">
        <v>14</v>
      </c>
      <c r="AC122" s="75"/>
    </row>
    <row r="123" spans="1:29" s="30" customFormat="1" ht="15">
      <c r="A123" s="77">
        <v>44206</v>
      </c>
      <c r="B123" s="75" t="s">
        <v>16</v>
      </c>
      <c r="C123" s="75" t="s">
        <v>36</v>
      </c>
      <c r="D123" s="75" t="s">
        <v>226</v>
      </c>
      <c r="E123" s="180" t="s">
        <v>613</v>
      </c>
      <c r="F123" s="80"/>
      <c r="G123" s="75">
        <v>4</v>
      </c>
      <c r="H123" s="75">
        <v>2</v>
      </c>
      <c r="I123" s="75" t="s">
        <v>14</v>
      </c>
      <c r="J123" s="80" t="s">
        <v>614</v>
      </c>
      <c r="K123" s="75" t="str">
        <f>_xlfn.XLOOKUP(L123,'Inst summary and ER calculation'!$B$3:$B$904,'Inst summary and ER calculation'!$I$3:$I$904)</f>
        <v>6-7 years</v>
      </c>
      <c r="L123" s="81">
        <v>41912</v>
      </c>
      <c r="M123" s="75" t="s">
        <v>14</v>
      </c>
      <c r="N123" s="75">
        <v>21</v>
      </c>
      <c r="O123" s="75">
        <v>84</v>
      </c>
      <c r="P123" s="75" t="s">
        <v>14</v>
      </c>
      <c r="Q123" s="75" t="s">
        <v>13</v>
      </c>
      <c r="R123" s="75"/>
      <c r="S123" s="75"/>
      <c r="T123" s="75"/>
      <c r="U123" s="31" t="str">
        <f t="shared" si="3"/>
        <v/>
      </c>
      <c r="V123" s="75" t="s">
        <v>14</v>
      </c>
      <c r="W123" s="75" t="s">
        <v>14</v>
      </c>
      <c r="X123" s="75" t="s">
        <v>14</v>
      </c>
      <c r="Y123" s="75" t="s">
        <v>14</v>
      </c>
      <c r="Z123" s="75" t="s">
        <v>14</v>
      </c>
      <c r="AA123" s="75" t="s">
        <v>14</v>
      </c>
      <c r="AB123" s="75" t="s">
        <v>14</v>
      </c>
      <c r="AC123" s="75"/>
    </row>
    <row r="124" spans="1:29" s="30" customFormat="1" ht="15.75" customHeight="1">
      <c r="A124" s="77">
        <v>44202</v>
      </c>
      <c r="B124" s="75" t="s">
        <v>140</v>
      </c>
      <c r="C124" s="75" t="s">
        <v>36</v>
      </c>
      <c r="D124" s="75" t="s">
        <v>226</v>
      </c>
      <c r="E124" s="182" t="s">
        <v>496</v>
      </c>
      <c r="F124" s="75"/>
      <c r="G124" s="75">
        <v>3</v>
      </c>
      <c r="H124" s="75">
        <v>2</v>
      </c>
      <c r="I124" s="75" t="s">
        <v>14</v>
      </c>
      <c r="J124" s="75" t="s">
        <v>497</v>
      </c>
      <c r="K124" s="75" t="str">
        <f>_xlfn.XLOOKUP(L124,'Inst summary and ER calculation'!$B$3:$B$904,'Inst summary and ER calculation'!$I$3:$I$904)</f>
        <v>5-6 years</v>
      </c>
      <c r="L124" s="78">
        <v>42069</v>
      </c>
      <c r="M124" s="75" t="s">
        <v>14</v>
      </c>
      <c r="N124" s="75">
        <v>21</v>
      </c>
      <c r="O124" s="75">
        <v>90</v>
      </c>
      <c r="P124" s="75" t="s">
        <v>14</v>
      </c>
      <c r="Q124" s="75" t="s">
        <v>13</v>
      </c>
      <c r="R124" s="75"/>
      <c r="S124" s="75"/>
      <c r="T124" s="75"/>
      <c r="U124" s="31" t="str">
        <f t="shared" si="3"/>
        <v/>
      </c>
      <c r="V124" s="75" t="s">
        <v>14</v>
      </c>
      <c r="W124" s="75" t="s">
        <v>14</v>
      </c>
      <c r="X124" s="75" t="s">
        <v>14</v>
      </c>
      <c r="Y124" s="75" t="s">
        <v>14</v>
      </c>
      <c r="Z124" s="75" t="s">
        <v>14</v>
      </c>
      <c r="AA124" s="75" t="s">
        <v>14</v>
      </c>
      <c r="AB124" s="75" t="s">
        <v>14</v>
      </c>
      <c r="AC124" s="75"/>
    </row>
    <row r="125" spans="1:29" s="30" customFormat="1" ht="15">
      <c r="A125" s="77">
        <v>44211</v>
      </c>
      <c r="B125" s="75" t="s">
        <v>104</v>
      </c>
      <c r="C125" s="75" t="s">
        <v>657</v>
      </c>
      <c r="D125" s="75" t="s">
        <v>226</v>
      </c>
      <c r="E125" s="181" t="s">
        <v>658</v>
      </c>
      <c r="F125" s="79"/>
      <c r="G125" s="75">
        <v>4</v>
      </c>
      <c r="H125" s="75">
        <v>1</v>
      </c>
      <c r="I125" s="75" t="s">
        <v>14</v>
      </c>
      <c r="J125" s="79" t="s">
        <v>659</v>
      </c>
      <c r="K125" s="75" t="str">
        <f>_xlfn.XLOOKUP(L125,'Inst summary and ER calculation'!$B$3:$B$904,'Inst summary and ER calculation'!$I$3:$I$904)</f>
        <v>6-7 years</v>
      </c>
      <c r="L125" s="87">
        <v>41807</v>
      </c>
      <c r="M125" s="75" t="s">
        <v>14</v>
      </c>
      <c r="N125" s="75">
        <v>18</v>
      </c>
      <c r="O125" s="75">
        <v>81</v>
      </c>
      <c r="P125" s="75" t="s">
        <v>14</v>
      </c>
      <c r="Q125" s="75" t="s">
        <v>13</v>
      </c>
      <c r="R125" s="75"/>
      <c r="S125" s="75"/>
      <c r="T125" s="75"/>
      <c r="U125" s="31" t="str">
        <f t="shared" si="3"/>
        <v/>
      </c>
      <c r="V125" s="75" t="s">
        <v>14</v>
      </c>
      <c r="W125" s="75" t="s">
        <v>14</v>
      </c>
      <c r="X125" s="75" t="s">
        <v>14</v>
      </c>
      <c r="Y125" s="75" t="s">
        <v>14</v>
      </c>
      <c r="Z125" s="75" t="s">
        <v>14</v>
      </c>
      <c r="AA125" s="75" t="s">
        <v>14</v>
      </c>
      <c r="AB125" s="75" t="s">
        <v>14</v>
      </c>
      <c r="AC125" s="75"/>
    </row>
    <row r="126" spans="1:29" s="30" customFormat="1" ht="15.75" customHeight="1">
      <c r="A126" s="77">
        <v>44202</v>
      </c>
      <c r="B126" s="75" t="s">
        <v>118</v>
      </c>
      <c r="C126" s="75" t="s">
        <v>911</v>
      </c>
      <c r="D126" s="75" t="s">
        <v>226</v>
      </c>
      <c r="E126" s="180" t="s">
        <v>699</v>
      </c>
      <c r="F126" s="80"/>
      <c r="G126" s="75">
        <v>3</v>
      </c>
      <c r="H126" s="75">
        <v>2</v>
      </c>
      <c r="I126" s="75" t="s">
        <v>14</v>
      </c>
      <c r="J126" s="75" t="s">
        <v>700</v>
      </c>
      <c r="K126" s="75" t="str">
        <f>_xlfn.XLOOKUP(L126,'Inst summary and ER calculation'!$B$3:$B$904,'Inst summary and ER calculation'!$I$3:$I$904)</f>
        <v>5-6 years</v>
      </c>
      <c r="L126" s="78">
        <v>42127</v>
      </c>
      <c r="M126" s="75" t="s">
        <v>14</v>
      </c>
      <c r="N126" s="75">
        <v>20</v>
      </c>
      <c r="O126" s="75">
        <v>80</v>
      </c>
      <c r="P126" s="75" t="s">
        <v>14</v>
      </c>
      <c r="Q126" s="75" t="s">
        <v>13</v>
      </c>
      <c r="R126" s="75"/>
      <c r="S126" s="75"/>
      <c r="T126" s="75"/>
      <c r="U126" s="31" t="str">
        <f t="shared" si="3"/>
        <v/>
      </c>
      <c r="V126" s="75" t="s">
        <v>14</v>
      </c>
      <c r="W126" s="75" t="s">
        <v>14</v>
      </c>
      <c r="X126" s="75" t="s">
        <v>14</v>
      </c>
      <c r="Y126" s="75" t="s">
        <v>14</v>
      </c>
      <c r="Z126" s="75" t="s">
        <v>14</v>
      </c>
      <c r="AA126" s="75" t="s">
        <v>14</v>
      </c>
      <c r="AB126" s="75" t="s">
        <v>14</v>
      </c>
      <c r="AC126" s="75"/>
    </row>
    <row r="127" spans="1:29" s="30" customFormat="1" ht="15">
      <c r="A127" s="77">
        <v>44205</v>
      </c>
      <c r="B127" s="77" t="s">
        <v>122</v>
      </c>
      <c r="C127" s="75" t="s">
        <v>936</v>
      </c>
      <c r="D127" s="75" t="s">
        <v>226</v>
      </c>
      <c r="E127" s="182" t="s">
        <v>754</v>
      </c>
      <c r="F127" s="75"/>
      <c r="G127" s="75">
        <v>4</v>
      </c>
      <c r="H127" s="75">
        <v>1</v>
      </c>
      <c r="I127" s="75" t="s">
        <v>14</v>
      </c>
      <c r="J127" s="87" t="s">
        <v>755</v>
      </c>
      <c r="K127" s="75" t="str">
        <f>_xlfn.XLOOKUP(L127,'Inst summary and ER calculation'!$B$3:$B$904,'Inst summary and ER calculation'!$I$3:$I$904)</f>
        <v>6-7 years</v>
      </c>
      <c r="L127" s="81">
        <v>41814</v>
      </c>
      <c r="M127" s="75" t="s">
        <v>14</v>
      </c>
      <c r="N127" s="75">
        <v>17</v>
      </c>
      <c r="O127" s="75">
        <v>77</v>
      </c>
      <c r="P127" s="75" t="s">
        <v>14</v>
      </c>
      <c r="Q127" s="75" t="s">
        <v>13</v>
      </c>
      <c r="R127" s="75"/>
      <c r="S127" s="75"/>
      <c r="T127" s="75"/>
      <c r="U127" s="31" t="str">
        <f t="shared" si="3"/>
        <v/>
      </c>
      <c r="V127" s="75" t="s">
        <v>14</v>
      </c>
      <c r="W127" s="75" t="s">
        <v>14</v>
      </c>
      <c r="X127" s="75" t="s">
        <v>14</v>
      </c>
      <c r="Y127" s="75" t="s">
        <v>14</v>
      </c>
      <c r="Z127" s="75" t="s">
        <v>14</v>
      </c>
      <c r="AA127" s="75" t="s">
        <v>14</v>
      </c>
      <c r="AB127" s="75" t="s">
        <v>14</v>
      </c>
      <c r="AC127" s="75"/>
    </row>
    <row r="128" spans="1:29" s="30" customFormat="1" ht="15.75" customHeight="1">
      <c r="A128" s="77">
        <v>44211</v>
      </c>
      <c r="B128" s="75" t="s">
        <v>117</v>
      </c>
      <c r="C128" s="75" t="s">
        <v>39</v>
      </c>
      <c r="D128" s="75" t="s">
        <v>226</v>
      </c>
      <c r="E128" s="181" t="s">
        <v>480</v>
      </c>
      <c r="F128" s="75"/>
      <c r="G128" s="75">
        <v>2</v>
      </c>
      <c r="H128" s="75">
        <v>2</v>
      </c>
      <c r="I128" s="75" t="s">
        <v>14</v>
      </c>
      <c r="J128" s="75" t="s">
        <v>481</v>
      </c>
      <c r="K128" s="75" t="str">
        <f>_xlfn.XLOOKUP(L128,'Inst summary and ER calculation'!$B$3:$B$904,'Inst summary and ER calculation'!$I$3:$I$904)</f>
        <v>5-6 years</v>
      </c>
      <c r="L128" s="78">
        <v>42092</v>
      </c>
      <c r="M128" s="75" t="s">
        <v>14</v>
      </c>
      <c r="N128" s="75">
        <v>14</v>
      </c>
      <c r="O128" s="75">
        <v>60</v>
      </c>
      <c r="P128" s="75" t="s">
        <v>14</v>
      </c>
      <c r="Q128" s="75" t="s">
        <v>13</v>
      </c>
      <c r="R128" s="75"/>
      <c r="S128" s="75"/>
      <c r="T128" s="75"/>
      <c r="U128" s="31" t="str">
        <f t="shared" si="3"/>
        <v/>
      </c>
      <c r="V128" s="75" t="s">
        <v>14</v>
      </c>
      <c r="W128" s="75" t="s">
        <v>14</v>
      </c>
      <c r="X128" s="75" t="s">
        <v>14</v>
      </c>
      <c r="Y128" s="75" t="s">
        <v>14</v>
      </c>
      <c r="Z128" s="75" t="s">
        <v>14</v>
      </c>
      <c r="AA128" s="75" t="s">
        <v>14</v>
      </c>
      <c r="AB128" s="75" t="s">
        <v>14</v>
      </c>
      <c r="AC128" s="75"/>
    </row>
    <row r="129" spans="1:29" s="30" customFormat="1" ht="15">
      <c r="A129" s="77">
        <v>44212</v>
      </c>
      <c r="B129" s="75" t="s">
        <v>126</v>
      </c>
      <c r="C129" s="75" t="s">
        <v>884</v>
      </c>
      <c r="D129" s="75" t="s">
        <v>226</v>
      </c>
      <c r="E129" s="181" t="s">
        <v>649</v>
      </c>
      <c r="F129" s="75"/>
      <c r="G129" s="75">
        <v>2</v>
      </c>
      <c r="H129" s="75">
        <v>1</v>
      </c>
      <c r="I129" s="75" t="s">
        <v>14</v>
      </c>
      <c r="J129" s="75" t="s">
        <v>650</v>
      </c>
      <c r="K129" s="75" t="str">
        <f>_xlfn.XLOOKUP(L129,'Inst summary and ER calculation'!$B$3:$B$904,'Inst summary and ER calculation'!$I$3:$I$904)</f>
        <v>5-6 years</v>
      </c>
      <c r="L129" s="78">
        <v>42101</v>
      </c>
      <c r="M129" s="75" t="s">
        <v>14</v>
      </c>
      <c r="N129" s="75">
        <v>14</v>
      </c>
      <c r="O129" s="75">
        <v>60</v>
      </c>
      <c r="P129" s="75" t="s">
        <v>14</v>
      </c>
      <c r="Q129" s="75" t="s">
        <v>13</v>
      </c>
      <c r="R129" s="75"/>
      <c r="S129" s="75"/>
      <c r="T129" s="75"/>
      <c r="U129" s="31" t="str">
        <f t="shared" si="3"/>
        <v/>
      </c>
      <c r="V129" s="75" t="s">
        <v>14</v>
      </c>
      <c r="W129" s="75" t="s">
        <v>14</v>
      </c>
      <c r="X129" s="75" t="s">
        <v>14</v>
      </c>
      <c r="Y129" s="75" t="s">
        <v>14</v>
      </c>
      <c r="Z129" s="75" t="s">
        <v>14</v>
      </c>
      <c r="AA129" s="75" t="s">
        <v>14</v>
      </c>
      <c r="AB129" s="75" t="s">
        <v>14</v>
      </c>
      <c r="AC129" s="75"/>
    </row>
    <row r="130" spans="1:29" s="30" customFormat="1" ht="15.75" customHeight="1">
      <c r="A130" s="77">
        <v>44210</v>
      </c>
      <c r="B130" s="77" t="s">
        <v>16</v>
      </c>
      <c r="C130" s="75" t="s">
        <v>910</v>
      </c>
      <c r="D130" s="75" t="s">
        <v>226</v>
      </c>
      <c r="E130" s="181" t="s">
        <v>738</v>
      </c>
      <c r="F130" s="75"/>
      <c r="G130" s="75">
        <v>3</v>
      </c>
      <c r="H130" s="75">
        <v>2</v>
      </c>
      <c r="I130" s="75" t="s">
        <v>14</v>
      </c>
      <c r="J130" s="75" t="s">
        <v>739</v>
      </c>
      <c r="K130" s="75" t="str">
        <f>_xlfn.XLOOKUP(L130,'Inst summary and ER calculation'!$B$3:$B$904,'Inst summary and ER calculation'!$I$3:$I$904)</f>
        <v>5-6 years</v>
      </c>
      <c r="L130" s="78">
        <v>42070</v>
      </c>
      <c r="M130" s="75" t="s">
        <v>14</v>
      </c>
      <c r="N130" s="75">
        <v>14</v>
      </c>
      <c r="O130" s="75">
        <v>60</v>
      </c>
      <c r="P130" s="75" t="s">
        <v>14</v>
      </c>
      <c r="Q130" s="75" t="s">
        <v>13</v>
      </c>
      <c r="R130" s="75"/>
      <c r="S130" s="75"/>
      <c r="T130" s="75"/>
      <c r="U130" s="31" t="str">
        <f t="shared" si="3"/>
        <v/>
      </c>
      <c r="V130" s="75" t="s">
        <v>14</v>
      </c>
      <c r="W130" s="75" t="s">
        <v>14</v>
      </c>
      <c r="X130" s="75" t="s">
        <v>14</v>
      </c>
      <c r="Y130" s="75" t="s">
        <v>14</v>
      </c>
      <c r="Z130" s="75" t="s">
        <v>14</v>
      </c>
      <c r="AA130" s="75" t="s">
        <v>14</v>
      </c>
      <c r="AB130" s="75" t="s">
        <v>14</v>
      </c>
      <c r="AC130" s="75"/>
    </row>
    <row r="131" spans="1:29" s="30" customFormat="1" ht="15">
      <c r="A131" s="77">
        <v>44211</v>
      </c>
      <c r="B131" s="75" t="s">
        <v>84</v>
      </c>
      <c r="C131" s="75" t="s">
        <v>894</v>
      </c>
      <c r="D131" s="75" t="s">
        <v>226</v>
      </c>
      <c r="E131" s="181" t="s">
        <v>447</v>
      </c>
      <c r="F131" s="75"/>
      <c r="G131" s="75">
        <v>2</v>
      </c>
      <c r="H131" s="75">
        <v>2</v>
      </c>
      <c r="I131" s="75" t="s">
        <v>14</v>
      </c>
      <c r="J131" s="75" t="s">
        <v>448</v>
      </c>
      <c r="K131" s="75" t="str">
        <f>_xlfn.XLOOKUP(L131,'Inst summary and ER calculation'!$B$3:$B$904,'Inst summary and ER calculation'!$I$3:$I$904)</f>
        <v>5-6 years</v>
      </c>
      <c r="L131" s="78">
        <v>42119</v>
      </c>
      <c r="M131" s="75" t="s">
        <v>14</v>
      </c>
      <c r="N131" s="75">
        <v>17</v>
      </c>
      <c r="O131" s="75">
        <v>72</v>
      </c>
      <c r="P131" s="75" t="s">
        <v>14</v>
      </c>
      <c r="Q131" s="75" t="s">
        <v>13</v>
      </c>
      <c r="R131" s="75"/>
      <c r="S131" s="75"/>
      <c r="T131" s="75"/>
      <c r="U131" s="31" t="str">
        <f t="shared" ref="U131:U142" si="4">IF(R131="Yes",MAX(S131/(S131+N131),T131/(T131+O131)),"")</f>
        <v/>
      </c>
      <c r="V131" s="75" t="s">
        <v>14</v>
      </c>
      <c r="W131" s="75" t="s">
        <v>14</v>
      </c>
      <c r="X131" s="75" t="s">
        <v>14</v>
      </c>
      <c r="Y131" s="75" t="s">
        <v>14</v>
      </c>
      <c r="Z131" s="75" t="s">
        <v>14</v>
      </c>
      <c r="AA131" s="75" t="s">
        <v>14</v>
      </c>
      <c r="AB131" s="75" t="s">
        <v>14</v>
      </c>
      <c r="AC131" s="75"/>
    </row>
    <row r="132" spans="1:29" s="30" customFormat="1" ht="15.75" customHeight="1">
      <c r="A132" s="77">
        <v>44202</v>
      </c>
      <c r="B132" s="75" t="s">
        <v>32</v>
      </c>
      <c r="C132" s="75" t="s">
        <v>408</v>
      </c>
      <c r="D132" s="75" t="s">
        <v>226</v>
      </c>
      <c r="E132" s="182" t="s">
        <v>409</v>
      </c>
      <c r="F132" s="75"/>
      <c r="G132" s="75">
        <v>4</v>
      </c>
      <c r="H132" s="75">
        <v>1</v>
      </c>
      <c r="I132" s="75" t="s">
        <v>14</v>
      </c>
      <c r="J132" s="75" t="s">
        <v>410</v>
      </c>
      <c r="K132" s="75" t="str">
        <f>_xlfn.XLOOKUP(L132,'Inst summary and ER calculation'!$B$3:$B$904,'Inst summary and ER calculation'!$I$3:$I$904)</f>
        <v>5-6 years</v>
      </c>
      <c r="L132" s="78">
        <v>42097</v>
      </c>
      <c r="M132" s="75" t="s">
        <v>14</v>
      </c>
      <c r="N132" s="75">
        <v>14</v>
      </c>
      <c r="O132" s="75">
        <v>60</v>
      </c>
      <c r="P132" s="75" t="s">
        <v>14</v>
      </c>
      <c r="Q132" s="75" t="s">
        <v>13</v>
      </c>
      <c r="R132" s="75"/>
      <c r="S132" s="75"/>
      <c r="T132" s="75"/>
      <c r="U132" s="31" t="str">
        <f t="shared" si="4"/>
        <v/>
      </c>
      <c r="V132" s="75" t="s">
        <v>14</v>
      </c>
      <c r="W132" s="75" t="s">
        <v>14</v>
      </c>
      <c r="X132" s="75" t="s">
        <v>14</v>
      </c>
      <c r="Y132" s="75" t="s">
        <v>14</v>
      </c>
      <c r="Z132" s="75" t="s">
        <v>14</v>
      </c>
      <c r="AA132" s="75" t="s">
        <v>14</v>
      </c>
      <c r="AB132" s="75" t="s">
        <v>14</v>
      </c>
      <c r="AC132" s="75"/>
    </row>
    <row r="133" spans="1:29" s="30" customFormat="1" ht="15">
      <c r="A133" s="77">
        <v>44211</v>
      </c>
      <c r="B133" s="75" t="s">
        <v>449</v>
      </c>
      <c r="C133" s="75" t="s">
        <v>450</v>
      </c>
      <c r="D133" s="75" t="s">
        <v>226</v>
      </c>
      <c r="E133" s="181" t="s">
        <v>451</v>
      </c>
      <c r="F133" s="75"/>
      <c r="G133" s="75">
        <v>4</v>
      </c>
      <c r="H133" s="75">
        <v>0</v>
      </c>
      <c r="I133" s="75" t="s">
        <v>14</v>
      </c>
      <c r="J133" s="75" t="s">
        <v>452</v>
      </c>
      <c r="K133" s="75" t="str">
        <f>_xlfn.XLOOKUP(L133,'Inst summary and ER calculation'!$B$3:$B$904,'Inst summary and ER calculation'!$I$3:$I$904)</f>
        <v>5-6 years</v>
      </c>
      <c r="L133" s="78">
        <v>42116</v>
      </c>
      <c r="M133" s="75" t="s">
        <v>14</v>
      </c>
      <c r="N133" s="75">
        <v>18</v>
      </c>
      <c r="O133" s="75">
        <v>80</v>
      </c>
      <c r="P133" s="75" t="s">
        <v>14</v>
      </c>
      <c r="Q133" s="75" t="s">
        <v>13</v>
      </c>
      <c r="R133" s="75"/>
      <c r="S133" s="75"/>
      <c r="T133" s="75"/>
      <c r="U133" s="31" t="str">
        <f t="shared" si="4"/>
        <v/>
      </c>
      <c r="V133" s="75" t="s">
        <v>14</v>
      </c>
      <c r="W133" s="75" t="s">
        <v>14</v>
      </c>
      <c r="X133" s="75" t="s">
        <v>14</v>
      </c>
      <c r="Y133" s="75" t="s">
        <v>14</v>
      </c>
      <c r="Z133" s="75" t="s">
        <v>14</v>
      </c>
      <c r="AA133" s="75" t="s">
        <v>14</v>
      </c>
      <c r="AB133" s="75" t="s">
        <v>14</v>
      </c>
      <c r="AC133" s="75"/>
    </row>
    <row r="134" spans="1:29" s="30" customFormat="1" ht="15.75" customHeight="1">
      <c r="A134" s="77">
        <v>44201</v>
      </c>
      <c r="B134" s="75" t="s">
        <v>573</v>
      </c>
      <c r="C134" s="75" t="s">
        <v>574</v>
      </c>
      <c r="D134" s="75" t="s">
        <v>226</v>
      </c>
      <c r="E134" s="182" t="s">
        <v>575</v>
      </c>
      <c r="F134" s="75"/>
      <c r="G134" s="75">
        <v>2</v>
      </c>
      <c r="H134" s="75">
        <v>2</v>
      </c>
      <c r="I134" s="75" t="s">
        <v>14</v>
      </c>
      <c r="J134" s="75" t="s">
        <v>576</v>
      </c>
      <c r="K134" s="75" t="str">
        <f>_xlfn.XLOOKUP(L134,'Inst summary and ER calculation'!$B$3:$B$904,'Inst summary and ER calculation'!$I$3:$I$904)</f>
        <v>5-6 years</v>
      </c>
      <c r="L134" s="78">
        <v>42130</v>
      </c>
      <c r="M134" s="75" t="s">
        <v>14</v>
      </c>
      <c r="N134" s="75">
        <v>14</v>
      </c>
      <c r="O134" s="75">
        <v>60</v>
      </c>
      <c r="P134" s="75" t="s">
        <v>14</v>
      </c>
      <c r="Q134" s="75" t="s">
        <v>13</v>
      </c>
      <c r="R134" s="75"/>
      <c r="S134" s="75"/>
      <c r="T134" s="75"/>
      <c r="U134" s="31" t="str">
        <f t="shared" si="4"/>
        <v/>
      </c>
      <c r="V134" s="75" t="s">
        <v>14</v>
      </c>
      <c r="W134" s="75" t="s">
        <v>14</v>
      </c>
      <c r="X134" s="75" t="s">
        <v>14</v>
      </c>
      <c r="Y134" s="75" t="s">
        <v>14</v>
      </c>
      <c r="Z134" s="75" t="s">
        <v>14</v>
      </c>
      <c r="AA134" s="75" t="s">
        <v>14</v>
      </c>
      <c r="AB134" s="75" t="s">
        <v>14</v>
      </c>
      <c r="AC134" s="75"/>
    </row>
    <row r="135" spans="1:29" s="30" customFormat="1" ht="15">
      <c r="A135" s="77">
        <v>44210</v>
      </c>
      <c r="B135" s="75" t="s">
        <v>246</v>
      </c>
      <c r="C135" s="75" t="s">
        <v>252</v>
      </c>
      <c r="D135" s="75" t="s">
        <v>226</v>
      </c>
      <c r="E135" s="181" t="s">
        <v>635</v>
      </c>
      <c r="F135" s="75"/>
      <c r="G135" s="75">
        <v>4</v>
      </c>
      <c r="H135" s="75">
        <v>1</v>
      </c>
      <c r="I135" s="75" t="s">
        <v>14</v>
      </c>
      <c r="J135" s="75" t="s">
        <v>636</v>
      </c>
      <c r="K135" s="75" t="str">
        <f>_xlfn.XLOOKUP(L135,'Inst summary and ER calculation'!$B$3:$B$904,'Inst summary and ER calculation'!$I$3:$I$904)</f>
        <v>5-6 years</v>
      </c>
      <c r="L135" s="78">
        <v>42106</v>
      </c>
      <c r="M135" s="75" t="s">
        <v>14</v>
      </c>
      <c r="N135" s="75">
        <v>14</v>
      </c>
      <c r="O135" s="75">
        <v>60</v>
      </c>
      <c r="P135" s="75" t="s">
        <v>14</v>
      </c>
      <c r="Q135" s="75" t="s">
        <v>13</v>
      </c>
      <c r="R135" s="75"/>
      <c r="S135" s="75"/>
      <c r="T135" s="75"/>
      <c r="U135" s="31" t="str">
        <f t="shared" si="4"/>
        <v/>
      </c>
      <c r="V135" s="75" t="s">
        <v>14</v>
      </c>
      <c r="W135" s="75" t="s">
        <v>14</v>
      </c>
      <c r="X135" s="75" t="s">
        <v>14</v>
      </c>
      <c r="Y135" s="75" t="s">
        <v>14</v>
      </c>
      <c r="Z135" s="75" t="s">
        <v>14</v>
      </c>
      <c r="AA135" s="75" t="s">
        <v>14</v>
      </c>
      <c r="AB135" s="75" t="s">
        <v>14</v>
      </c>
      <c r="AC135" s="75"/>
    </row>
    <row r="136" spans="1:29" s="30" customFormat="1" ht="15.75" customHeight="1">
      <c r="A136" s="77">
        <v>44210</v>
      </c>
      <c r="B136" s="75" t="s">
        <v>246</v>
      </c>
      <c r="C136" s="75" t="s">
        <v>263</v>
      </c>
      <c r="D136" s="75" t="s">
        <v>226</v>
      </c>
      <c r="E136" s="181" t="s">
        <v>697</v>
      </c>
      <c r="F136" s="75"/>
      <c r="G136" s="75">
        <v>4</v>
      </c>
      <c r="H136" s="75">
        <v>1</v>
      </c>
      <c r="I136" s="75" t="s">
        <v>14</v>
      </c>
      <c r="J136" s="75" t="s">
        <v>698</v>
      </c>
      <c r="K136" s="75" t="str">
        <f>_xlfn.XLOOKUP(L136,'Inst summary and ER calculation'!$B$3:$B$904,'Inst summary and ER calculation'!$I$3:$I$904)</f>
        <v>6-7 years</v>
      </c>
      <c r="L136" s="78">
        <v>41903</v>
      </c>
      <c r="M136" s="75" t="s">
        <v>14</v>
      </c>
      <c r="N136" s="75">
        <v>14</v>
      </c>
      <c r="O136" s="75">
        <v>60</v>
      </c>
      <c r="P136" s="75" t="s">
        <v>14</v>
      </c>
      <c r="Q136" s="75" t="s">
        <v>13</v>
      </c>
      <c r="R136" s="75"/>
      <c r="S136" s="75"/>
      <c r="T136" s="75"/>
      <c r="U136" s="31" t="str">
        <f t="shared" si="4"/>
        <v/>
      </c>
      <c r="V136" s="75" t="s">
        <v>14</v>
      </c>
      <c r="W136" s="75" t="s">
        <v>14</v>
      </c>
      <c r="X136" s="75" t="s">
        <v>14</v>
      </c>
      <c r="Y136" s="75" t="s">
        <v>14</v>
      </c>
      <c r="Z136" s="75" t="s">
        <v>14</v>
      </c>
      <c r="AA136" s="75" t="s">
        <v>14</v>
      </c>
      <c r="AB136" s="75" t="s">
        <v>14</v>
      </c>
      <c r="AC136" s="75"/>
    </row>
    <row r="137" spans="1:29" s="30" customFormat="1" ht="15">
      <c r="A137" s="77">
        <v>44212</v>
      </c>
      <c r="B137" s="75" t="s">
        <v>104</v>
      </c>
      <c r="C137" s="75" t="s">
        <v>915</v>
      </c>
      <c r="D137" s="75" t="s">
        <v>226</v>
      </c>
      <c r="E137" s="181" t="s">
        <v>673</v>
      </c>
      <c r="F137" s="75"/>
      <c r="G137" s="75">
        <v>3</v>
      </c>
      <c r="H137" s="75">
        <v>0</v>
      </c>
      <c r="I137" s="75" t="s">
        <v>14</v>
      </c>
      <c r="J137" s="75" t="s">
        <v>674</v>
      </c>
      <c r="K137" s="75" t="str">
        <f>_xlfn.XLOOKUP(L137,'Inst summary and ER calculation'!$B$3:$B$904,'Inst summary and ER calculation'!$I$3:$I$904)</f>
        <v>6-7 years</v>
      </c>
      <c r="L137" s="78">
        <v>42000</v>
      </c>
      <c r="M137" s="75" t="s">
        <v>14</v>
      </c>
      <c r="N137" s="75">
        <v>14</v>
      </c>
      <c r="O137" s="75">
        <v>60</v>
      </c>
      <c r="P137" s="75" t="s">
        <v>14</v>
      </c>
      <c r="Q137" s="75" t="s">
        <v>13</v>
      </c>
      <c r="R137" s="75"/>
      <c r="S137" s="75"/>
      <c r="T137" s="75"/>
      <c r="U137" s="31" t="str">
        <f t="shared" si="4"/>
        <v/>
      </c>
      <c r="V137" s="75" t="s">
        <v>14</v>
      </c>
      <c r="W137" s="75" t="s">
        <v>14</v>
      </c>
      <c r="X137" s="75" t="s">
        <v>14</v>
      </c>
      <c r="Y137" s="75" t="s">
        <v>14</v>
      </c>
      <c r="Z137" s="75" t="s">
        <v>14</v>
      </c>
      <c r="AA137" s="75" t="s">
        <v>14</v>
      </c>
      <c r="AB137" s="75" t="s">
        <v>14</v>
      </c>
      <c r="AC137" s="75"/>
    </row>
    <row r="138" spans="1:29" s="30" customFormat="1" ht="15.75" customHeight="1">
      <c r="A138" s="77">
        <v>44209</v>
      </c>
      <c r="B138" s="77" t="s">
        <v>122</v>
      </c>
      <c r="C138" s="75" t="s">
        <v>599</v>
      </c>
      <c r="D138" s="75" t="s">
        <v>226</v>
      </c>
      <c r="E138" s="181" t="s">
        <v>600</v>
      </c>
      <c r="F138" s="79"/>
      <c r="G138" s="75">
        <v>3</v>
      </c>
      <c r="H138" s="75">
        <v>1</v>
      </c>
      <c r="I138" s="75" t="s">
        <v>14</v>
      </c>
      <c r="J138" s="90" t="s">
        <v>601</v>
      </c>
      <c r="K138" s="75" t="str">
        <f>_xlfn.XLOOKUP(L138,'Inst summary and ER calculation'!$B$3:$B$904,'Inst summary and ER calculation'!$I$3:$I$904)</f>
        <v>6-7 years</v>
      </c>
      <c r="L138" s="90">
        <v>41926</v>
      </c>
      <c r="M138" s="75" t="s">
        <v>14</v>
      </c>
      <c r="N138" s="75">
        <v>18</v>
      </c>
      <c r="O138" s="75">
        <v>81</v>
      </c>
      <c r="P138" s="75" t="s">
        <v>14</v>
      </c>
      <c r="Q138" s="75" t="s">
        <v>13</v>
      </c>
      <c r="R138" s="75"/>
      <c r="S138" s="75"/>
      <c r="T138" s="75"/>
      <c r="U138" s="31" t="str">
        <f t="shared" si="4"/>
        <v/>
      </c>
      <c r="V138" s="75" t="s">
        <v>14</v>
      </c>
      <c r="W138" s="75" t="s">
        <v>14</v>
      </c>
      <c r="X138" s="75" t="s">
        <v>14</v>
      </c>
      <c r="Y138" s="75" t="s">
        <v>14</v>
      </c>
      <c r="Z138" s="75" t="s">
        <v>14</v>
      </c>
      <c r="AA138" s="75" t="s">
        <v>14</v>
      </c>
      <c r="AB138" s="75" t="s">
        <v>14</v>
      </c>
      <c r="AC138" s="75"/>
    </row>
    <row r="139" spans="1:29" s="30" customFormat="1" ht="15">
      <c r="A139" s="77">
        <v>44210</v>
      </c>
      <c r="B139" s="75" t="s">
        <v>258</v>
      </c>
      <c r="C139" s="75" t="s">
        <v>735</v>
      </c>
      <c r="D139" s="75" t="s">
        <v>226</v>
      </c>
      <c r="E139" s="181" t="s">
        <v>736</v>
      </c>
      <c r="F139" s="75"/>
      <c r="G139" s="75">
        <v>2</v>
      </c>
      <c r="H139" s="75">
        <v>1</v>
      </c>
      <c r="I139" s="75" t="s">
        <v>14</v>
      </c>
      <c r="J139" s="75" t="s">
        <v>737</v>
      </c>
      <c r="K139" s="75" t="str">
        <f>_xlfn.XLOOKUP(L139,'Inst summary and ER calculation'!$B$3:$B$904,'Inst summary and ER calculation'!$I$3:$I$904)</f>
        <v>6-7 years</v>
      </c>
      <c r="L139" s="85">
        <v>41866</v>
      </c>
      <c r="M139" s="75" t="s">
        <v>14</v>
      </c>
      <c r="N139" s="75">
        <v>18</v>
      </c>
      <c r="O139" s="75">
        <v>76</v>
      </c>
      <c r="P139" s="75" t="s">
        <v>14</v>
      </c>
      <c r="Q139" s="75" t="s">
        <v>13</v>
      </c>
      <c r="R139" s="75"/>
      <c r="S139" s="75"/>
      <c r="T139" s="75"/>
      <c r="U139" s="31" t="str">
        <f t="shared" si="4"/>
        <v/>
      </c>
      <c r="V139" s="75" t="s">
        <v>14</v>
      </c>
      <c r="W139" s="75" t="s">
        <v>14</v>
      </c>
      <c r="X139" s="75" t="s">
        <v>14</v>
      </c>
      <c r="Y139" s="75" t="s">
        <v>14</v>
      </c>
      <c r="Z139" s="75" t="s">
        <v>14</v>
      </c>
      <c r="AA139" s="75" t="s">
        <v>14</v>
      </c>
      <c r="AB139" s="75" t="s">
        <v>14</v>
      </c>
      <c r="AC139" s="75"/>
    </row>
    <row r="140" spans="1:29" s="30" customFormat="1" ht="15.75" customHeight="1">
      <c r="A140" s="77">
        <v>44206</v>
      </c>
      <c r="B140" s="75" t="s">
        <v>106</v>
      </c>
      <c r="C140" s="83" t="s">
        <v>945</v>
      </c>
      <c r="D140" s="75" t="s">
        <v>226</v>
      </c>
      <c r="E140" s="181" t="s">
        <v>431</v>
      </c>
      <c r="F140" s="75"/>
      <c r="G140" s="75">
        <v>4</v>
      </c>
      <c r="H140" s="75">
        <v>4</v>
      </c>
      <c r="I140" s="75" t="s">
        <v>14</v>
      </c>
      <c r="J140" s="75" t="s">
        <v>432</v>
      </c>
      <c r="K140" s="75" t="str">
        <f>_xlfn.XLOOKUP(L140,'Inst summary and ER calculation'!$B$3:$B$904,'Inst summary and ER calculation'!$I$3:$I$904)</f>
        <v>6-7 years</v>
      </c>
      <c r="L140" s="78">
        <v>42049</v>
      </c>
      <c r="M140" s="75" t="s">
        <v>14</v>
      </c>
      <c r="N140" s="75">
        <v>14</v>
      </c>
      <c r="O140" s="75">
        <v>60</v>
      </c>
      <c r="P140" s="75" t="s">
        <v>14</v>
      </c>
      <c r="Q140" s="75" t="s">
        <v>13</v>
      </c>
      <c r="R140" s="75"/>
      <c r="S140" s="75"/>
      <c r="T140" s="75"/>
      <c r="U140" s="31" t="str">
        <f t="shared" si="4"/>
        <v/>
      </c>
      <c r="V140" s="75" t="s">
        <v>14</v>
      </c>
      <c r="W140" s="75" t="s">
        <v>14</v>
      </c>
      <c r="X140" s="75" t="s">
        <v>14</v>
      </c>
      <c r="Y140" s="75" t="s">
        <v>14</v>
      </c>
      <c r="Z140" s="75" t="s">
        <v>14</v>
      </c>
      <c r="AA140" s="75" t="s">
        <v>14</v>
      </c>
      <c r="AB140" s="75" t="s">
        <v>14</v>
      </c>
      <c r="AC140" s="75"/>
    </row>
    <row r="141" spans="1:29" s="30" customFormat="1" ht="15">
      <c r="A141" s="77">
        <v>44203</v>
      </c>
      <c r="B141" s="75" t="s">
        <v>260</v>
      </c>
      <c r="C141" s="75" t="s">
        <v>916</v>
      </c>
      <c r="D141" s="75" t="s">
        <v>226</v>
      </c>
      <c r="E141" s="182" t="s">
        <v>733</v>
      </c>
      <c r="F141" s="75"/>
      <c r="G141" s="75">
        <v>3</v>
      </c>
      <c r="H141" s="75">
        <v>1</v>
      </c>
      <c r="I141" s="75" t="s">
        <v>14</v>
      </c>
      <c r="J141" s="75" t="s">
        <v>734</v>
      </c>
      <c r="K141" s="75" t="str">
        <f>_xlfn.XLOOKUP(L141,'Inst summary and ER calculation'!$B$3:$B$904,'Inst summary and ER calculation'!$I$3:$I$904)</f>
        <v>6-7 years</v>
      </c>
      <c r="L141" s="78">
        <v>42050</v>
      </c>
      <c r="M141" s="75" t="s">
        <v>14</v>
      </c>
      <c r="N141" s="75">
        <v>14</v>
      </c>
      <c r="O141" s="75">
        <v>60</v>
      </c>
      <c r="P141" s="75" t="s">
        <v>14</v>
      </c>
      <c r="Q141" s="75" t="s">
        <v>13</v>
      </c>
      <c r="R141" s="75"/>
      <c r="S141" s="75"/>
      <c r="T141" s="75"/>
      <c r="U141" s="31" t="str">
        <f t="shared" si="4"/>
        <v/>
      </c>
      <c r="V141" s="75" t="s">
        <v>14</v>
      </c>
      <c r="W141" s="75" t="s">
        <v>14</v>
      </c>
      <c r="X141" s="75" t="s">
        <v>14</v>
      </c>
      <c r="Y141" s="75" t="s">
        <v>14</v>
      </c>
      <c r="Z141" s="75" t="s">
        <v>14</v>
      </c>
      <c r="AA141" s="75" t="s">
        <v>14</v>
      </c>
      <c r="AB141" s="75" t="s">
        <v>14</v>
      </c>
      <c r="AC141" s="75"/>
    </row>
    <row r="142" spans="1:29" s="30" customFormat="1" ht="15.75" customHeight="1">
      <c r="A142" s="77">
        <v>44199</v>
      </c>
      <c r="B142" s="75" t="s">
        <v>128</v>
      </c>
      <c r="C142" s="75" t="s">
        <v>728</v>
      </c>
      <c r="D142" s="79" t="s">
        <v>226</v>
      </c>
      <c r="E142" s="182" t="s">
        <v>729</v>
      </c>
      <c r="F142" s="75"/>
      <c r="G142" s="75">
        <v>4</v>
      </c>
      <c r="H142" s="75">
        <v>1</v>
      </c>
      <c r="I142" s="75" t="s">
        <v>14</v>
      </c>
      <c r="J142" s="75" t="s">
        <v>730</v>
      </c>
      <c r="K142" s="75" t="str">
        <f>_xlfn.XLOOKUP(L142,'Inst summary and ER calculation'!$B$3:$B$904,'Inst summary and ER calculation'!$I$3:$I$904)</f>
        <v>6-7 years</v>
      </c>
      <c r="L142" s="78">
        <v>41989</v>
      </c>
      <c r="M142" s="75" t="s">
        <v>14</v>
      </c>
      <c r="N142" s="75">
        <v>14</v>
      </c>
      <c r="O142" s="75">
        <v>60</v>
      </c>
      <c r="P142" s="75" t="s">
        <v>14</v>
      </c>
      <c r="Q142" s="75" t="s">
        <v>13</v>
      </c>
      <c r="R142" s="75"/>
      <c r="S142" s="75"/>
      <c r="T142" s="75"/>
      <c r="U142" s="31" t="str">
        <f t="shared" si="4"/>
        <v/>
      </c>
      <c r="V142" s="75" t="s">
        <v>14</v>
      </c>
      <c r="W142" s="75" t="s">
        <v>14</v>
      </c>
      <c r="X142" s="75" t="s">
        <v>14</v>
      </c>
      <c r="Y142" s="75" t="s">
        <v>14</v>
      </c>
      <c r="Z142" s="75" t="s">
        <v>14</v>
      </c>
      <c r="AA142" s="75" t="s">
        <v>14</v>
      </c>
      <c r="AB142" s="75" t="s">
        <v>14</v>
      </c>
      <c r="AC142" s="75"/>
    </row>
    <row r="143" spans="1:29" s="30" customFormat="1" ht="15">
      <c r="A143" s="77">
        <v>44210</v>
      </c>
      <c r="B143" s="77" t="s">
        <v>108</v>
      </c>
      <c r="C143" s="75" t="s">
        <v>651</v>
      </c>
      <c r="D143" s="79" t="s">
        <v>226</v>
      </c>
      <c r="E143" s="181" t="s">
        <v>652</v>
      </c>
      <c r="F143" s="75"/>
      <c r="G143" s="75">
        <v>2</v>
      </c>
      <c r="H143" s="75">
        <v>2</v>
      </c>
      <c r="I143" s="96" t="s">
        <v>13</v>
      </c>
      <c r="J143" s="75" t="s">
        <v>653</v>
      </c>
      <c r="K143" s="75" t="str">
        <f>_xlfn.XLOOKUP(L143,'Inst summary and ER calculation'!$B$3:$B$904,'Inst summary and ER calculation'!$I$3:$I$904)</f>
        <v>6-7 years</v>
      </c>
      <c r="L143" s="78">
        <v>42036</v>
      </c>
      <c r="M143" s="96"/>
      <c r="N143" s="75"/>
      <c r="O143" s="75"/>
      <c r="P143" s="75"/>
      <c r="Q143" s="75"/>
      <c r="R143" s="75"/>
      <c r="S143" s="75"/>
      <c r="T143" s="75"/>
      <c r="U143" s="31"/>
      <c r="V143" s="75"/>
      <c r="W143" s="75"/>
      <c r="X143" s="75"/>
      <c r="Y143" s="75"/>
      <c r="Z143" s="75"/>
      <c r="AA143" s="75"/>
      <c r="AB143" s="75"/>
      <c r="AC143" s="75"/>
    </row>
    <row r="144" spans="1:29" s="30" customFormat="1" ht="15.75" customHeight="1">
      <c r="A144" s="77">
        <v>44210</v>
      </c>
      <c r="B144" s="75" t="s">
        <v>258</v>
      </c>
      <c r="C144" s="75" t="s">
        <v>749</v>
      </c>
      <c r="D144" s="75" t="s">
        <v>226</v>
      </c>
      <c r="E144" s="181" t="s">
        <v>750</v>
      </c>
      <c r="F144" s="75"/>
      <c r="G144" s="75">
        <v>2</v>
      </c>
      <c r="H144" s="75">
        <v>2</v>
      </c>
      <c r="I144" s="75" t="s">
        <v>14</v>
      </c>
      <c r="J144" s="75" t="s">
        <v>751</v>
      </c>
      <c r="K144" s="75" t="str">
        <f>_xlfn.XLOOKUP(L144,'Inst summary and ER calculation'!$B$3:$B$904,'Inst summary and ER calculation'!$I$3:$I$904)</f>
        <v>6-7 years</v>
      </c>
      <c r="L144" s="84">
        <v>41776</v>
      </c>
      <c r="M144" s="96" t="s">
        <v>13</v>
      </c>
      <c r="N144" s="75"/>
      <c r="O144" s="75"/>
      <c r="P144" s="75"/>
      <c r="Q144" s="75"/>
      <c r="R144" s="75"/>
      <c r="S144" s="75"/>
      <c r="T144" s="75"/>
      <c r="U144" s="31"/>
      <c r="V144" s="75"/>
      <c r="W144" s="75"/>
      <c r="X144" s="75"/>
      <c r="Y144" s="75"/>
      <c r="Z144" s="75"/>
      <c r="AA144" s="75"/>
      <c r="AB144" s="75"/>
      <c r="AC144" s="75"/>
    </row>
    <row r="145" spans="1:29" s="30" customFormat="1" ht="15">
      <c r="A145" s="77">
        <v>44211</v>
      </c>
      <c r="B145" s="75" t="s">
        <v>107</v>
      </c>
      <c r="C145" s="75" t="s">
        <v>704</v>
      </c>
      <c r="D145" s="75" t="s">
        <v>226</v>
      </c>
      <c r="E145" s="181" t="s">
        <v>705</v>
      </c>
      <c r="F145" s="75"/>
      <c r="G145" s="75">
        <v>3</v>
      </c>
      <c r="H145" s="75">
        <v>1</v>
      </c>
      <c r="I145" s="96" t="s">
        <v>13</v>
      </c>
      <c r="J145" s="79" t="s">
        <v>706</v>
      </c>
      <c r="K145" s="75" t="str">
        <f>_xlfn.XLOOKUP(L145,'Inst summary and ER calculation'!$B$3:$B$904,'Inst summary and ER calculation'!$I$3:$I$904)</f>
        <v>6-7 years</v>
      </c>
      <c r="L145" s="85">
        <v>41798</v>
      </c>
      <c r="M145" s="96"/>
      <c r="N145" s="75"/>
      <c r="O145" s="75"/>
      <c r="P145" s="75"/>
      <c r="Q145" s="75"/>
      <c r="R145" s="75"/>
      <c r="S145" s="75"/>
      <c r="T145" s="75"/>
      <c r="U145" s="31"/>
      <c r="V145" s="75"/>
      <c r="W145" s="75"/>
      <c r="X145" s="75"/>
      <c r="Y145" s="75"/>
      <c r="Z145" s="75"/>
      <c r="AA145" s="75"/>
      <c r="AB145" s="75"/>
      <c r="AC145" s="75"/>
    </row>
    <row r="146" spans="1:29" s="30" customFormat="1" ht="15.75" customHeight="1">
      <c r="A146" s="77">
        <v>44210</v>
      </c>
      <c r="B146" s="75" t="s">
        <v>388</v>
      </c>
      <c r="C146" s="75" t="s">
        <v>240</v>
      </c>
      <c r="D146" s="80" t="s">
        <v>226</v>
      </c>
      <c r="E146" s="181" t="s">
        <v>398</v>
      </c>
      <c r="F146" s="75"/>
      <c r="G146" s="75">
        <v>4</v>
      </c>
      <c r="H146" s="75">
        <v>0</v>
      </c>
      <c r="I146" s="75" t="s">
        <v>14</v>
      </c>
      <c r="J146" s="75" t="s">
        <v>399</v>
      </c>
      <c r="K146" s="75" t="str">
        <f>_xlfn.XLOOKUP(L146,'Inst summary and ER calculation'!$B$3:$B$904,'Inst summary and ER calculation'!$I$3:$I$904)</f>
        <v>6-7 years</v>
      </c>
      <c r="L146" s="78">
        <v>41934</v>
      </c>
      <c r="M146" s="96" t="s">
        <v>13</v>
      </c>
      <c r="N146" s="75"/>
      <c r="O146" s="75"/>
      <c r="P146" s="75"/>
      <c r="Q146" s="75"/>
      <c r="R146" s="75"/>
      <c r="S146" s="75"/>
      <c r="T146" s="75"/>
      <c r="U146" s="31"/>
      <c r="V146" s="75"/>
      <c r="W146" s="75"/>
      <c r="X146" s="75"/>
      <c r="Y146" s="75"/>
      <c r="Z146" s="75"/>
      <c r="AA146" s="75"/>
      <c r="AB146" s="75"/>
      <c r="AC146" s="75"/>
    </row>
    <row r="147" spans="1:29" s="30" customFormat="1" ht="15">
      <c r="A147" s="77">
        <v>44210</v>
      </c>
      <c r="B147" s="77" t="s">
        <v>108</v>
      </c>
      <c r="C147" s="75" t="s">
        <v>411</v>
      </c>
      <c r="D147" s="75" t="s">
        <v>226</v>
      </c>
      <c r="E147" s="181" t="s">
        <v>412</v>
      </c>
      <c r="F147" s="79"/>
      <c r="G147" s="75">
        <v>4</v>
      </c>
      <c r="H147" s="75">
        <v>2</v>
      </c>
      <c r="I147" s="75" t="s">
        <v>14</v>
      </c>
      <c r="J147" s="79" t="s">
        <v>413</v>
      </c>
      <c r="K147" s="75" t="str">
        <f>_xlfn.XLOOKUP(L147,'Inst summary and ER calculation'!$B$3:$B$904,'Inst summary and ER calculation'!$I$3:$I$904)</f>
        <v>6-7 years</v>
      </c>
      <c r="L147" s="175">
        <v>41933</v>
      </c>
      <c r="M147" s="96" t="s">
        <v>13</v>
      </c>
      <c r="N147" s="75"/>
      <c r="O147" s="75"/>
      <c r="P147" s="75"/>
      <c r="Q147" s="75"/>
      <c r="R147" s="75"/>
      <c r="S147" s="75"/>
      <c r="T147" s="75"/>
      <c r="U147" s="31"/>
      <c r="V147" s="75"/>
      <c r="W147" s="75"/>
      <c r="X147" s="75"/>
      <c r="Y147" s="75"/>
      <c r="Z147" s="75"/>
      <c r="AA147" s="75"/>
      <c r="AB147" s="75"/>
      <c r="AC147" s="75"/>
    </row>
    <row r="148" spans="1:29" s="30" customFormat="1" ht="15.75" customHeight="1">
      <c r="A148" s="77">
        <v>44202</v>
      </c>
      <c r="B148" s="75" t="s">
        <v>132</v>
      </c>
      <c r="C148" s="75" t="s">
        <v>602</v>
      </c>
      <c r="D148" s="75" t="s">
        <v>226</v>
      </c>
      <c r="E148" s="182" t="s">
        <v>133</v>
      </c>
      <c r="F148" s="75"/>
      <c r="G148" s="75">
        <v>2</v>
      </c>
      <c r="H148" s="75">
        <v>4</v>
      </c>
      <c r="I148" s="75" t="s">
        <v>14</v>
      </c>
      <c r="J148" s="75" t="s">
        <v>603</v>
      </c>
      <c r="K148" s="75" t="str">
        <f>_xlfn.XLOOKUP(L148,'Inst summary and ER calculation'!$B$3:$B$904,'Inst summary and ER calculation'!$I$3:$I$904)</f>
        <v>6-7 years</v>
      </c>
      <c r="L148" s="78">
        <v>41871</v>
      </c>
      <c r="M148" s="96" t="s">
        <v>13</v>
      </c>
      <c r="N148" s="75"/>
      <c r="O148" s="75"/>
      <c r="P148" s="75"/>
      <c r="Q148" s="75"/>
      <c r="R148" s="75"/>
      <c r="S148" s="75"/>
      <c r="T148" s="75"/>
      <c r="U148" s="31"/>
      <c r="V148" s="75"/>
      <c r="W148" s="75"/>
      <c r="X148" s="75"/>
      <c r="Y148" s="75"/>
      <c r="Z148" s="75"/>
      <c r="AA148" s="75"/>
      <c r="AB148" s="75"/>
      <c r="AC148" s="75"/>
    </row>
    <row r="149" spans="1:29" s="30" customFormat="1" ht="15">
      <c r="A149" s="77">
        <v>44211</v>
      </c>
      <c r="B149" s="75" t="s">
        <v>77</v>
      </c>
      <c r="C149" s="75" t="s">
        <v>317</v>
      </c>
      <c r="D149" s="75" t="s">
        <v>225</v>
      </c>
      <c r="E149" s="181" t="s">
        <v>318</v>
      </c>
      <c r="F149" s="75"/>
      <c r="G149" s="75">
        <v>4</v>
      </c>
      <c r="H149" s="75">
        <v>1</v>
      </c>
      <c r="I149" s="75" t="s">
        <v>14</v>
      </c>
      <c r="J149" s="75" t="s">
        <v>319</v>
      </c>
      <c r="K149" s="75" t="str">
        <f>_xlfn.XLOOKUP(L149,'Inst summary and ER calculation'!$B$3:$B$904,'Inst summary and ER calculation'!$I$3:$I$904)</f>
        <v>6-7 years</v>
      </c>
      <c r="L149" s="78">
        <v>41937</v>
      </c>
      <c r="M149" s="75" t="s">
        <v>14</v>
      </c>
      <c r="N149" s="75">
        <v>15</v>
      </c>
      <c r="O149" s="75">
        <v>60</v>
      </c>
      <c r="P149" s="75" t="s">
        <v>14</v>
      </c>
      <c r="Q149" s="75" t="s">
        <v>14</v>
      </c>
      <c r="R149" s="75" t="s">
        <v>14</v>
      </c>
      <c r="S149" s="75">
        <v>5</v>
      </c>
      <c r="T149" s="75">
        <v>20</v>
      </c>
      <c r="U149" s="31">
        <f t="shared" ref="U149:U180" si="5">IF(R149="Yes",MAX(S149/(S149+N149),T149/(T149+O149)),"")</f>
        <v>0.25</v>
      </c>
      <c r="V149" s="75" t="s">
        <v>14</v>
      </c>
      <c r="W149" s="75" t="s">
        <v>14</v>
      </c>
      <c r="X149" s="75" t="s">
        <v>14</v>
      </c>
      <c r="Y149" s="75" t="s">
        <v>14</v>
      </c>
      <c r="Z149" s="75" t="s">
        <v>14</v>
      </c>
      <c r="AA149" s="75" t="s">
        <v>14</v>
      </c>
      <c r="AB149" s="75" t="s">
        <v>14</v>
      </c>
      <c r="AC149" s="75"/>
    </row>
    <row r="150" spans="1:29" s="30" customFormat="1" ht="15.75" customHeight="1">
      <c r="A150" s="77">
        <v>44210</v>
      </c>
      <c r="B150" s="75" t="s">
        <v>257</v>
      </c>
      <c r="C150" s="75" t="s">
        <v>914</v>
      </c>
      <c r="D150" s="75" t="s">
        <v>225</v>
      </c>
      <c r="E150" s="181" t="s">
        <v>302</v>
      </c>
      <c r="F150" s="75"/>
      <c r="G150" s="75">
        <v>3</v>
      </c>
      <c r="H150" s="75">
        <v>3</v>
      </c>
      <c r="I150" s="75" t="s">
        <v>14</v>
      </c>
      <c r="J150" s="75" t="s">
        <v>303</v>
      </c>
      <c r="K150" s="75" t="str">
        <f>_xlfn.XLOOKUP(L150,'Inst summary and ER calculation'!$B$3:$B$904,'Inst summary and ER calculation'!$I$3:$I$904)</f>
        <v>6-7 years</v>
      </c>
      <c r="L150" s="78">
        <v>42019</v>
      </c>
      <c r="M150" s="75" t="s">
        <v>14</v>
      </c>
      <c r="N150" s="75">
        <v>12</v>
      </c>
      <c r="O150" s="75">
        <v>54</v>
      </c>
      <c r="P150" s="75" t="s">
        <v>14</v>
      </c>
      <c r="Q150" s="75" t="s">
        <v>14</v>
      </c>
      <c r="R150" s="75" t="s">
        <v>14</v>
      </c>
      <c r="S150" s="75">
        <v>4</v>
      </c>
      <c r="T150" s="75">
        <v>18</v>
      </c>
      <c r="U150" s="31">
        <f t="shared" si="5"/>
        <v>0.25</v>
      </c>
      <c r="V150" s="75" t="s">
        <v>14</v>
      </c>
      <c r="W150" s="75" t="s">
        <v>14</v>
      </c>
      <c r="X150" s="75" t="s">
        <v>14</v>
      </c>
      <c r="Y150" s="75" t="s">
        <v>14</v>
      </c>
      <c r="Z150" s="75" t="s">
        <v>14</v>
      </c>
      <c r="AA150" s="75" t="s">
        <v>14</v>
      </c>
      <c r="AB150" s="75" t="s">
        <v>14</v>
      </c>
      <c r="AC150" s="75"/>
    </row>
    <row r="151" spans="1:29" s="30" customFormat="1" ht="15">
      <c r="A151" s="77">
        <v>44203</v>
      </c>
      <c r="B151" s="75" t="s">
        <v>251</v>
      </c>
      <c r="C151" s="75" t="s">
        <v>924</v>
      </c>
      <c r="D151" s="82" t="s">
        <v>225</v>
      </c>
      <c r="E151" s="182" t="s">
        <v>315</v>
      </c>
      <c r="F151" s="75"/>
      <c r="G151" s="75">
        <v>4</v>
      </c>
      <c r="H151" s="75">
        <v>1</v>
      </c>
      <c r="I151" s="75" t="s">
        <v>14</v>
      </c>
      <c r="J151" s="75" t="s">
        <v>316</v>
      </c>
      <c r="K151" s="75" t="str">
        <f>_xlfn.XLOOKUP(L151,'Inst summary and ER calculation'!$B$3:$B$904,'Inst summary and ER calculation'!$I$3:$I$904)</f>
        <v>5-6 years</v>
      </c>
      <c r="L151" s="78">
        <v>42078</v>
      </c>
      <c r="M151" s="75" t="s">
        <v>14</v>
      </c>
      <c r="N151" s="75">
        <v>14</v>
      </c>
      <c r="O151" s="75">
        <v>56</v>
      </c>
      <c r="P151" s="75" t="s">
        <v>14</v>
      </c>
      <c r="Q151" s="75" t="s">
        <v>14</v>
      </c>
      <c r="R151" s="75" t="s">
        <v>14</v>
      </c>
      <c r="S151" s="75">
        <v>6</v>
      </c>
      <c r="T151" s="75">
        <v>24</v>
      </c>
      <c r="U151" s="31">
        <f t="shared" si="5"/>
        <v>0.3</v>
      </c>
      <c r="V151" s="75" t="s">
        <v>14</v>
      </c>
      <c r="W151" s="75" t="s">
        <v>14</v>
      </c>
      <c r="X151" s="75" t="s">
        <v>14</v>
      </c>
      <c r="Y151" s="75" t="s">
        <v>14</v>
      </c>
      <c r="Z151" s="75" t="s">
        <v>14</v>
      </c>
      <c r="AA151" s="75" t="s">
        <v>14</v>
      </c>
      <c r="AB151" s="75" t="s">
        <v>14</v>
      </c>
      <c r="AC151" s="75"/>
    </row>
    <row r="152" spans="1:29" s="30" customFormat="1" ht="15.75" customHeight="1">
      <c r="A152" s="77">
        <v>44212</v>
      </c>
      <c r="B152" s="75" t="s">
        <v>104</v>
      </c>
      <c r="C152" s="75" t="s">
        <v>295</v>
      </c>
      <c r="D152" s="83" t="s">
        <v>225</v>
      </c>
      <c r="E152" s="181" t="s">
        <v>296</v>
      </c>
      <c r="F152" s="75"/>
      <c r="G152" s="75">
        <v>6</v>
      </c>
      <c r="H152" s="75">
        <v>2</v>
      </c>
      <c r="I152" s="75" t="s">
        <v>14</v>
      </c>
      <c r="J152" s="75" t="s">
        <v>297</v>
      </c>
      <c r="K152" s="75" t="str">
        <f>_xlfn.XLOOKUP(L152,'Inst summary and ER calculation'!$B$3:$B$904,'Inst summary and ER calculation'!$I$3:$I$904)</f>
        <v>5-6 years</v>
      </c>
      <c r="L152" s="78">
        <v>42178</v>
      </c>
      <c r="M152" s="75" t="s">
        <v>14</v>
      </c>
      <c r="N152" s="75">
        <v>12</v>
      </c>
      <c r="O152" s="75">
        <v>54</v>
      </c>
      <c r="P152" s="75" t="s">
        <v>14</v>
      </c>
      <c r="Q152" s="75" t="s">
        <v>14</v>
      </c>
      <c r="R152" s="75" t="s">
        <v>14</v>
      </c>
      <c r="S152" s="75">
        <v>6</v>
      </c>
      <c r="T152" s="75">
        <v>27</v>
      </c>
      <c r="U152" s="31">
        <f t="shared" si="5"/>
        <v>0.33333333333333331</v>
      </c>
      <c r="V152" s="75" t="s">
        <v>14</v>
      </c>
      <c r="W152" s="75" t="s">
        <v>14</v>
      </c>
      <c r="X152" s="75" t="s">
        <v>14</v>
      </c>
      <c r="Y152" s="75" t="s">
        <v>14</v>
      </c>
      <c r="Z152" s="75" t="s">
        <v>14</v>
      </c>
      <c r="AA152" s="75" t="s">
        <v>14</v>
      </c>
      <c r="AB152" s="75" t="s">
        <v>14</v>
      </c>
      <c r="AC152" s="75"/>
    </row>
    <row r="153" spans="1:29" s="30" customFormat="1" ht="15">
      <c r="A153" s="77">
        <v>44213</v>
      </c>
      <c r="B153" s="75" t="s">
        <v>124</v>
      </c>
      <c r="C153" s="75" t="s">
        <v>284</v>
      </c>
      <c r="D153" s="83" t="s">
        <v>225</v>
      </c>
      <c r="E153" s="181" t="s">
        <v>285</v>
      </c>
      <c r="F153" s="75"/>
      <c r="G153" s="75">
        <v>2</v>
      </c>
      <c r="H153" s="75">
        <v>3</v>
      </c>
      <c r="I153" s="75" t="s">
        <v>14</v>
      </c>
      <c r="J153" s="75" t="s">
        <v>286</v>
      </c>
      <c r="K153" s="75" t="str">
        <f>_xlfn.XLOOKUP(L153,'Inst summary and ER calculation'!$B$3:$B$904,'Inst summary and ER calculation'!$I$3:$I$904)</f>
        <v>5-6 years</v>
      </c>
      <c r="L153" s="78">
        <v>42078</v>
      </c>
      <c r="M153" s="75" t="s">
        <v>14</v>
      </c>
      <c r="N153" s="75">
        <v>7</v>
      </c>
      <c r="O153" s="75">
        <v>35</v>
      </c>
      <c r="P153" s="75" t="s">
        <v>14</v>
      </c>
      <c r="Q153" s="75" t="s">
        <v>14</v>
      </c>
      <c r="R153" s="75" t="s">
        <v>14</v>
      </c>
      <c r="S153" s="75">
        <v>7</v>
      </c>
      <c r="T153" s="75">
        <v>35</v>
      </c>
      <c r="U153" s="31">
        <f t="shared" si="5"/>
        <v>0.5</v>
      </c>
      <c r="V153" s="75" t="s">
        <v>14</v>
      </c>
      <c r="W153" s="75" t="s">
        <v>14</v>
      </c>
      <c r="X153" s="75" t="s">
        <v>14</v>
      </c>
      <c r="Y153" s="75" t="s">
        <v>14</v>
      </c>
      <c r="Z153" s="75" t="s">
        <v>14</v>
      </c>
      <c r="AA153" s="75" t="s">
        <v>14</v>
      </c>
      <c r="AB153" s="75" t="s">
        <v>14</v>
      </c>
      <c r="AC153" s="75"/>
    </row>
    <row r="154" spans="1:29" s="30" customFormat="1" ht="15.75" customHeight="1">
      <c r="A154" s="77">
        <v>44212</v>
      </c>
      <c r="B154" s="75" t="s">
        <v>104</v>
      </c>
      <c r="C154" s="75" t="s">
        <v>939</v>
      </c>
      <c r="D154" s="91" t="s">
        <v>225</v>
      </c>
      <c r="E154" s="181" t="s">
        <v>796</v>
      </c>
      <c r="F154" s="75"/>
      <c r="G154" s="75">
        <v>6</v>
      </c>
      <c r="H154" s="75">
        <v>0</v>
      </c>
      <c r="I154" s="75" t="s">
        <v>14</v>
      </c>
      <c r="J154" s="75" t="s">
        <v>797</v>
      </c>
      <c r="K154" s="75" t="str">
        <f>_xlfn.XLOOKUP(L154,'Inst summary and ER calculation'!$B$3:$B$904,'Inst summary and ER calculation'!$I$3:$I$904)</f>
        <v>5-6 years</v>
      </c>
      <c r="L154" s="78">
        <v>42150</v>
      </c>
      <c r="M154" s="75" t="s">
        <v>14</v>
      </c>
      <c r="N154" s="75">
        <v>18</v>
      </c>
      <c r="O154" s="75">
        <v>81</v>
      </c>
      <c r="P154" s="75" t="s">
        <v>14</v>
      </c>
      <c r="Q154" s="75" t="s">
        <v>13</v>
      </c>
      <c r="R154" s="75"/>
      <c r="S154" s="75"/>
      <c r="T154" s="75"/>
      <c r="U154" s="31" t="str">
        <f t="shared" si="5"/>
        <v/>
      </c>
      <c r="V154" s="75" t="s">
        <v>14</v>
      </c>
      <c r="W154" s="75" t="s">
        <v>14</v>
      </c>
      <c r="X154" s="75" t="s">
        <v>14</v>
      </c>
      <c r="Y154" s="75" t="s">
        <v>14</v>
      </c>
      <c r="Z154" s="75" t="s">
        <v>14</v>
      </c>
      <c r="AA154" s="75" t="s">
        <v>14</v>
      </c>
      <c r="AB154" s="75" t="s">
        <v>14</v>
      </c>
      <c r="AC154" s="75"/>
    </row>
    <row r="155" spans="1:29" s="30" customFormat="1" ht="15">
      <c r="A155" s="77">
        <v>44210</v>
      </c>
      <c r="B155" s="75" t="s">
        <v>126</v>
      </c>
      <c r="C155" s="75" t="s">
        <v>374</v>
      </c>
      <c r="D155" s="83" t="s">
        <v>225</v>
      </c>
      <c r="E155" s="181" t="s">
        <v>375</v>
      </c>
      <c r="F155" s="75"/>
      <c r="G155" s="75">
        <v>4</v>
      </c>
      <c r="H155" s="75">
        <v>3</v>
      </c>
      <c r="I155" s="75" t="s">
        <v>14</v>
      </c>
      <c r="J155" s="75" t="s">
        <v>376</v>
      </c>
      <c r="K155" s="75" t="str">
        <f>_xlfn.XLOOKUP(L155,'Inst summary and ER calculation'!$B$3:$B$904,'Inst summary and ER calculation'!$I$3:$I$904)</f>
        <v>5-6 years</v>
      </c>
      <c r="L155" s="78">
        <v>42184</v>
      </c>
      <c r="M155" s="75" t="s">
        <v>14</v>
      </c>
      <c r="N155" s="75">
        <v>21</v>
      </c>
      <c r="O155" s="75">
        <v>90</v>
      </c>
      <c r="P155" s="75" t="s">
        <v>14</v>
      </c>
      <c r="Q155" s="75" t="s">
        <v>13</v>
      </c>
      <c r="R155" s="75"/>
      <c r="S155" s="75"/>
      <c r="T155" s="75"/>
      <c r="U155" s="31" t="str">
        <f t="shared" si="5"/>
        <v/>
      </c>
      <c r="V155" s="75" t="s">
        <v>14</v>
      </c>
      <c r="W155" s="75" t="s">
        <v>14</v>
      </c>
      <c r="X155" s="75" t="s">
        <v>14</v>
      </c>
      <c r="Y155" s="75" t="s">
        <v>14</v>
      </c>
      <c r="Z155" s="75" t="s">
        <v>14</v>
      </c>
      <c r="AA155" s="75" t="s">
        <v>14</v>
      </c>
      <c r="AB155" s="75" t="s">
        <v>14</v>
      </c>
      <c r="AC155" s="75"/>
    </row>
    <row r="156" spans="1:29" s="30" customFormat="1" ht="15.75" customHeight="1">
      <c r="A156" s="77">
        <v>44210</v>
      </c>
      <c r="B156" s="75" t="s">
        <v>233</v>
      </c>
      <c r="C156" s="75" t="s">
        <v>913</v>
      </c>
      <c r="D156" s="91" t="s">
        <v>225</v>
      </c>
      <c r="E156" s="181" t="s">
        <v>326</v>
      </c>
      <c r="F156" s="75"/>
      <c r="G156" s="75">
        <v>3</v>
      </c>
      <c r="H156" s="75">
        <v>2</v>
      </c>
      <c r="I156" s="75" t="s">
        <v>14</v>
      </c>
      <c r="J156" s="75" t="s">
        <v>327</v>
      </c>
      <c r="K156" s="75" t="str">
        <f>_xlfn.XLOOKUP(L156,'Inst summary and ER calculation'!$B$3:$B$904,'Inst summary and ER calculation'!$I$3:$I$904)</f>
        <v>5-6 years</v>
      </c>
      <c r="L156" s="78">
        <v>42182</v>
      </c>
      <c r="M156" s="75" t="s">
        <v>13</v>
      </c>
      <c r="N156" s="75"/>
      <c r="O156" s="75"/>
      <c r="P156" s="75"/>
      <c r="Q156" s="75"/>
      <c r="R156" s="75"/>
      <c r="S156" s="75"/>
      <c r="T156" s="75"/>
      <c r="U156" s="31" t="str">
        <f t="shared" si="5"/>
        <v/>
      </c>
      <c r="V156" s="75"/>
      <c r="W156" s="75"/>
      <c r="X156" s="75"/>
      <c r="Y156" s="75"/>
      <c r="Z156" s="75"/>
      <c r="AA156" s="75"/>
      <c r="AB156" s="75"/>
      <c r="AC156" s="75"/>
    </row>
    <row r="157" spans="1:29" s="30" customFormat="1" ht="15">
      <c r="A157" s="77">
        <v>44212</v>
      </c>
      <c r="B157" s="75" t="s">
        <v>124</v>
      </c>
      <c r="C157" s="75" t="s">
        <v>424</v>
      </c>
      <c r="D157" s="75" t="s">
        <v>225</v>
      </c>
      <c r="E157" s="181" t="s">
        <v>425</v>
      </c>
      <c r="F157" s="75"/>
      <c r="G157" s="75">
        <v>2</v>
      </c>
      <c r="H157" s="75">
        <v>3</v>
      </c>
      <c r="I157" s="75" t="s">
        <v>14</v>
      </c>
      <c r="J157" s="75" t="s">
        <v>426</v>
      </c>
      <c r="K157" s="75" t="str">
        <f>_xlfn.XLOOKUP(L157,'Inst summary and ER calculation'!$B$3:$B$904,'Inst summary and ER calculation'!$I$3:$I$904)</f>
        <v>6-7 years</v>
      </c>
      <c r="L157" s="78">
        <v>42050</v>
      </c>
      <c r="M157" s="75" t="s">
        <v>14</v>
      </c>
      <c r="N157" s="75">
        <v>14</v>
      </c>
      <c r="O157" s="75">
        <v>70</v>
      </c>
      <c r="P157" s="75" t="s">
        <v>14</v>
      </c>
      <c r="Q157" s="75" t="s">
        <v>13</v>
      </c>
      <c r="R157" s="75"/>
      <c r="S157" s="75"/>
      <c r="T157" s="75"/>
      <c r="U157" s="31" t="str">
        <f t="shared" si="5"/>
        <v/>
      </c>
      <c r="V157" s="75" t="s">
        <v>14</v>
      </c>
      <c r="W157" s="75" t="s">
        <v>14</v>
      </c>
      <c r="X157" s="75" t="s">
        <v>14</v>
      </c>
      <c r="Y157" s="75" t="s">
        <v>14</v>
      </c>
      <c r="Z157" s="75" t="s">
        <v>14</v>
      </c>
      <c r="AA157" s="75" t="s">
        <v>14</v>
      </c>
      <c r="AB157" s="75" t="s">
        <v>14</v>
      </c>
      <c r="AC157" s="75"/>
    </row>
    <row r="158" spans="1:29" s="30" customFormat="1" ht="15.75" customHeight="1">
      <c r="A158" s="77">
        <v>44206</v>
      </c>
      <c r="B158" s="75" t="s">
        <v>118</v>
      </c>
      <c r="C158" s="75" t="s">
        <v>746</v>
      </c>
      <c r="D158" s="91" t="s">
        <v>225</v>
      </c>
      <c r="E158" s="181" t="s">
        <v>747</v>
      </c>
      <c r="F158" s="75"/>
      <c r="G158" s="75">
        <v>2</v>
      </c>
      <c r="H158" s="75">
        <v>2</v>
      </c>
      <c r="I158" s="75" t="s">
        <v>14</v>
      </c>
      <c r="J158" s="75" t="s">
        <v>748</v>
      </c>
      <c r="K158" s="75" t="str">
        <f>_xlfn.XLOOKUP(L158,'Inst summary and ER calculation'!$B$3:$B$904,'Inst summary and ER calculation'!$I$3:$I$904)</f>
        <v>5-6 years</v>
      </c>
      <c r="L158" s="78">
        <v>42108</v>
      </c>
      <c r="M158" s="75" t="s">
        <v>14</v>
      </c>
      <c r="N158" s="75">
        <v>20</v>
      </c>
      <c r="O158" s="75">
        <v>80</v>
      </c>
      <c r="P158" s="75" t="s">
        <v>14</v>
      </c>
      <c r="Q158" s="75" t="s">
        <v>13</v>
      </c>
      <c r="R158" s="75"/>
      <c r="S158" s="75"/>
      <c r="T158" s="75"/>
      <c r="U158" s="31" t="str">
        <f t="shared" si="5"/>
        <v/>
      </c>
      <c r="V158" s="75" t="s">
        <v>14</v>
      </c>
      <c r="W158" s="75" t="s">
        <v>14</v>
      </c>
      <c r="X158" s="75" t="s">
        <v>14</v>
      </c>
      <c r="Y158" s="75" t="s">
        <v>14</v>
      </c>
      <c r="Z158" s="75" t="s">
        <v>14</v>
      </c>
      <c r="AA158" s="75" t="s">
        <v>14</v>
      </c>
      <c r="AB158" s="75" t="s">
        <v>14</v>
      </c>
      <c r="AC158" s="75"/>
    </row>
    <row r="159" spans="1:29" s="30" customFormat="1" ht="15">
      <c r="A159" s="77">
        <v>44211</v>
      </c>
      <c r="B159" s="75" t="s">
        <v>79</v>
      </c>
      <c r="C159" s="75" t="s">
        <v>266</v>
      </c>
      <c r="D159" s="91" t="s">
        <v>225</v>
      </c>
      <c r="E159" s="181" t="s">
        <v>548</v>
      </c>
      <c r="F159" s="75"/>
      <c r="G159" s="75">
        <v>2</v>
      </c>
      <c r="H159" s="75">
        <v>1</v>
      </c>
      <c r="I159" s="75" t="s">
        <v>14</v>
      </c>
      <c r="J159" s="75" t="s">
        <v>549</v>
      </c>
      <c r="K159" s="75" t="str">
        <f>_xlfn.XLOOKUP(L159,'Inst summary and ER calculation'!$B$3:$B$904,'Inst summary and ER calculation'!$I$3:$I$904)</f>
        <v>5-6 years</v>
      </c>
      <c r="L159" s="78">
        <v>42156</v>
      </c>
      <c r="M159" s="75" t="s">
        <v>14</v>
      </c>
      <c r="N159" s="75">
        <v>16</v>
      </c>
      <c r="O159" s="75">
        <v>65</v>
      </c>
      <c r="P159" s="75" t="s">
        <v>14</v>
      </c>
      <c r="Q159" s="75" t="s">
        <v>13</v>
      </c>
      <c r="R159" s="75"/>
      <c r="S159" s="75"/>
      <c r="T159" s="75"/>
      <c r="U159" s="31" t="str">
        <f t="shared" si="5"/>
        <v/>
      </c>
      <c r="V159" s="75" t="s">
        <v>14</v>
      </c>
      <c r="W159" s="75" t="s">
        <v>14</v>
      </c>
      <c r="X159" s="75" t="s">
        <v>14</v>
      </c>
      <c r="Y159" s="75" t="s">
        <v>14</v>
      </c>
      <c r="Z159" s="75" t="s">
        <v>14</v>
      </c>
      <c r="AA159" s="75" t="s">
        <v>14</v>
      </c>
      <c r="AB159" s="75" t="s">
        <v>14</v>
      </c>
      <c r="AC159" s="75"/>
    </row>
    <row r="160" spans="1:29" s="30" customFormat="1" ht="15.75" customHeight="1">
      <c r="A160" s="77">
        <v>44212</v>
      </c>
      <c r="B160" s="75" t="s">
        <v>230</v>
      </c>
      <c r="C160" s="75" t="s">
        <v>266</v>
      </c>
      <c r="D160" s="83" t="s">
        <v>225</v>
      </c>
      <c r="E160" s="181" t="s">
        <v>485</v>
      </c>
      <c r="F160" s="75"/>
      <c r="G160" s="75">
        <v>2</v>
      </c>
      <c r="H160" s="75">
        <v>3</v>
      </c>
      <c r="I160" s="75" t="s">
        <v>14</v>
      </c>
      <c r="J160" s="75" t="s">
        <v>486</v>
      </c>
      <c r="K160" s="75" t="str">
        <f>_xlfn.XLOOKUP(L160,'Inst summary and ER calculation'!$B$3:$B$904,'Inst summary and ER calculation'!$I$3:$I$904)</f>
        <v>5-6 years</v>
      </c>
      <c r="L160" s="78">
        <v>42091</v>
      </c>
      <c r="M160" s="75" t="s">
        <v>14</v>
      </c>
      <c r="N160" s="75">
        <v>14</v>
      </c>
      <c r="O160" s="75">
        <v>60</v>
      </c>
      <c r="P160" s="75" t="s">
        <v>14</v>
      </c>
      <c r="Q160" s="75" t="s">
        <v>13</v>
      </c>
      <c r="R160" s="75"/>
      <c r="S160" s="75"/>
      <c r="T160" s="75"/>
      <c r="U160" s="31" t="str">
        <f t="shared" si="5"/>
        <v/>
      </c>
      <c r="V160" s="75" t="s">
        <v>14</v>
      </c>
      <c r="W160" s="75" t="s">
        <v>14</v>
      </c>
      <c r="X160" s="75" t="s">
        <v>14</v>
      </c>
      <c r="Y160" s="75" t="s">
        <v>14</v>
      </c>
      <c r="Z160" s="75" t="s">
        <v>14</v>
      </c>
      <c r="AA160" s="75" t="s">
        <v>14</v>
      </c>
      <c r="AB160" s="75" t="s">
        <v>14</v>
      </c>
      <c r="AC160" s="75"/>
    </row>
    <row r="161" spans="1:29" s="30" customFormat="1" ht="15">
      <c r="A161" s="77">
        <v>44211</v>
      </c>
      <c r="B161" s="75" t="s">
        <v>250</v>
      </c>
      <c r="C161" s="75" t="s">
        <v>779</v>
      </c>
      <c r="D161" s="91" t="s">
        <v>225</v>
      </c>
      <c r="E161" s="181" t="s">
        <v>780</v>
      </c>
      <c r="F161" s="75"/>
      <c r="G161" s="75">
        <v>3</v>
      </c>
      <c r="H161" s="75">
        <v>1</v>
      </c>
      <c r="I161" s="75" t="s">
        <v>14</v>
      </c>
      <c r="J161" s="75" t="s">
        <v>781</v>
      </c>
      <c r="K161" s="75" t="str">
        <f>_xlfn.XLOOKUP(L161,'Inst summary and ER calculation'!$B$3:$B$904,'Inst summary and ER calculation'!$I$3:$I$904)</f>
        <v>5-6 years</v>
      </c>
      <c r="L161" s="78">
        <v>42123</v>
      </c>
      <c r="M161" s="75" t="s">
        <v>14</v>
      </c>
      <c r="N161" s="75">
        <v>15</v>
      </c>
      <c r="O161" s="75">
        <v>60</v>
      </c>
      <c r="P161" s="75" t="s">
        <v>14</v>
      </c>
      <c r="Q161" s="75" t="s">
        <v>13</v>
      </c>
      <c r="R161" s="75"/>
      <c r="S161" s="75"/>
      <c r="T161" s="75"/>
      <c r="U161" s="31" t="str">
        <f t="shared" si="5"/>
        <v/>
      </c>
      <c r="V161" s="75" t="s">
        <v>14</v>
      </c>
      <c r="W161" s="75" t="s">
        <v>14</v>
      </c>
      <c r="X161" s="75" t="s">
        <v>14</v>
      </c>
      <c r="Y161" s="75" t="s">
        <v>14</v>
      </c>
      <c r="Z161" s="75" t="s">
        <v>14</v>
      </c>
      <c r="AA161" s="75" t="s">
        <v>14</v>
      </c>
      <c r="AB161" s="75" t="s">
        <v>14</v>
      </c>
      <c r="AC161" s="75"/>
    </row>
    <row r="162" spans="1:29" s="30" customFormat="1" ht="15.75" customHeight="1">
      <c r="A162" s="77">
        <v>44210</v>
      </c>
      <c r="B162" s="75" t="s">
        <v>229</v>
      </c>
      <c r="C162" s="75" t="s">
        <v>536</v>
      </c>
      <c r="D162" s="75" t="s">
        <v>225</v>
      </c>
      <c r="E162" s="181" t="s">
        <v>537</v>
      </c>
      <c r="F162" s="75"/>
      <c r="G162" s="75">
        <v>2</v>
      </c>
      <c r="H162" s="75">
        <v>0</v>
      </c>
      <c r="I162" s="75" t="s">
        <v>14</v>
      </c>
      <c r="J162" s="75" t="s">
        <v>538</v>
      </c>
      <c r="K162" s="75" t="str">
        <f>_xlfn.XLOOKUP(L162,'Inst summary and ER calculation'!$B$3:$B$904,'Inst summary and ER calculation'!$I$3:$I$904)</f>
        <v>6-7 years</v>
      </c>
      <c r="L162" s="78">
        <v>42011</v>
      </c>
      <c r="M162" s="75" t="s">
        <v>14</v>
      </c>
      <c r="N162" s="75">
        <v>21</v>
      </c>
      <c r="O162" s="75">
        <v>85</v>
      </c>
      <c r="P162" s="75" t="s">
        <v>14</v>
      </c>
      <c r="Q162" s="75" t="s">
        <v>13</v>
      </c>
      <c r="R162" s="75"/>
      <c r="S162" s="75"/>
      <c r="T162" s="75"/>
      <c r="U162" s="31" t="str">
        <f t="shared" si="5"/>
        <v/>
      </c>
      <c r="V162" s="75" t="s">
        <v>14</v>
      </c>
      <c r="W162" s="75" t="s">
        <v>14</v>
      </c>
      <c r="X162" s="75" t="s">
        <v>14</v>
      </c>
      <c r="Y162" s="75" t="s">
        <v>14</v>
      </c>
      <c r="Z162" s="75" t="s">
        <v>14</v>
      </c>
      <c r="AA162" s="75" t="s">
        <v>14</v>
      </c>
      <c r="AB162" s="75" t="s">
        <v>14</v>
      </c>
      <c r="AC162" s="75"/>
    </row>
    <row r="163" spans="1:29" s="30" customFormat="1" ht="15">
      <c r="A163" s="77">
        <v>44211</v>
      </c>
      <c r="B163" s="75" t="s">
        <v>247</v>
      </c>
      <c r="C163" s="75" t="s">
        <v>919</v>
      </c>
      <c r="D163" s="75" t="s">
        <v>225</v>
      </c>
      <c r="E163" s="181" t="s">
        <v>531</v>
      </c>
      <c r="F163" s="75"/>
      <c r="G163" s="75">
        <v>3</v>
      </c>
      <c r="H163" s="75">
        <v>1</v>
      </c>
      <c r="I163" s="75" t="s">
        <v>14</v>
      </c>
      <c r="J163" s="75" t="s">
        <v>532</v>
      </c>
      <c r="K163" s="75" t="str">
        <f>_xlfn.XLOOKUP(L163,'Inst summary and ER calculation'!$B$3:$B$904,'Inst summary and ER calculation'!$I$3:$I$904)</f>
        <v>6-7 years</v>
      </c>
      <c r="L163" s="78">
        <v>42003</v>
      </c>
      <c r="M163" s="75" t="s">
        <v>14</v>
      </c>
      <c r="N163" s="75">
        <v>15</v>
      </c>
      <c r="O163" s="75">
        <v>76</v>
      </c>
      <c r="P163" s="75" t="s">
        <v>14</v>
      </c>
      <c r="Q163" s="75" t="s">
        <v>13</v>
      </c>
      <c r="R163" s="75"/>
      <c r="S163" s="75"/>
      <c r="T163" s="75"/>
      <c r="U163" s="31" t="str">
        <f t="shared" si="5"/>
        <v/>
      </c>
      <c r="V163" s="75" t="s">
        <v>14</v>
      </c>
      <c r="W163" s="75" t="s">
        <v>14</v>
      </c>
      <c r="X163" s="75" t="s">
        <v>14</v>
      </c>
      <c r="Y163" s="75" t="s">
        <v>14</v>
      </c>
      <c r="Z163" s="75" t="s">
        <v>14</v>
      </c>
      <c r="AA163" s="75" t="s">
        <v>14</v>
      </c>
      <c r="AB163" s="75" t="s">
        <v>14</v>
      </c>
      <c r="AC163" s="75"/>
    </row>
    <row r="164" spans="1:29" s="30" customFormat="1" ht="15.75" customHeight="1">
      <c r="A164" s="77">
        <v>44211</v>
      </c>
      <c r="B164" s="75" t="s">
        <v>113</v>
      </c>
      <c r="C164" s="75" t="s">
        <v>646</v>
      </c>
      <c r="D164" s="79" t="s">
        <v>225</v>
      </c>
      <c r="E164" s="181" t="s">
        <v>647</v>
      </c>
      <c r="F164" s="75"/>
      <c r="G164" s="75">
        <v>3</v>
      </c>
      <c r="H164" s="75">
        <v>3</v>
      </c>
      <c r="I164" s="75" t="s">
        <v>14</v>
      </c>
      <c r="J164" s="75" t="s">
        <v>648</v>
      </c>
      <c r="K164" s="75" t="str">
        <f>_xlfn.XLOOKUP(L164,'Inst summary and ER calculation'!$B$3:$B$904,'Inst summary and ER calculation'!$I$3:$I$904)</f>
        <v>5-6 years</v>
      </c>
      <c r="L164" s="78">
        <v>42078</v>
      </c>
      <c r="M164" s="75" t="s">
        <v>14</v>
      </c>
      <c r="N164" s="75">
        <v>14</v>
      </c>
      <c r="O164" s="75">
        <v>60</v>
      </c>
      <c r="P164" s="75" t="s">
        <v>14</v>
      </c>
      <c r="Q164" s="75" t="s">
        <v>13</v>
      </c>
      <c r="R164" s="75"/>
      <c r="S164" s="75"/>
      <c r="T164" s="75"/>
      <c r="U164" s="31" t="str">
        <f t="shared" si="5"/>
        <v/>
      </c>
      <c r="V164" s="75" t="s">
        <v>14</v>
      </c>
      <c r="W164" s="75" t="s">
        <v>14</v>
      </c>
      <c r="X164" s="75" t="s">
        <v>14</v>
      </c>
      <c r="Y164" s="75" t="s">
        <v>14</v>
      </c>
      <c r="Z164" s="75" t="s">
        <v>14</v>
      </c>
      <c r="AA164" s="75" t="s">
        <v>14</v>
      </c>
      <c r="AB164" s="75" t="s">
        <v>14</v>
      </c>
      <c r="AC164" s="75"/>
    </row>
    <row r="165" spans="1:29" s="30" customFormat="1" ht="15">
      <c r="A165" s="77">
        <v>44211</v>
      </c>
      <c r="B165" s="75" t="s">
        <v>117</v>
      </c>
      <c r="C165" s="75" t="s">
        <v>904</v>
      </c>
      <c r="D165" s="79" t="s">
        <v>225</v>
      </c>
      <c r="E165" s="181" t="s">
        <v>714</v>
      </c>
      <c r="F165" s="80"/>
      <c r="G165" s="75">
        <v>2</v>
      </c>
      <c r="H165" s="75">
        <v>2</v>
      </c>
      <c r="I165" s="75" t="s">
        <v>14</v>
      </c>
      <c r="J165" s="80" t="s">
        <v>715</v>
      </c>
      <c r="K165" s="75" t="str">
        <f>_xlfn.XLOOKUP(L165,'Inst summary and ER calculation'!$B$3:$B$904,'Inst summary and ER calculation'!$I$3:$I$904)</f>
        <v>6-7 years</v>
      </c>
      <c r="L165" s="81">
        <v>42049</v>
      </c>
      <c r="M165" s="75" t="s">
        <v>14</v>
      </c>
      <c r="N165" s="75">
        <v>14</v>
      </c>
      <c r="O165" s="75">
        <v>60</v>
      </c>
      <c r="P165" s="75" t="s">
        <v>14</v>
      </c>
      <c r="Q165" s="75" t="s">
        <v>13</v>
      </c>
      <c r="R165" s="75"/>
      <c r="S165" s="75"/>
      <c r="T165" s="75"/>
      <c r="U165" s="31" t="str">
        <f t="shared" si="5"/>
        <v/>
      </c>
      <c r="V165" s="75" t="s">
        <v>14</v>
      </c>
      <c r="W165" s="75" t="s">
        <v>14</v>
      </c>
      <c r="X165" s="75" t="s">
        <v>14</v>
      </c>
      <c r="Y165" s="75" t="s">
        <v>14</v>
      </c>
      <c r="Z165" s="75" t="s">
        <v>14</v>
      </c>
      <c r="AA165" s="75" t="s">
        <v>14</v>
      </c>
      <c r="AB165" s="75" t="s">
        <v>14</v>
      </c>
      <c r="AC165" s="75"/>
    </row>
    <row r="166" spans="1:29" s="30" customFormat="1" ht="15.75" customHeight="1">
      <c r="A166" s="77">
        <v>44212</v>
      </c>
      <c r="B166" s="75" t="s">
        <v>236</v>
      </c>
      <c r="C166" s="75" t="s">
        <v>918</v>
      </c>
      <c r="D166" s="83" t="s">
        <v>225</v>
      </c>
      <c r="E166" s="181" t="s">
        <v>472</v>
      </c>
      <c r="F166" s="75"/>
      <c r="G166" s="75">
        <v>3</v>
      </c>
      <c r="H166" s="75">
        <v>2</v>
      </c>
      <c r="I166" s="75" t="s">
        <v>14</v>
      </c>
      <c r="J166" s="75" t="s">
        <v>473</v>
      </c>
      <c r="K166" s="75" t="str">
        <f>_xlfn.XLOOKUP(L166,'Inst summary and ER calculation'!$B$3:$B$904,'Inst summary and ER calculation'!$I$3:$I$904)</f>
        <v>6-7 years</v>
      </c>
      <c r="L166" s="78">
        <v>41971</v>
      </c>
      <c r="M166" s="75" t="s">
        <v>14</v>
      </c>
      <c r="N166" s="75">
        <v>15</v>
      </c>
      <c r="O166" s="75">
        <v>60</v>
      </c>
      <c r="P166" s="75" t="s">
        <v>14</v>
      </c>
      <c r="Q166" s="75" t="s">
        <v>13</v>
      </c>
      <c r="R166" s="75"/>
      <c r="S166" s="75"/>
      <c r="T166" s="75"/>
      <c r="U166" s="31" t="str">
        <f t="shared" si="5"/>
        <v/>
      </c>
      <c r="V166" s="75" t="s">
        <v>14</v>
      </c>
      <c r="W166" s="75" t="s">
        <v>14</v>
      </c>
      <c r="X166" s="75" t="s">
        <v>14</v>
      </c>
      <c r="Y166" s="75" t="s">
        <v>14</v>
      </c>
      <c r="Z166" s="75" t="s">
        <v>14</v>
      </c>
      <c r="AA166" s="75" t="s">
        <v>14</v>
      </c>
      <c r="AB166" s="75" t="s">
        <v>14</v>
      </c>
      <c r="AC166" s="75"/>
    </row>
    <row r="167" spans="1:29" s="30" customFormat="1" ht="15">
      <c r="A167" s="77">
        <v>44201</v>
      </c>
      <c r="B167" s="75" t="s">
        <v>77</v>
      </c>
      <c r="C167" s="75" t="s">
        <v>929</v>
      </c>
      <c r="D167" s="82" t="s">
        <v>225</v>
      </c>
      <c r="E167" s="182" t="s">
        <v>707</v>
      </c>
      <c r="F167" s="75"/>
      <c r="G167" s="75">
        <v>4</v>
      </c>
      <c r="H167" s="75">
        <v>1</v>
      </c>
      <c r="I167" s="75" t="s">
        <v>14</v>
      </c>
      <c r="J167" s="75" t="s">
        <v>708</v>
      </c>
      <c r="K167" s="75" t="str">
        <f>_xlfn.XLOOKUP(L167,'Inst summary and ER calculation'!$B$3:$B$904,'Inst summary and ER calculation'!$I$3:$I$904)</f>
        <v>5-6 years</v>
      </c>
      <c r="L167" s="78">
        <v>42132</v>
      </c>
      <c r="M167" s="75" t="s">
        <v>14</v>
      </c>
      <c r="N167" s="75">
        <v>20</v>
      </c>
      <c r="O167" s="75">
        <v>80</v>
      </c>
      <c r="P167" s="75" t="s">
        <v>14</v>
      </c>
      <c r="Q167" s="75" t="s">
        <v>13</v>
      </c>
      <c r="R167" s="75"/>
      <c r="S167" s="75"/>
      <c r="T167" s="75"/>
      <c r="U167" s="31" t="str">
        <f t="shared" si="5"/>
        <v/>
      </c>
      <c r="V167" s="75" t="s">
        <v>14</v>
      </c>
      <c r="W167" s="75" t="s">
        <v>14</v>
      </c>
      <c r="X167" s="75" t="s">
        <v>14</v>
      </c>
      <c r="Y167" s="75" t="s">
        <v>14</v>
      </c>
      <c r="Z167" s="75" t="s">
        <v>14</v>
      </c>
      <c r="AA167" s="75" t="s">
        <v>14</v>
      </c>
      <c r="AB167" s="75" t="s">
        <v>14</v>
      </c>
      <c r="AC167" s="75"/>
    </row>
    <row r="168" spans="1:29" s="30" customFormat="1" ht="15.75" customHeight="1">
      <c r="A168" s="77">
        <v>44203</v>
      </c>
      <c r="B168" s="76" t="s">
        <v>943</v>
      </c>
      <c r="C168" s="75" t="s">
        <v>932</v>
      </c>
      <c r="D168" s="75" t="s">
        <v>225</v>
      </c>
      <c r="E168" s="182" t="s">
        <v>427</v>
      </c>
      <c r="F168" s="75"/>
      <c r="G168" s="75">
        <v>4</v>
      </c>
      <c r="H168" s="75">
        <v>0</v>
      </c>
      <c r="I168" s="75" t="s">
        <v>14</v>
      </c>
      <c r="J168" s="75" t="s">
        <v>428</v>
      </c>
      <c r="K168" s="75" t="str">
        <f>_xlfn.XLOOKUP(L168,'Inst summary and ER calculation'!$B$3:$B$904,'Inst summary and ER calculation'!$I$3:$I$904)</f>
        <v>6-7 years</v>
      </c>
      <c r="L168" s="78">
        <v>41874</v>
      </c>
      <c r="M168" s="75" t="s">
        <v>14</v>
      </c>
      <c r="N168" s="75">
        <v>14</v>
      </c>
      <c r="O168" s="75">
        <v>60</v>
      </c>
      <c r="P168" s="75" t="s">
        <v>14</v>
      </c>
      <c r="Q168" s="75" t="s">
        <v>13</v>
      </c>
      <c r="R168" s="75"/>
      <c r="S168" s="75"/>
      <c r="T168" s="75"/>
      <c r="U168" s="31" t="str">
        <f t="shared" si="5"/>
        <v/>
      </c>
      <c r="V168" s="75" t="s">
        <v>14</v>
      </c>
      <c r="W168" s="75" t="s">
        <v>14</v>
      </c>
      <c r="X168" s="75" t="s">
        <v>14</v>
      </c>
      <c r="Y168" s="75" t="s">
        <v>14</v>
      </c>
      <c r="Z168" s="75" t="s">
        <v>14</v>
      </c>
      <c r="AA168" s="75" t="s">
        <v>14</v>
      </c>
      <c r="AB168" s="75" t="s">
        <v>14</v>
      </c>
      <c r="AC168" s="75"/>
    </row>
    <row r="169" spans="1:29" s="30" customFormat="1" ht="15">
      <c r="A169" s="77">
        <v>44211</v>
      </c>
      <c r="B169" s="75" t="s">
        <v>124</v>
      </c>
      <c r="C169" s="75" t="s">
        <v>898</v>
      </c>
      <c r="D169" s="83" t="s">
        <v>225</v>
      </c>
      <c r="E169" s="181" t="s">
        <v>347</v>
      </c>
      <c r="F169" s="75"/>
      <c r="G169" s="75">
        <v>2</v>
      </c>
      <c r="H169" s="75">
        <v>2</v>
      </c>
      <c r="I169" s="75" t="s">
        <v>14</v>
      </c>
      <c r="J169" s="75" t="s">
        <v>348</v>
      </c>
      <c r="K169" s="75" t="str">
        <f>_xlfn.XLOOKUP(L169,'Inst summary and ER calculation'!$B$3:$B$904,'Inst summary and ER calculation'!$I$3:$I$904)</f>
        <v>5-6 years</v>
      </c>
      <c r="L169" s="78">
        <v>42078</v>
      </c>
      <c r="M169" s="75" t="s">
        <v>13</v>
      </c>
      <c r="N169" s="75"/>
      <c r="O169" s="75"/>
      <c r="P169" s="75"/>
      <c r="Q169" s="75"/>
      <c r="R169" s="75"/>
      <c r="S169" s="75"/>
      <c r="T169" s="75"/>
      <c r="U169" s="31" t="str">
        <f t="shared" si="5"/>
        <v/>
      </c>
      <c r="V169" s="75"/>
      <c r="W169" s="75"/>
      <c r="X169" s="75"/>
      <c r="Y169" s="75"/>
      <c r="Z169" s="75"/>
      <c r="AA169" s="75"/>
      <c r="AB169" s="75"/>
      <c r="AC169" s="75"/>
    </row>
    <row r="170" spans="1:29" s="30" customFormat="1" ht="15.75" customHeight="1">
      <c r="A170" s="77">
        <v>44210</v>
      </c>
      <c r="B170" s="75" t="s">
        <v>109</v>
      </c>
      <c r="C170" s="75" t="s">
        <v>677</v>
      </c>
      <c r="D170" s="75" t="s">
        <v>225</v>
      </c>
      <c r="E170" s="181" t="s">
        <v>678</v>
      </c>
      <c r="F170" s="75"/>
      <c r="G170" s="75">
        <v>2</v>
      </c>
      <c r="H170" s="75">
        <v>1</v>
      </c>
      <c r="I170" s="75" t="s">
        <v>14</v>
      </c>
      <c r="J170" s="75" t="s">
        <v>679</v>
      </c>
      <c r="K170" s="75" t="str">
        <f>_xlfn.XLOOKUP(L170,'Inst summary and ER calculation'!$B$3:$B$904,'Inst summary and ER calculation'!$I$3:$I$904)</f>
        <v>5-6 years</v>
      </c>
      <c r="L170" s="78">
        <v>42182</v>
      </c>
      <c r="M170" s="75" t="s">
        <v>14</v>
      </c>
      <c r="N170" s="75">
        <v>14</v>
      </c>
      <c r="O170" s="75">
        <v>60</v>
      </c>
      <c r="P170" s="75" t="s">
        <v>14</v>
      </c>
      <c r="Q170" s="75" t="s">
        <v>13</v>
      </c>
      <c r="R170" s="75"/>
      <c r="S170" s="75"/>
      <c r="T170" s="75"/>
      <c r="U170" s="31" t="str">
        <f t="shared" si="5"/>
        <v/>
      </c>
      <c r="V170" s="75" t="s">
        <v>14</v>
      </c>
      <c r="W170" s="75" t="s">
        <v>14</v>
      </c>
      <c r="X170" s="75" t="s">
        <v>14</v>
      </c>
      <c r="Y170" s="75" t="s">
        <v>14</v>
      </c>
      <c r="Z170" s="75" t="s">
        <v>14</v>
      </c>
      <c r="AA170" s="75" t="s">
        <v>14</v>
      </c>
      <c r="AB170" s="75" t="s">
        <v>14</v>
      </c>
      <c r="AC170" s="75"/>
    </row>
    <row r="171" spans="1:29" s="30" customFormat="1" ht="15">
      <c r="A171" s="77">
        <v>44202</v>
      </c>
      <c r="B171" s="75" t="s">
        <v>125</v>
      </c>
      <c r="C171" s="75" t="s">
        <v>545</v>
      </c>
      <c r="D171" s="91" t="s">
        <v>225</v>
      </c>
      <c r="E171" s="180" t="s">
        <v>546</v>
      </c>
      <c r="F171" s="80"/>
      <c r="G171" s="75">
        <v>3</v>
      </c>
      <c r="H171" s="75">
        <v>2</v>
      </c>
      <c r="I171" s="75" t="s">
        <v>14</v>
      </c>
      <c r="J171" s="75" t="s">
        <v>547</v>
      </c>
      <c r="K171" s="75" t="str">
        <f>_xlfn.XLOOKUP(L171,'Inst summary and ER calculation'!$B$3:$B$904,'Inst summary and ER calculation'!$I$3:$I$904)</f>
        <v>5-6 years</v>
      </c>
      <c r="L171" s="78">
        <v>42153</v>
      </c>
      <c r="M171" s="75" t="s">
        <v>14</v>
      </c>
      <c r="N171" s="75">
        <v>19</v>
      </c>
      <c r="O171" s="75">
        <v>76</v>
      </c>
      <c r="P171" s="75" t="s">
        <v>14</v>
      </c>
      <c r="Q171" s="75" t="s">
        <v>13</v>
      </c>
      <c r="R171" s="75"/>
      <c r="S171" s="75"/>
      <c r="T171" s="75"/>
      <c r="U171" s="31" t="str">
        <f t="shared" si="5"/>
        <v/>
      </c>
      <c r="V171" s="75" t="s">
        <v>14</v>
      </c>
      <c r="W171" s="75" t="s">
        <v>14</v>
      </c>
      <c r="X171" s="75" t="s">
        <v>14</v>
      </c>
      <c r="Y171" s="75" t="s">
        <v>14</v>
      </c>
      <c r="Z171" s="75" t="s">
        <v>14</v>
      </c>
      <c r="AA171" s="75" t="s">
        <v>14</v>
      </c>
      <c r="AB171" s="75" t="s">
        <v>14</v>
      </c>
      <c r="AC171" s="75"/>
    </row>
    <row r="172" spans="1:29" s="30" customFormat="1" ht="15.75" customHeight="1">
      <c r="A172" s="77">
        <v>44211</v>
      </c>
      <c r="B172" s="75" t="s">
        <v>258</v>
      </c>
      <c r="C172" s="75" t="s">
        <v>785</v>
      </c>
      <c r="D172" s="75" t="s">
        <v>225</v>
      </c>
      <c r="E172" s="181" t="s">
        <v>786</v>
      </c>
      <c r="F172" s="75"/>
      <c r="G172" s="75">
        <v>3</v>
      </c>
      <c r="H172" s="75">
        <v>1</v>
      </c>
      <c r="I172" s="75" t="s">
        <v>14</v>
      </c>
      <c r="J172" s="75" t="s">
        <v>787</v>
      </c>
      <c r="K172" s="75" t="str">
        <f>_xlfn.XLOOKUP(L172,'Inst summary and ER calculation'!$B$3:$B$904,'Inst summary and ER calculation'!$I$3:$I$904)</f>
        <v>6-7 years</v>
      </c>
      <c r="L172" s="78">
        <v>42030</v>
      </c>
      <c r="M172" s="75" t="s">
        <v>14</v>
      </c>
      <c r="N172" s="75">
        <v>19</v>
      </c>
      <c r="O172" s="75">
        <v>86</v>
      </c>
      <c r="P172" s="75" t="s">
        <v>14</v>
      </c>
      <c r="Q172" s="75" t="s">
        <v>13</v>
      </c>
      <c r="R172" s="75"/>
      <c r="S172" s="75"/>
      <c r="T172" s="75"/>
      <c r="U172" s="31" t="str">
        <f t="shared" si="5"/>
        <v/>
      </c>
      <c r="V172" s="75" t="s">
        <v>14</v>
      </c>
      <c r="W172" s="75" t="s">
        <v>14</v>
      </c>
      <c r="X172" s="75" t="s">
        <v>14</v>
      </c>
      <c r="Y172" s="75" t="s">
        <v>14</v>
      </c>
      <c r="Z172" s="75" t="s">
        <v>14</v>
      </c>
      <c r="AA172" s="75" t="s">
        <v>14</v>
      </c>
      <c r="AB172" s="75" t="s">
        <v>14</v>
      </c>
      <c r="AC172" s="75"/>
    </row>
    <row r="173" spans="1:29" s="30" customFormat="1" ht="15">
      <c r="A173" s="77">
        <v>44213</v>
      </c>
      <c r="B173" s="75" t="s">
        <v>79</v>
      </c>
      <c r="C173" s="75" t="s">
        <v>893</v>
      </c>
      <c r="D173" s="83" t="s">
        <v>225</v>
      </c>
      <c r="E173" s="181" t="s">
        <v>633</v>
      </c>
      <c r="F173" s="75"/>
      <c r="G173" s="75">
        <v>2</v>
      </c>
      <c r="H173" s="75">
        <v>1</v>
      </c>
      <c r="I173" s="75" t="s">
        <v>14</v>
      </c>
      <c r="J173" s="75" t="s">
        <v>634</v>
      </c>
      <c r="K173" s="75" t="str">
        <f>_xlfn.XLOOKUP(L173,'Inst summary and ER calculation'!$B$3:$B$904,'Inst summary and ER calculation'!$I$3:$I$904)</f>
        <v>5-6 years</v>
      </c>
      <c r="L173" s="78">
        <v>42176</v>
      </c>
      <c r="M173" s="75" t="s">
        <v>14</v>
      </c>
      <c r="N173" s="75">
        <v>16</v>
      </c>
      <c r="O173" s="75">
        <v>60</v>
      </c>
      <c r="P173" s="75" t="s">
        <v>14</v>
      </c>
      <c r="Q173" s="75" t="s">
        <v>13</v>
      </c>
      <c r="R173" s="75"/>
      <c r="S173" s="75"/>
      <c r="T173" s="75"/>
      <c r="U173" s="31" t="str">
        <f t="shared" si="5"/>
        <v/>
      </c>
      <c r="V173" s="75" t="s">
        <v>14</v>
      </c>
      <c r="W173" s="75" t="s">
        <v>14</v>
      </c>
      <c r="X173" s="75" t="s">
        <v>14</v>
      </c>
      <c r="Y173" s="75" t="s">
        <v>14</v>
      </c>
      <c r="Z173" s="75" t="s">
        <v>14</v>
      </c>
      <c r="AA173" s="75" t="s">
        <v>14</v>
      </c>
      <c r="AB173" s="75" t="s">
        <v>14</v>
      </c>
      <c r="AC173" s="75"/>
    </row>
    <row r="174" spans="1:29" s="30" customFormat="1" ht="15.75" customHeight="1">
      <c r="A174" s="77">
        <v>44208</v>
      </c>
      <c r="B174" s="75" t="s">
        <v>258</v>
      </c>
      <c r="C174" s="75" t="s">
        <v>782</v>
      </c>
      <c r="D174" s="75" t="s">
        <v>225</v>
      </c>
      <c r="E174" s="181" t="s">
        <v>783</v>
      </c>
      <c r="F174" s="80"/>
      <c r="G174" s="75">
        <v>6</v>
      </c>
      <c r="H174" s="75">
        <v>2</v>
      </c>
      <c r="I174" s="75" t="s">
        <v>14</v>
      </c>
      <c r="J174" s="80" t="s">
        <v>784</v>
      </c>
      <c r="K174" s="75" t="str">
        <f>_xlfn.XLOOKUP(L174,'Inst summary and ER calculation'!$B$3:$B$904,'Inst summary and ER calculation'!$I$3:$I$904)</f>
        <v>6-7 years</v>
      </c>
      <c r="L174" s="85">
        <v>41941</v>
      </c>
      <c r="M174" s="75" t="s">
        <v>14</v>
      </c>
      <c r="N174" s="75">
        <v>21</v>
      </c>
      <c r="O174" s="75">
        <v>90</v>
      </c>
      <c r="P174" s="75" t="s">
        <v>14</v>
      </c>
      <c r="Q174" s="75" t="s">
        <v>13</v>
      </c>
      <c r="R174" s="75"/>
      <c r="S174" s="75"/>
      <c r="T174" s="75"/>
      <c r="U174" s="31" t="str">
        <f t="shared" si="5"/>
        <v/>
      </c>
      <c r="V174" s="75" t="s">
        <v>14</v>
      </c>
      <c r="W174" s="75" t="s">
        <v>14</v>
      </c>
      <c r="X174" s="75" t="s">
        <v>14</v>
      </c>
      <c r="Y174" s="75" t="s">
        <v>14</v>
      </c>
      <c r="Z174" s="75" t="s">
        <v>14</v>
      </c>
      <c r="AA174" s="75" t="s">
        <v>14</v>
      </c>
      <c r="AB174" s="75" t="s">
        <v>14</v>
      </c>
      <c r="AC174" s="75"/>
    </row>
    <row r="175" spans="1:29" s="30" customFormat="1" ht="15">
      <c r="A175" s="77">
        <v>44211</v>
      </c>
      <c r="B175" s="75" t="s">
        <v>109</v>
      </c>
      <c r="C175" s="75" t="s">
        <v>461</v>
      </c>
      <c r="D175" s="91" t="s">
        <v>225</v>
      </c>
      <c r="E175" s="181" t="s">
        <v>462</v>
      </c>
      <c r="F175" s="75"/>
      <c r="G175" s="75">
        <v>3</v>
      </c>
      <c r="H175" s="75">
        <v>2</v>
      </c>
      <c r="I175" s="75" t="s">
        <v>14</v>
      </c>
      <c r="J175" s="75" t="s">
        <v>463</v>
      </c>
      <c r="K175" s="75" t="str">
        <f>_xlfn.XLOOKUP(L175,'Inst summary and ER calculation'!$B$3:$B$904,'Inst summary and ER calculation'!$I$3:$I$904)</f>
        <v>5-6 years</v>
      </c>
      <c r="L175" s="78">
        <v>42171</v>
      </c>
      <c r="M175" s="75" t="s">
        <v>14</v>
      </c>
      <c r="N175" s="75">
        <v>21</v>
      </c>
      <c r="O175" s="75">
        <v>90</v>
      </c>
      <c r="P175" s="75" t="s">
        <v>14</v>
      </c>
      <c r="Q175" s="75" t="s">
        <v>13</v>
      </c>
      <c r="R175" s="75"/>
      <c r="S175" s="75"/>
      <c r="T175" s="75"/>
      <c r="U175" s="31" t="str">
        <f t="shared" si="5"/>
        <v/>
      </c>
      <c r="V175" s="75" t="s">
        <v>14</v>
      </c>
      <c r="W175" s="75" t="s">
        <v>14</v>
      </c>
      <c r="X175" s="75" t="s">
        <v>14</v>
      </c>
      <c r="Y175" s="75" t="s">
        <v>14</v>
      </c>
      <c r="Z175" s="75" t="s">
        <v>14</v>
      </c>
      <c r="AA175" s="75" t="s">
        <v>14</v>
      </c>
      <c r="AB175" s="75" t="s">
        <v>14</v>
      </c>
      <c r="AC175" s="75"/>
    </row>
    <row r="176" spans="1:29" s="30" customFormat="1" ht="15.75" customHeight="1">
      <c r="A176" s="77">
        <v>44211</v>
      </c>
      <c r="B176" s="75" t="s">
        <v>257</v>
      </c>
      <c r="C176" s="75" t="s">
        <v>887</v>
      </c>
      <c r="D176" s="83" t="s">
        <v>225</v>
      </c>
      <c r="E176" s="181" t="s">
        <v>685</v>
      </c>
      <c r="F176" s="80"/>
      <c r="G176" s="75">
        <v>2</v>
      </c>
      <c r="H176" s="75">
        <v>1</v>
      </c>
      <c r="I176" s="75" t="s">
        <v>14</v>
      </c>
      <c r="J176" s="80" t="s">
        <v>686</v>
      </c>
      <c r="K176" s="75" t="str">
        <f>_xlfn.XLOOKUP(L176,'Inst summary and ER calculation'!$B$3:$B$904,'Inst summary and ER calculation'!$I$3:$I$904)</f>
        <v>5-6 years</v>
      </c>
      <c r="L176" s="78">
        <v>42184</v>
      </c>
      <c r="M176" s="75" t="s">
        <v>14</v>
      </c>
      <c r="N176" s="75">
        <v>14</v>
      </c>
      <c r="O176" s="75">
        <v>63</v>
      </c>
      <c r="P176" s="75" t="s">
        <v>14</v>
      </c>
      <c r="Q176" s="75" t="s">
        <v>13</v>
      </c>
      <c r="R176" s="75"/>
      <c r="S176" s="75"/>
      <c r="T176" s="75"/>
      <c r="U176" s="31" t="str">
        <f t="shared" si="5"/>
        <v/>
      </c>
      <c r="V176" s="75" t="s">
        <v>14</v>
      </c>
      <c r="W176" s="75" t="s">
        <v>14</v>
      </c>
      <c r="X176" s="75" t="s">
        <v>14</v>
      </c>
      <c r="Y176" s="75" t="s">
        <v>14</v>
      </c>
      <c r="Z176" s="75" t="s">
        <v>14</v>
      </c>
      <c r="AA176" s="75" t="s">
        <v>14</v>
      </c>
      <c r="AB176" s="75" t="s">
        <v>14</v>
      </c>
      <c r="AC176" s="75"/>
    </row>
    <row r="177" spans="1:29" s="30" customFormat="1" ht="15">
      <c r="A177" s="77">
        <v>44212</v>
      </c>
      <c r="B177" s="75" t="s">
        <v>251</v>
      </c>
      <c r="C177" s="75" t="s">
        <v>923</v>
      </c>
      <c r="D177" s="75" t="s">
        <v>225</v>
      </c>
      <c r="E177" s="181" t="s">
        <v>620</v>
      </c>
      <c r="F177" s="75"/>
      <c r="G177" s="75">
        <v>3</v>
      </c>
      <c r="H177" s="75">
        <v>2</v>
      </c>
      <c r="I177" s="75" t="s">
        <v>14</v>
      </c>
      <c r="J177" s="75" t="s">
        <v>621</v>
      </c>
      <c r="K177" s="75" t="str">
        <f>_xlfn.XLOOKUP(L177,'Inst summary and ER calculation'!$B$3:$B$904,'Inst summary and ER calculation'!$I$3:$I$904)</f>
        <v>6-7 years</v>
      </c>
      <c r="L177" s="78">
        <v>42003</v>
      </c>
      <c r="M177" s="75" t="s">
        <v>14</v>
      </c>
      <c r="N177" s="75">
        <v>21</v>
      </c>
      <c r="O177" s="75">
        <v>90</v>
      </c>
      <c r="P177" s="75" t="s">
        <v>14</v>
      </c>
      <c r="Q177" s="75" t="s">
        <v>13</v>
      </c>
      <c r="R177" s="75"/>
      <c r="S177" s="75"/>
      <c r="T177" s="75"/>
      <c r="U177" s="31" t="str">
        <f t="shared" si="5"/>
        <v/>
      </c>
      <c r="V177" s="75" t="s">
        <v>14</v>
      </c>
      <c r="W177" s="75" t="s">
        <v>14</v>
      </c>
      <c r="X177" s="75" t="s">
        <v>14</v>
      </c>
      <c r="Y177" s="75" t="s">
        <v>14</v>
      </c>
      <c r="Z177" s="75" t="s">
        <v>14</v>
      </c>
      <c r="AA177" s="75" t="s">
        <v>14</v>
      </c>
      <c r="AB177" s="75" t="s">
        <v>14</v>
      </c>
      <c r="AC177" s="75"/>
    </row>
    <row r="178" spans="1:29" s="30" customFormat="1" ht="15.75" customHeight="1">
      <c r="A178" s="77">
        <v>44209</v>
      </c>
      <c r="B178" s="75" t="s">
        <v>109</v>
      </c>
      <c r="C178" s="75" t="s">
        <v>888</v>
      </c>
      <c r="D178" s="91" t="s">
        <v>225</v>
      </c>
      <c r="E178" s="181" t="s">
        <v>709</v>
      </c>
      <c r="F178" s="75"/>
      <c r="G178" s="75">
        <v>2</v>
      </c>
      <c r="H178" s="75">
        <v>2</v>
      </c>
      <c r="I178" s="75" t="s">
        <v>14</v>
      </c>
      <c r="J178" s="75" t="s">
        <v>710</v>
      </c>
      <c r="K178" s="75" t="str">
        <f>_xlfn.XLOOKUP(L178,'Inst summary and ER calculation'!$B$3:$B$904,'Inst summary and ER calculation'!$I$3:$I$904)</f>
        <v>5-6 years</v>
      </c>
      <c r="L178" s="78">
        <v>42117</v>
      </c>
      <c r="M178" s="75" t="s">
        <v>14</v>
      </c>
      <c r="N178" s="75">
        <v>14</v>
      </c>
      <c r="O178" s="75">
        <v>60</v>
      </c>
      <c r="P178" s="75" t="s">
        <v>14</v>
      </c>
      <c r="Q178" s="75" t="s">
        <v>13</v>
      </c>
      <c r="R178" s="75"/>
      <c r="S178" s="75"/>
      <c r="T178" s="75"/>
      <c r="U178" s="31" t="str">
        <f t="shared" si="5"/>
        <v/>
      </c>
      <c r="V178" s="75" t="s">
        <v>14</v>
      </c>
      <c r="W178" s="75" t="s">
        <v>14</v>
      </c>
      <c r="X178" s="75" t="s">
        <v>14</v>
      </c>
      <c r="Y178" s="75" t="s">
        <v>14</v>
      </c>
      <c r="Z178" s="75" t="s">
        <v>14</v>
      </c>
      <c r="AA178" s="75" t="s">
        <v>14</v>
      </c>
      <c r="AB178" s="75" t="s">
        <v>14</v>
      </c>
      <c r="AC178" s="75"/>
    </row>
    <row r="179" spans="1:29" s="30" customFormat="1" ht="15">
      <c r="A179" s="77">
        <v>44211</v>
      </c>
      <c r="B179" s="75" t="s">
        <v>124</v>
      </c>
      <c r="C179" s="75" t="s">
        <v>882</v>
      </c>
      <c r="D179" s="83" t="s">
        <v>225</v>
      </c>
      <c r="E179" s="181" t="s">
        <v>438</v>
      </c>
      <c r="F179" s="75"/>
      <c r="G179" s="75">
        <v>2</v>
      </c>
      <c r="H179" s="75">
        <v>3</v>
      </c>
      <c r="I179" s="75" t="s">
        <v>14</v>
      </c>
      <c r="J179" s="75" t="s">
        <v>439</v>
      </c>
      <c r="K179" s="75" t="str">
        <f>_xlfn.XLOOKUP(L179,'Inst summary and ER calculation'!$B$3:$B$904,'Inst summary and ER calculation'!$I$3:$I$904)</f>
        <v>5-6 years</v>
      </c>
      <c r="L179" s="78">
        <v>42139</v>
      </c>
      <c r="M179" s="75" t="s">
        <v>14</v>
      </c>
      <c r="N179" s="75">
        <v>14</v>
      </c>
      <c r="O179" s="75">
        <v>70</v>
      </c>
      <c r="P179" s="75" t="s">
        <v>14</v>
      </c>
      <c r="Q179" s="75" t="s">
        <v>13</v>
      </c>
      <c r="R179" s="75"/>
      <c r="S179" s="75"/>
      <c r="T179" s="75"/>
      <c r="U179" s="31" t="str">
        <f t="shared" si="5"/>
        <v/>
      </c>
      <c r="V179" s="75" t="s">
        <v>14</v>
      </c>
      <c r="W179" s="75" t="s">
        <v>14</v>
      </c>
      <c r="X179" s="75" t="s">
        <v>14</v>
      </c>
      <c r="Y179" s="75" t="s">
        <v>14</v>
      </c>
      <c r="Z179" s="75" t="s">
        <v>14</v>
      </c>
      <c r="AA179" s="75" t="s">
        <v>14</v>
      </c>
      <c r="AB179" s="75" t="s">
        <v>14</v>
      </c>
      <c r="AC179" s="75"/>
    </row>
    <row r="180" spans="1:29" s="30" customFormat="1" ht="15.75" customHeight="1">
      <c r="A180" s="77">
        <v>44211</v>
      </c>
      <c r="B180" s="75" t="s">
        <v>257</v>
      </c>
      <c r="C180" s="75" t="s">
        <v>892</v>
      </c>
      <c r="D180" s="83" t="s">
        <v>225</v>
      </c>
      <c r="E180" s="181" t="s">
        <v>628</v>
      </c>
      <c r="F180" s="75"/>
      <c r="G180" s="75">
        <v>2</v>
      </c>
      <c r="H180" s="75">
        <v>2</v>
      </c>
      <c r="I180" s="75" t="s">
        <v>14</v>
      </c>
      <c r="J180" s="75" t="s">
        <v>629</v>
      </c>
      <c r="K180" s="75" t="str">
        <f>_xlfn.XLOOKUP(L180,'Inst summary and ER calculation'!$B$3:$B$904,'Inst summary and ER calculation'!$I$3:$I$904)</f>
        <v>5-6 years</v>
      </c>
      <c r="L180" s="78">
        <v>42184</v>
      </c>
      <c r="M180" s="75" t="s">
        <v>14</v>
      </c>
      <c r="N180" s="75">
        <v>16</v>
      </c>
      <c r="O180" s="75">
        <v>72</v>
      </c>
      <c r="P180" s="75" t="s">
        <v>14</v>
      </c>
      <c r="Q180" s="75" t="s">
        <v>13</v>
      </c>
      <c r="R180" s="75"/>
      <c r="S180" s="75"/>
      <c r="T180" s="75"/>
      <c r="U180" s="31" t="str">
        <f t="shared" si="5"/>
        <v/>
      </c>
      <c r="V180" s="75" t="s">
        <v>14</v>
      </c>
      <c r="W180" s="75" t="s">
        <v>14</v>
      </c>
      <c r="X180" s="75" t="s">
        <v>14</v>
      </c>
      <c r="Y180" s="75" t="s">
        <v>14</v>
      </c>
      <c r="Z180" s="75" t="s">
        <v>14</v>
      </c>
      <c r="AA180" s="75" t="s">
        <v>14</v>
      </c>
      <c r="AB180" s="75" t="s">
        <v>14</v>
      </c>
      <c r="AC180" s="75"/>
    </row>
    <row r="181" spans="1:29" s="30" customFormat="1" ht="15">
      <c r="A181" s="77">
        <v>44209</v>
      </c>
      <c r="B181" s="75" t="s">
        <v>109</v>
      </c>
      <c r="C181" s="75" t="s">
        <v>925</v>
      </c>
      <c r="D181" s="91" t="s">
        <v>225</v>
      </c>
      <c r="E181" s="181" t="s">
        <v>606</v>
      </c>
      <c r="F181" s="75"/>
      <c r="G181" s="75">
        <v>4</v>
      </c>
      <c r="H181" s="75">
        <v>1</v>
      </c>
      <c r="I181" s="75" t="s">
        <v>14</v>
      </c>
      <c r="J181" s="75" t="s">
        <v>607</v>
      </c>
      <c r="K181" s="75" t="str">
        <f>_xlfn.XLOOKUP(L181,'Inst summary and ER calculation'!$B$3:$B$904,'Inst summary and ER calculation'!$I$3:$I$904)</f>
        <v>5-6 years</v>
      </c>
      <c r="L181" s="78">
        <v>42137</v>
      </c>
      <c r="M181" s="75" t="s">
        <v>14</v>
      </c>
      <c r="N181" s="75">
        <v>14</v>
      </c>
      <c r="O181" s="75">
        <v>60</v>
      </c>
      <c r="P181" s="75" t="s">
        <v>14</v>
      </c>
      <c r="Q181" s="75" t="s">
        <v>13</v>
      </c>
      <c r="R181" s="75"/>
      <c r="S181" s="75"/>
      <c r="T181" s="75"/>
      <c r="U181" s="31" t="str">
        <f t="shared" ref="U181:U200" si="6">IF(R181="Yes",MAX(S181/(S181+N181),T181/(T181+O181)),"")</f>
        <v/>
      </c>
      <c r="V181" s="75" t="s">
        <v>14</v>
      </c>
      <c r="W181" s="75" t="s">
        <v>14</v>
      </c>
      <c r="X181" s="75" t="s">
        <v>14</v>
      </c>
      <c r="Y181" s="75" t="s">
        <v>14</v>
      </c>
      <c r="Z181" s="75" t="s">
        <v>14</v>
      </c>
      <c r="AA181" s="75" t="s">
        <v>14</v>
      </c>
      <c r="AB181" s="75" t="s">
        <v>14</v>
      </c>
      <c r="AC181" s="75"/>
    </row>
    <row r="182" spans="1:29" s="30" customFormat="1" ht="15.75" customHeight="1">
      <c r="A182" s="77">
        <v>44210</v>
      </c>
      <c r="B182" s="75" t="s">
        <v>257</v>
      </c>
      <c r="C182" s="75" t="s">
        <v>895</v>
      </c>
      <c r="D182" s="83" t="s">
        <v>225</v>
      </c>
      <c r="E182" s="181" t="s">
        <v>383</v>
      </c>
      <c r="F182" s="75"/>
      <c r="G182" s="75">
        <v>2</v>
      </c>
      <c r="H182" s="75">
        <v>2</v>
      </c>
      <c r="I182" s="75" t="s">
        <v>14</v>
      </c>
      <c r="J182" s="75" t="s">
        <v>384</v>
      </c>
      <c r="K182" s="75" t="str">
        <f>_xlfn.XLOOKUP(L182,'Inst summary and ER calculation'!$B$3:$B$904,'Inst summary and ER calculation'!$I$3:$I$904)</f>
        <v>5-6 years</v>
      </c>
      <c r="L182" s="78">
        <v>42139</v>
      </c>
      <c r="M182" s="75" t="s">
        <v>14</v>
      </c>
      <c r="N182" s="75">
        <v>18</v>
      </c>
      <c r="O182" s="75">
        <v>81</v>
      </c>
      <c r="P182" s="75" t="s">
        <v>14</v>
      </c>
      <c r="Q182" s="75" t="s">
        <v>13</v>
      </c>
      <c r="R182" s="75"/>
      <c r="S182" s="75"/>
      <c r="T182" s="75"/>
      <c r="U182" s="31" t="str">
        <f t="shared" si="6"/>
        <v/>
      </c>
      <c r="V182" s="75" t="s">
        <v>14</v>
      </c>
      <c r="W182" s="75" t="s">
        <v>14</v>
      </c>
      <c r="X182" s="75" t="s">
        <v>14</v>
      </c>
      <c r="Y182" s="75" t="s">
        <v>14</v>
      </c>
      <c r="Z182" s="75" t="s">
        <v>14</v>
      </c>
      <c r="AA182" s="75" t="s">
        <v>14</v>
      </c>
      <c r="AB182" s="75" t="s">
        <v>14</v>
      </c>
      <c r="AC182" s="75"/>
    </row>
    <row r="183" spans="1:29" s="30" customFormat="1" ht="15">
      <c r="A183" s="77">
        <v>44211</v>
      </c>
      <c r="B183" s="75" t="s">
        <v>76</v>
      </c>
      <c r="C183" s="75" t="s">
        <v>902</v>
      </c>
      <c r="D183" s="79" t="s">
        <v>225</v>
      </c>
      <c r="E183" s="181" t="s">
        <v>683</v>
      </c>
      <c r="F183" s="75"/>
      <c r="G183" s="75">
        <v>2</v>
      </c>
      <c r="H183" s="75">
        <v>3</v>
      </c>
      <c r="I183" s="75" t="s">
        <v>14</v>
      </c>
      <c r="J183" s="75" t="s">
        <v>684</v>
      </c>
      <c r="K183" s="75" t="str">
        <f>_xlfn.XLOOKUP(L183,'Inst summary and ER calculation'!$B$3:$B$904,'Inst summary and ER calculation'!$I$3:$I$904)</f>
        <v>6-7 years</v>
      </c>
      <c r="L183" s="78">
        <v>41933</v>
      </c>
      <c r="M183" s="75" t="s">
        <v>14</v>
      </c>
      <c r="N183" s="75">
        <v>14</v>
      </c>
      <c r="O183" s="75">
        <v>60</v>
      </c>
      <c r="P183" s="75" t="s">
        <v>14</v>
      </c>
      <c r="Q183" s="75" t="s">
        <v>13</v>
      </c>
      <c r="R183" s="75"/>
      <c r="S183" s="75"/>
      <c r="T183" s="75"/>
      <c r="U183" s="31" t="str">
        <f t="shared" si="6"/>
        <v/>
      </c>
      <c r="V183" s="75" t="s">
        <v>14</v>
      </c>
      <c r="W183" s="75" t="s">
        <v>14</v>
      </c>
      <c r="X183" s="75" t="s">
        <v>14</v>
      </c>
      <c r="Y183" s="75" t="s">
        <v>14</v>
      </c>
      <c r="Z183" s="75" t="s">
        <v>14</v>
      </c>
      <c r="AA183" s="75" t="s">
        <v>14</v>
      </c>
      <c r="AB183" s="75" t="s">
        <v>14</v>
      </c>
      <c r="AC183" s="75"/>
    </row>
    <row r="184" spans="1:29" s="30" customFormat="1" ht="15.75" customHeight="1">
      <c r="A184" s="77">
        <v>44211</v>
      </c>
      <c r="B184" s="75" t="s">
        <v>248</v>
      </c>
      <c r="C184" s="75" t="s">
        <v>414</v>
      </c>
      <c r="D184" s="83" t="s">
        <v>225</v>
      </c>
      <c r="E184" s="181" t="s">
        <v>415</v>
      </c>
      <c r="F184" s="75"/>
      <c r="G184" s="75">
        <v>5</v>
      </c>
      <c r="H184" s="75">
        <v>0</v>
      </c>
      <c r="I184" s="75" t="s">
        <v>14</v>
      </c>
      <c r="J184" s="75" t="s">
        <v>416</v>
      </c>
      <c r="K184" s="75" t="str">
        <f>_xlfn.XLOOKUP(L184,'Inst summary and ER calculation'!$B$3:$B$904,'Inst summary and ER calculation'!$I$3:$I$904)</f>
        <v>5-6 years</v>
      </c>
      <c r="L184" s="78">
        <v>42149</v>
      </c>
      <c r="M184" s="75" t="s">
        <v>14</v>
      </c>
      <c r="N184" s="75">
        <v>14</v>
      </c>
      <c r="O184" s="75">
        <v>70</v>
      </c>
      <c r="P184" s="75" t="s">
        <v>14</v>
      </c>
      <c r="Q184" s="75" t="s">
        <v>13</v>
      </c>
      <c r="R184" s="75"/>
      <c r="S184" s="75"/>
      <c r="T184" s="75"/>
      <c r="U184" s="31" t="str">
        <f t="shared" si="6"/>
        <v/>
      </c>
      <c r="V184" s="75" t="s">
        <v>14</v>
      </c>
      <c r="W184" s="75" t="s">
        <v>14</v>
      </c>
      <c r="X184" s="75" t="s">
        <v>14</v>
      </c>
      <c r="Y184" s="75" t="s">
        <v>14</v>
      </c>
      <c r="Z184" s="75" t="s">
        <v>14</v>
      </c>
      <c r="AA184" s="75" t="s">
        <v>14</v>
      </c>
      <c r="AB184" s="75" t="s">
        <v>14</v>
      </c>
      <c r="AC184" s="75"/>
    </row>
    <row r="185" spans="1:29" s="30" customFormat="1" ht="15">
      <c r="A185" s="77">
        <v>44212</v>
      </c>
      <c r="B185" s="75" t="s">
        <v>254</v>
      </c>
      <c r="C185" s="75" t="s">
        <v>380</v>
      </c>
      <c r="D185" s="83" t="s">
        <v>225</v>
      </c>
      <c r="E185" s="181" t="s">
        <v>381</v>
      </c>
      <c r="F185" s="75"/>
      <c r="G185" s="75">
        <v>2</v>
      </c>
      <c r="H185" s="75">
        <v>2</v>
      </c>
      <c r="I185" s="75" t="s">
        <v>14</v>
      </c>
      <c r="J185" s="75" t="s">
        <v>382</v>
      </c>
      <c r="K185" s="75" t="str">
        <f>_xlfn.XLOOKUP(L185,'Inst summary and ER calculation'!$B$3:$B$904,'Inst summary and ER calculation'!$I$3:$I$904)</f>
        <v>5-6 years</v>
      </c>
      <c r="L185" s="78">
        <v>42185</v>
      </c>
      <c r="M185" s="75" t="s">
        <v>14</v>
      </c>
      <c r="N185" s="75">
        <v>14</v>
      </c>
      <c r="O185" s="75">
        <v>60</v>
      </c>
      <c r="P185" s="75" t="s">
        <v>14</v>
      </c>
      <c r="Q185" s="75" t="s">
        <v>13</v>
      </c>
      <c r="R185" s="75"/>
      <c r="S185" s="75"/>
      <c r="T185" s="75"/>
      <c r="U185" s="31" t="str">
        <f t="shared" si="6"/>
        <v/>
      </c>
      <c r="V185" s="75" t="s">
        <v>14</v>
      </c>
      <c r="W185" s="75" t="s">
        <v>14</v>
      </c>
      <c r="X185" s="75" t="s">
        <v>14</v>
      </c>
      <c r="Y185" s="75" t="s">
        <v>14</v>
      </c>
      <c r="Z185" s="75" t="s">
        <v>14</v>
      </c>
      <c r="AA185" s="75" t="s">
        <v>14</v>
      </c>
      <c r="AB185" s="75" t="s">
        <v>14</v>
      </c>
      <c r="AC185" s="75"/>
    </row>
    <row r="186" spans="1:29" s="30" customFormat="1" ht="15.75" customHeight="1">
      <c r="A186" s="77">
        <v>44205</v>
      </c>
      <c r="B186" s="75" t="s">
        <v>42</v>
      </c>
      <c r="C186" s="75" t="s">
        <v>501</v>
      </c>
      <c r="D186" s="75" t="s">
        <v>225</v>
      </c>
      <c r="E186" s="182" t="s">
        <v>502</v>
      </c>
      <c r="F186" s="75"/>
      <c r="G186" s="75">
        <v>2</v>
      </c>
      <c r="H186" s="75">
        <v>1</v>
      </c>
      <c r="I186" s="75" t="s">
        <v>14</v>
      </c>
      <c r="J186" s="75" t="s">
        <v>503</v>
      </c>
      <c r="K186" s="75" t="str">
        <f>_xlfn.XLOOKUP(L186,'Inst summary and ER calculation'!$B$3:$B$904,'Inst summary and ER calculation'!$I$3:$I$904)</f>
        <v>6-7 years</v>
      </c>
      <c r="L186" s="78">
        <v>42050</v>
      </c>
      <c r="M186" s="75" t="s">
        <v>14</v>
      </c>
      <c r="N186" s="75">
        <v>21</v>
      </c>
      <c r="O186" s="75">
        <v>90</v>
      </c>
      <c r="P186" s="75" t="s">
        <v>14</v>
      </c>
      <c r="Q186" s="75" t="s">
        <v>13</v>
      </c>
      <c r="R186" s="75"/>
      <c r="S186" s="75"/>
      <c r="T186" s="75"/>
      <c r="U186" s="31" t="str">
        <f t="shared" si="6"/>
        <v/>
      </c>
      <c r="V186" s="75" t="s">
        <v>14</v>
      </c>
      <c r="W186" s="75" t="s">
        <v>14</v>
      </c>
      <c r="X186" s="75" t="s">
        <v>14</v>
      </c>
      <c r="Y186" s="75" t="s">
        <v>14</v>
      </c>
      <c r="Z186" s="75" t="s">
        <v>14</v>
      </c>
      <c r="AA186" s="75" t="s">
        <v>14</v>
      </c>
      <c r="AB186" s="75" t="s">
        <v>14</v>
      </c>
      <c r="AC186" s="75"/>
    </row>
    <row r="187" spans="1:29" s="30" customFormat="1" ht="15">
      <c r="A187" s="77">
        <v>44205</v>
      </c>
      <c r="B187" s="75" t="s">
        <v>130</v>
      </c>
      <c r="C187" s="75" t="s">
        <v>539</v>
      </c>
      <c r="D187" s="80" t="s">
        <v>225</v>
      </c>
      <c r="E187" s="182" t="s">
        <v>540</v>
      </c>
      <c r="F187" s="75"/>
      <c r="G187" s="75">
        <v>3</v>
      </c>
      <c r="H187" s="75">
        <v>1</v>
      </c>
      <c r="I187" s="75" t="s">
        <v>14</v>
      </c>
      <c r="J187" s="75" t="s">
        <v>541</v>
      </c>
      <c r="K187" s="75" t="str">
        <f>_xlfn.XLOOKUP(L187,'Inst summary and ER calculation'!$B$3:$B$904,'Inst summary and ER calculation'!$I$3:$I$904)</f>
        <v>6-7 years</v>
      </c>
      <c r="L187" s="78">
        <v>42033</v>
      </c>
      <c r="M187" s="75" t="s">
        <v>14</v>
      </c>
      <c r="N187" s="75">
        <v>14</v>
      </c>
      <c r="O187" s="75">
        <v>60</v>
      </c>
      <c r="P187" s="75" t="s">
        <v>14</v>
      </c>
      <c r="Q187" s="75" t="s">
        <v>13</v>
      </c>
      <c r="R187" s="75"/>
      <c r="S187" s="75"/>
      <c r="T187" s="75"/>
      <c r="U187" s="31" t="str">
        <f t="shared" si="6"/>
        <v/>
      </c>
      <c r="V187" s="75" t="s">
        <v>14</v>
      </c>
      <c r="W187" s="75" t="s">
        <v>14</v>
      </c>
      <c r="X187" s="75" t="s">
        <v>14</v>
      </c>
      <c r="Y187" s="75" t="s">
        <v>14</v>
      </c>
      <c r="Z187" s="75" t="s">
        <v>14</v>
      </c>
      <c r="AA187" s="75" t="s">
        <v>14</v>
      </c>
      <c r="AB187" s="75" t="s">
        <v>14</v>
      </c>
      <c r="AC187" s="75"/>
    </row>
    <row r="188" spans="1:29" s="30" customFormat="1" ht="15.75" customHeight="1">
      <c r="A188" s="77">
        <v>44213</v>
      </c>
      <c r="B188" s="75" t="s">
        <v>35</v>
      </c>
      <c r="C188" s="75" t="s">
        <v>608</v>
      </c>
      <c r="D188" s="75" t="s">
        <v>225</v>
      </c>
      <c r="E188" s="181" t="s">
        <v>609</v>
      </c>
      <c r="F188" s="75"/>
      <c r="G188" s="75">
        <v>2</v>
      </c>
      <c r="H188" s="75">
        <v>2</v>
      </c>
      <c r="I188" s="75" t="s">
        <v>14</v>
      </c>
      <c r="J188" s="75" t="s">
        <v>610</v>
      </c>
      <c r="K188" s="75" t="str">
        <f>_xlfn.XLOOKUP(L188,'Inst summary and ER calculation'!$B$3:$B$904,'Inst summary and ER calculation'!$I$3:$I$904)</f>
        <v>6-7 years</v>
      </c>
      <c r="L188" s="78">
        <v>41968</v>
      </c>
      <c r="M188" s="75" t="s">
        <v>14</v>
      </c>
      <c r="N188" s="75">
        <v>20</v>
      </c>
      <c r="O188" s="75">
        <v>84</v>
      </c>
      <c r="P188" s="75" t="s">
        <v>14</v>
      </c>
      <c r="Q188" s="75" t="s">
        <v>13</v>
      </c>
      <c r="R188" s="75"/>
      <c r="S188" s="75"/>
      <c r="T188" s="75"/>
      <c r="U188" s="31" t="str">
        <f t="shared" si="6"/>
        <v/>
      </c>
      <c r="V188" s="75" t="s">
        <v>14</v>
      </c>
      <c r="W188" s="75" t="s">
        <v>14</v>
      </c>
      <c r="X188" s="75" t="s">
        <v>14</v>
      </c>
      <c r="Y188" s="75" t="s">
        <v>14</v>
      </c>
      <c r="Z188" s="75" t="s">
        <v>14</v>
      </c>
      <c r="AA188" s="75" t="s">
        <v>14</v>
      </c>
      <c r="AB188" s="75" t="s">
        <v>14</v>
      </c>
      <c r="AC188" s="75"/>
    </row>
    <row r="189" spans="1:29" s="30" customFormat="1" ht="15">
      <c r="A189" s="77">
        <v>44211</v>
      </c>
      <c r="B189" s="75" t="s">
        <v>84</v>
      </c>
      <c r="C189" s="75" t="s">
        <v>533</v>
      </c>
      <c r="D189" s="75" t="s">
        <v>225</v>
      </c>
      <c r="E189" s="181" t="s">
        <v>534</v>
      </c>
      <c r="F189" s="79"/>
      <c r="G189" s="75">
        <v>4</v>
      </c>
      <c r="H189" s="75">
        <v>1</v>
      </c>
      <c r="I189" s="75" t="s">
        <v>14</v>
      </c>
      <c r="J189" s="90" t="s">
        <v>535</v>
      </c>
      <c r="K189" s="75" t="str">
        <f>_xlfn.XLOOKUP(L189,'Inst summary and ER calculation'!$B$3:$B$904,'Inst summary and ER calculation'!$I$3:$I$904)</f>
        <v>6-7 years</v>
      </c>
      <c r="L189" s="88">
        <v>41872</v>
      </c>
      <c r="M189" s="75" t="s">
        <v>14</v>
      </c>
      <c r="N189" s="75">
        <v>18</v>
      </c>
      <c r="O189" s="75">
        <v>81</v>
      </c>
      <c r="P189" s="75" t="s">
        <v>14</v>
      </c>
      <c r="Q189" s="75" t="s">
        <v>13</v>
      </c>
      <c r="R189" s="75"/>
      <c r="S189" s="75"/>
      <c r="T189" s="75"/>
      <c r="U189" s="31" t="str">
        <f t="shared" si="6"/>
        <v/>
      </c>
      <c r="V189" s="75" t="s">
        <v>14</v>
      </c>
      <c r="W189" s="75" t="s">
        <v>14</v>
      </c>
      <c r="X189" s="75" t="s">
        <v>14</v>
      </c>
      <c r="Y189" s="75" t="s">
        <v>14</v>
      </c>
      <c r="Z189" s="75" t="s">
        <v>14</v>
      </c>
      <c r="AA189" s="75" t="s">
        <v>14</v>
      </c>
      <c r="AB189" s="75" t="s">
        <v>14</v>
      </c>
      <c r="AC189" s="75"/>
    </row>
    <row r="190" spans="1:29" s="30" customFormat="1" ht="15.75" customHeight="1">
      <c r="A190" s="77">
        <v>44211</v>
      </c>
      <c r="B190" s="75" t="s">
        <v>244</v>
      </c>
      <c r="C190" s="75" t="s">
        <v>579</v>
      </c>
      <c r="D190" s="75" t="s">
        <v>225</v>
      </c>
      <c r="E190" s="181" t="s">
        <v>580</v>
      </c>
      <c r="F190" s="75"/>
      <c r="G190" s="75">
        <v>4</v>
      </c>
      <c r="H190" s="75">
        <v>0</v>
      </c>
      <c r="I190" s="75" t="s">
        <v>14</v>
      </c>
      <c r="J190" s="75" t="s">
        <v>581</v>
      </c>
      <c r="K190" s="75" t="str">
        <f>_xlfn.XLOOKUP(L190,'Inst summary and ER calculation'!$B$3:$B$904,'Inst summary and ER calculation'!$I$3:$I$904)</f>
        <v>6-7 years</v>
      </c>
      <c r="L190" s="78">
        <v>42001</v>
      </c>
      <c r="M190" s="75" t="s">
        <v>14</v>
      </c>
      <c r="N190" s="75">
        <v>21</v>
      </c>
      <c r="O190" s="75">
        <v>90</v>
      </c>
      <c r="P190" s="75" t="s">
        <v>14</v>
      </c>
      <c r="Q190" s="75" t="s">
        <v>13</v>
      </c>
      <c r="R190" s="75"/>
      <c r="S190" s="75"/>
      <c r="T190" s="75"/>
      <c r="U190" s="31" t="str">
        <f t="shared" si="6"/>
        <v/>
      </c>
      <c r="V190" s="75" t="s">
        <v>14</v>
      </c>
      <c r="W190" s="75" t="s">
        <v>14</v>
      </c>
      <c r="X190" s="75" t="s">
        <v>14</v>
      </c>
      <c r="Y190" s="75" t="s">
        <v>14</v>
      </c>
      <c r="Z190" s="75" t="s">
        <v>14</v>
      </c>
      <c r="AA190" s="75" t="s">
        <v>14</v>
      </c>
      <c r="AB190" s="75" t="s">
        <v>14</v>
      </c>
      <c r="AC190" s="75"/>
    </row>
    <row r="191" spans="1:29" s="30" customFormat="1" ht="15">
      <c r="A191" s="77">
        <v>44210</v>
      </c>
      <c r="B191" s="75" t="s">
        <v>77</v>
      </c>
      <c r="C191" s="75" t="s">
        <v>338</v>
      </c>
      <c r="D191" s="75" t="s">
        <v>225</v>
      </c>
      <c r="E191" s="181" t="s">
        <v>339</v>
      </c>
      <c r="F191" s="75"/>
      <c r="G191" s="75">
        <v>3</v>
      </c>
      <c r="H191" s="75">
        <v>1</v>
      </c>
      <c r="I191" s="75" t="s">
        <v>14</v>
      </c>
      <c r="J191" s="75" t="s">
        <v>340</v>
      </c>
      <c r="K191" s="75" t="str">
        <f>_xlfn.XLOOKUP(L191,'Inst summary and ER calculation'!$B$3:$B$904,'Inst summary and ER calculation'!$I$3:$I$904)</f>
        <v>6-7 years</v>
      </c>
      <c r="L191" s="78">
        <v>41992</v>
      </c>
      <c r="M191" s="75" t="s">
        <v>13</v>
      </c>
      <c r="N191" s="75"/>
      <c r="O191" s="75"/>
      <c r="P191" s="75"/>
      <c r="Q191" s="75"/>
      <c r="R191" s="75"/>
      <c r="S191" s="75"/>
      <c r="T191" s="75"/>
      <c r="U191" s="31" t="str">
        <f t="shared" si="6"/>
        <v/>
      </c>
      <c r="V191" s="75"/>
      <c r="W191" s="75"/>
      <c r="X191" s="75"/>
      <c r="Y191" s="75"/>
      <c r="Z191" s="75"/>
      <c r="AA191" s="75"/>
      <c r="AB191" s="75"/>
      <c r="AC191" s="75"/>
    </row>
    <row r="192" spans="1:29" s="30" customFormat="1" ht="15.75" customHeight="1">
      <c r="A192" s="77">
        <v>44211</v>
      </c>
      <c r="B192" s="75" t="s">
        <v>118</v>
      </c>
      <c r="C192" s="75" t="s">
        <v>711</v>
      </c>
      <c r="D192" s="75" t="s">
        <v>225</v>
      </c>
      <c r="E192" s="181" t="s">
        <v>712</v>
      </c>
      <c r="F192" s="75"/>
      <c r="G192" s="75">
        <v>2</v>
      </c>
      <c r="H192" s="75">
        <v>0</v>
      </c>
      <c r="I192" s="75" t="s">
        <v>14</v>
      </c>
      <c r="J192" s="75" t="s">
        <v>713</v>
      </c>
      <c r="K192" s="75" t="str">
        <f>_xlfn.XLOOKUP(L192,'Inst summary and ER calculation'!$B$3:$B$904,'Inst summary and ER calculation'!$I$3:$I$904)</f>
        <v>6-7 years</v>
      </c>
      <c r="L192" s="78">
        <v>42020</v>
      </c>
      <c r="M192" s="75" t="s">
        <v>14</v>
      </c>
      <c r="N192" s="75">
        <v>20</v>
      </c>
      <c r="O192" s="75">
        <v>80</v>
      </c>
      <c r="P192" s="75" t="s">
        <v>14</v>
      </c>
      <c r="Q192" s="75" t="s">
        <v>13</v>
      </c>
      <c r="R192" s="75"/>
      <c r="S192" s="75"/>
      <c r="T192" s="75"/>
      <c r="U192" s="31" t="str">
        <f t="shared" si="6"/>
        <v/>
      </c>
      <c r="V192" s="75" t="s">
        <v>14</v>
      </c>
      <c r="W192" s="75" t="s">
        <v>14</v>
      </c>
      <c r="X192" s="75" t="s">
        <v>14</v>
      </c>
      <c r="Y192" s="75" t="s">
        <v>14</v>
      </c>
      <c r="Z192" s="75" t="s">
        <v>14</v>
      </c>
      <c r="AA192" s="75" t="s">
        <v>14</v>
      </c>
      <c r="AB192" s="75" t="s">
        <v>14</v>
      </c>
      <c r="AC192" s="75"/>
    </row>
    <row r="193" spans="1:29" s="30" customFormat="1" ht="15">
      <c r="A193" s="77">
        <v>44207</v>
      </c>
      <c r="B193" s="75" t="s">
        <v>104</v>
      </c>
      <c r="C193" s="75" t="s">
        <v>934</v>
      </c>
      <c r="D193" s="80" t="s">
        <v>225</v>
      </c>
      <c r="E193" s="182" t="s">
        <v>433</v>
      </c>
      <c r="F193" s="75"/>
      <c r="G193" s="75">
        <v>4</v>
      </c>
      <c r="H193" s="75">
        <v>2</v>
      </c>
      <c r="I193" s="75" t="s">
        <v>14</v>
      </c>
      <c r="J193" s="79" t="s">
        <v>434</v>
      </c>
      <c r="K193" s="75" t="str">
        <f>_xlfn.XLOOKUP(L193,'Inst summary and ER calculation'!$B$3:$B$904,'Inst summary and ER calculation'!$I$3:$I$904)</f>
        <v>6-7 years</v>
      </c>
      <c r="L193" s="88">
        <v>41889</v>
      </c>
      <c r="M193" s="75" t="s">
        <v>14</v>
      </c>
      <c r="N193" s="75">
        <v>16</v>
      </c>
      <c r="O193" s="75">
        <v>72</v>
      </c>
      <c r="P193" s="75" t="s">
        <v>14</v>
      </c>
      <c r="Q193" s="75" t="s">
        <v>13</v>
      </c>
      <c r="R193" s="75"/>
      <c r="S193" s="75"/>
      <c r="T193" s="75"/>
      <c r="U193" s="31" t="str">
        <f t="shared" si="6"/>
        <v/>
      </c>
      <c r="V193" s="75" t="s">
        <v>14</v>
      </c>
      <c r="W193" s="75" t="s">
        <v>14</v>
      </c>
      <c r="X193" s="75" t="s">
        <v>14</v>
      </c>
      <c r="Y193" s="75" t="s">
        <v>14</v>
      </c>
      <c r="Z193" s="75" t="s">
        <v>14</v>
      </c>
      <c r="AA193" s="75" t="s">
        <v>14</v>
      </c>
      <c r="AB193" s="75" t="s">
        <v>14</v>
      </c>
      <c r="AC193" s="75"/>
    </row>
    <row r="194" spans="1:29" s="30" customFormat="1" ht="15.75" customHeight="1">
      <c r="A194" s="77">
        <v>44211</v>
      </c>
      <c r="B194" s="75" t="s">
        <v>256</v>
      </c>
      <c r="C194" s="75" t="s">
        <v>622</v>
      </c>
      <c r="D194" s="75" t="s">
        <v>225</v>
      </c>
      <c r="E194" s="181" t="s">
        <v>623</v>
      </c>
      <c r="F194" s="75"/>
      <c r="G194" s="75">
        <v>4</v>
      </c>
      <c r="H194" s="75">
        <v>2</v>
      </c>
      <c r="I194" s="75" t="s">
        <v>14</v>
      </c>
      <c r="J194" s="75" t="s">
        <v>624</v>
      </c>
      <c r="K194" s="75" t="str">
        <f>_xlfn.XLOOKUP(L194,'Inst summary and ER calculation'!$B$3:$B$904,'Inst summary and ER calculation'!$I$3:$I$904)</f>
        <v>6-7 years</v>
      </c>
      <c r="L194" s="84">
        <v>41801</v>
      </c>
      <c r="M194" s="75" t="s">
        <v>14</v>
      </c>
      <c r="N194" s="75">
        <v>14</v>
      </c>
      <c r="O194" s="75">
        <v>60</v>
      </c>
      <c r="P194" s="75" t="s">
        <v>14</v>
      </c>
      <c r="Q194" s="75" t="s">
        <v>13</v>
      </c>
      <c r="R194" s="75"/>
      <c r="S194" s="75"/>
      <c r="T194" s="75"/>
      <c r="U194" s="31" t="str">
        <f t="shared" si="6"/>
        <v/>
      </c>
      <c r="V194" s="75" t="s">
        <v>14</v>
      </c>
      <c r="W194" s="75" t="s">
        <v>14</v>
      </c>
      <c r="X194" s="75" t="s">
        <v>14</v>
      </c>
      <c r="Y194" s="75" t="s">
        <v>14</v>
      </c>
      <c r="Z194" s="75" t="s">
        <v>14</v>
      </c>
      <c r="AA194" s="75" t="s">
        <v>14</v>
      </c>
      <c r="AB194" s="75" t="s">
        <v>14</v>
      </c>
      <c r="AC194" s="75"/>
    </row>
    <row r="195" spans="1:29" s="30" customFormat="1" ht="15">
      <c r="A195" s="77">
        <v>44206</v>
      </c>
      <c r="B195" s="75" t="s">
        <v>84</v>
      </c>
      <c r="C195" s="75" t="s">
        <v>900</v>
      </c>
      <c r="D195" s="80" t="s">
        <v>225</v>
      </c>
      <c r="E195" s="181" t="s">
        <v>470</v>
      </c>
      <c r="F195" s="75"/>
      <c r="G195" s="75">
        <v>2</v>
      </c>
      <c r="H195" s="75">
        <v>0</v>
      </c>
      <c r="I195" s="75" t="s">
        <v>14</v>
      </c>
      <c r="J195" s="75" t="s">
        <v>471</v>
      </c>
      <c r="K195" s="75" t="str">
        <f>_xlfn.XLOOKUP(L195,'Inst summary and ER calculation'!$B$3:$B$904,'Inst summary and ER calculation'!$I$3:$I$904)</f>
        <v>6-7 years</v>
      </c>
      <c r="L195" s="78">
        <v>42056</v>
      </c>
      <c r="M195" s="75" t="s">
        <v>14</v>
      </c>
      <c r="N195" s="75">
        <v>14</v>
      </c>
      <c r="O195" s="75">
        <v>60</v>
      </c>
      <c r="P195" s="75" t="s">
        <v>14</v>
      </c>
      <c r="Q195" s="75" t="s">
        <v>13</v>
      </c>
      <c r="R195" s="75"/>
      <c r="S195" s="75"/>
      <c r="T195" s="75"/>
      <c r="U195" s="31" t="str">
        <f t="shared" si="6"/>
        <v/>
      </c>
      <c r="V195" s="75" t="s">
        <v>14</v>
      </c>
      <c r="W195" s="75" t="s">
        <v>14</v>
      </c>
      <c r="X195" s="75" t="s">
        <v>14</v>
      </c>
      <c r="Y195" s="75" t="s">
        <v>14</v>
      </c>
      <c r="Z195" s="75" t="s">
        <v>14</v>
      </c>
      <c r="AA195" s="75" t="s">
        <v>14</v>
      </c>
      <c r="AB195" s="75" t="s">
        <v>14</v>
      </c>
      <c r="AC195" s="75"/>
    </row>
    <row r="196" spans="1:29" s="30" customFormat="1" ht="15.75" customHeight="1">
      <c r="A196" s="77">
        <v>44206</v>
      </c>
      <c r="B196" s="75" t="s">
        <v>542</v>
      </c>
      <c r="C196" s="75" t="s">
        <v>891</v>
      </c>
      <c r="D196" s="91" t="s">
        <v>225</v>
      </c>
      <c r="E196" s="182" t="s">
        <v>543</v>
      </c>
      <c r="F196" s="75"/>
      <c r="G196" s="75">
        <v>2</v>
      </c>
      <c r="H196" s="75">
        <v>2</v>
      </c>
      <c r="I196" s="75" t="s">
        <v>14</v>
      </c>
      <c r="J196" s="75" t="s">
        <v>544</v>
      </c>
      <c r="K196" s="75" t="str">
        <f>_xlfn.XLOOKUP(L196,'Inst summary and ER calculation'!$B$3:$B$904,'Inst summary and ER calculation'!$I$3:$I$904)</f>
        <v>5-6 years</v>
      </c>
      <c r="L196" s="78">
        <v>42170</v>
      </c>
      <c r="M196" s="75" t="s">
        <v>14</v>
      </c>
      <c r="N196" s="75">
        <v>16</v>
      </c>
      <c r="O196" s="75">
        <v>75</v>
      </c>
      <c r="P196" s="75" t="s">
        <v>14</v>
      </c>
      <c r="Q196" s="75" t="s">
        <v>13</v>
      </c>
      <c r="R196" s="75"/>
      <c r="S196" s="75"/>
      <c r="T196" s="75"/>
      <c r="U196" s="31" t="str">
        <f t="shared" si="6"/>
        <v/>
      </c>
      <c r="V196" s="75" t="s">
        <v>14</v>
      </c>
      <c r="W196" s="75" t="s">
        <v>14</v>
      </c>
      <c r="X196" s="75" t="s">
        <v>14</v>
      </c>
      <c r="Y196" s="75" t="s">
        <v>14</v>
      </c>
      <c r="Z196" s="75" t="s">
        <v>14</v>
      </c>
      <c r="AA196" s="75" t="s">
        <v>14</v>
      </c>
      <c r="AB196" s="75" t="s">
        <v>14</v>
      </c>
      <c r="AC196" s="75"/>
    </row>
    <row r="197" spans="1:29" s="30" customFormat="1" ht="15">
      <c r="A197" s="77">
        <v>44206</v>
      </c>
      <c r="B197" s="75" t="s">
        <v>120</v>
      </c>
      <c r="C197" s="75" t="s">
        <v>908</v>
      </c>
      <c r="D197" s="75" t="s">
        <v>225</v>
      </c>
      <c r="E197" s="180" t="s">
        <v>442</v>
      </c>
      <c r="F197" s="80"/>
      <c r="G197" s="75">
        <v>2</v>
      </c>
      <c r="H197" s="75">
        <v>0</v>
      </c>
      <c r="I197" s="75" t="s">
        <v>14</v>
      </c>
      <c r="J197" s="75" t="s">
        <v>443</v>
      </c>
      <c r="K197" s="75" t="str">
        <f>_xlfn.XLOOKUP(L197,'Inst summary and ER calculation'!$B$3:$B$904,'Inst summary and ER calculation'!$I$3:$I$904)</f>
        <v>6-7 years</v>
      </c>
      <c r="L197" s="78">
        <v>41940</v>
      </c>
      <c r="M197" s="75" t="s">
        <v>14</v>
      </c>
      <c r="N197" s="75">
        <v>21</v>
      </c>
      <c r="O197" s="75">
        <v>85</v>
      </c>
      <c r="P197" s="75" t="s">
        <v>14</v>
      </c>
      <c r="Q197" s="75" t="s">
        <v>13</v>
      </c>
      <c r="R197" s="75"/>
      <c r="S197" s="75"/>
      <c r="T197" s="75"/>
      <c r="U197" s="31" t="str">
        <f t="shared" si="6"/>
        <v/>
      </c>
      <c r="V197" s="75" t="s">
        <v>14</v>
      </c>
      <c r="W197" s="75" t="s">
        <v>14</v>
      </c>
      <c r="X197" s="75" t="s">
        <v>14</v>
      </c>
      <c r="Y197" s="75" t="s">
        <v>14</v>
      </c>
      <c r="Z197" s="75" t="s">
        <v>14</v>
      </c>
      <c r="AA197" s="75" t="s">
        <v>14</v>
      </c>
      <c r="AB197" s="75" t="s">
        <v>14</v>
      </c>
      <c r="AC197" s="75"/>
    </row>
    <row r="198" spans="1:29" s="30" customFormat="1" ht="15.75" customHeight="1">
      <c r="A198" s="77">
        <v>44205</v>
      </c>
      <c r="B198" s="75" t="s">
        <v>518</v>
      </c>
      <c r="C198" s="75" t="s">
        <v>935</v>
      </c>
      <c r="D198" s="75" t="s">
        <v>225</v>
      </c>
      <c r="E198" s="182" t="s">
        <v>519</v>
      </c>
      <c r="F198" s="75"/>
      <c r="G198" s="75">
        <v>4</v>
      </c>
      <c r="H198" s="75">
        <v>2</v>
      </c>
      <c r="I198" s="75" t="s">
        <v>14</v>
      </c>
      <c r="J198" s="75" t="s">
        <v>520</v>
      </c>
      <c r="K198" s="75" t="str">
        <f>_xlfn.XLOOKUP(L198,'Inst summary and ER calculation'!$B$3:$B$904,'Inst summary and ER calculation'!$I$3:$I$904)</f>
        <v>6-7 years</v>
      </c>
      <c r="L198" s="84">
        <v>41912</v>
      </c>
      <c r="M198" s="75" t="s">
        <v>14</v>
      </c>
      <c r="N198" s="75">
        <v>17</v>
      </c>
      <c r="O198" s="75">
        <v>70</v>
      </c>
      <c r="P198" s="75" t="s">
        <v>14</v>
      </c>
      <c r="Q198" s="75" t="s">
        <v>13</v>
      </c>
      <c r="R198" s="75"/>
      <c r="S198" s="75"/>
      <c r="T198" s="75"/>
      <c r="U198" s="31" t="str">
        <f t="shared" si="6"/>
        <v/>
      </c>
      <c r="V198" s="75" t="s">
        <v>14</v>
      </c>
      <c r="W198" s="75" t="s">
        <v>14</v>
      </c>
      <c r="X198" s="75" t="s">
        <v>14</v>
      </c>
      <c r="Y198" s="75" t="s">
        <v>14</v>
      </c>
      <c r="Z198" s="75" t="s">
        <v>14</v>
      </c>
      <c r="AA198" s="75" t="s">
        <v>14</v>
      </c>
      <c r="AB198" s="75" t="s">
        <v>14</v>
      </c>
      <c r="AC198" s="75"/>
    </row>
    <row r="199" spans="1:29" s="30" customFormat="1" ht="15">
      <c r="A199" s="77">
        <v>44207</v>
      </c>
      <c r="B199" s="75" t="s">
        <v>118</v>
      </c>
      <c r="C199" s="75" t="s">
        <v>896</v>
      </c>
      <c r="D199" s="75" t="s">
        <v>225</v>
      </c>
      <c r="E199" s="181" t="s">
        <v>521</v>
      </c>
      <c r="F199" s="75"/>
      <c r="G199" s="75">
        <v>2</v>
      </c>
      <c r="H199" s="75">
        <v>2</v>
      </c>
      <c r="I199" s="75" t="s">
        <v>14</v>
      </c>
      <c r="J199" s="75" t="s">
        <v>522</v>
      </c>
      <c r="K199" s="75" t="str">
        <f>_xlfn.XLOOKUP(L199,'Inst summary and ER calculation'!$B$3:$B$904,'Inst summary and ER calculation'!$I$3:$I$904)</f>
        <v>5-6 years</v>
      </c>
      <c r="L199" s="78">
        <v>42167</v>
      </c>
      <c r="M199" s="75" t="s">
        <v>14</v>
      </c>
      <c r="N199" s="75">
        <v>18</v>
      </c>
      <c r="O199" s="75">
        <v>72</v>
      </c>
      <c r="P199" s="75" t="s">
        <v>14</v>
      </c>
      <c r="Q199" s="75" t="s">
        <v>13</v>
      </c>
      <c r="R199" s="75"/>
      <c r="S199" s="75"/>
      <c r="T199" s="75"/>
      <c r="U199" s="31" t="str">
        <f t="shared" si="6"/>
        <v/>
      </c>
      <c r="V199" s="75" t="s">
        <v>14</v>
      </c>
      <c r="W199" s="75" t="s">
        <v>14</v>
      </c>
      <c r="X199" s="75" t="s">
        <v>14</v>
      </c>
      <c r="Y199" s="75" t="s">
        <v>14</v>
      </c>
      <c r="Z199" s="75" t="s">
        <v>14</v>
      </c>
      <c r="AA199" s="75" t="s">
        <v>14</v>
      </c>
      <c r="AB199" s="75" t="s">
        <v>14</v>
      </c>
      <c r="AC199" s="75"/>
    </row>
    <row r="200" spans="1:29" s="30" customFormat="1" ht="15.75" customHeight="1">
      <c r="A200" s="77">
        <v>44205</v>
      </c>
      <c r="B200" s="75" t="s">
        <v>328</v>
      </c>
      <c r="C200" s="75" t="s">
        <v>329</v>
      </c>
      <c r="D200" s="91" t="s">
        <v>225</v>
      </c>
      <c r="E200" s="182" t="s">
        <v>330</v>
      </c>
      <c r="F200" s="75"/>
      <c r="G200" s="75">
        <v>4</v>
      </c>
      <c r="H200" s="75">
        <v>2</v>
      </c>
      <c r="I200" s="75" t="s">
        <v>14</v>
      </c>
      <c r="J200" s="75" t="s">
        <v>331</v>
      </c>
      <c r="K200" s="75" t="str">
        <f>_xlfn.XLOOKUP(L200,'Inst summary and ER calculation'!$B$3:$B$904,'Inst summary and ER calculation'!$I$3:$I$904)</f>
        <v>5-6 years</v>
      </c>
      <c r="L200" s="78">
        <v>42122</v>
      </c>
      <c r="M200" s="75" t="s">
        <v>13</v>
      </c>
      <c r="N200" s="75"/>
      <c r="O200" s="75"/>
      <c r="P200" s="75"/>
      <c r="Q200" s="75"/>
      <c r="R200" s="75"/>
      <c r="S200" s="75"/>
      <c r="T200" s="75"/>
      <c r="U200" s="31" t="str">
        <f t="shared" si="6"/>
        <v/>
      </c>
      <c r="V200" s="75"/>
      <c r="W200" s="75"/>
      <c r="X200" s="75"/>
      <c r="Y200" s="75"/>
      <c r="Z200" s="75"/>
      <c r="AA200" s="75"/>
      <c r="AB200" s="75"/>
      <c r="AC200" s="75"/>
    </row>
    <row r="201" spans="1:29" s="30" customFormat="1" ht="15">
      <c r="A201" s="77">
        <v>44211</v>
      </c>
      <c r="B201" s="75" t="s">
        <v>113</v>
      </c>
      <c r="C201" s="75" t="s">
        <v>774</v>
      </c>
      <c r="D201" s="75" t="s">
        <v>225</v>
      </c>
      <c r="E201" s="181" t="s">
        <v>775</v>
      </c>
      <c r="F201" s="75"/>
      <c r="G201" s="75">
        <v>4</v>
      </c>
      <c r="H201" s="75">
        <v>2</v>
      </c>
      <c r="I201" s="75" t="s">
        <v>14</v>
      </c>
      <c r="J201" s="75" t="s">
        <v>776</v>
      </c>
      <c r="K201" s="75" t="str">
        <f>_xlfn.XLOOKUP(L201,'Inst summary and ER calculation'!$B$3:$B$904,'Inst summary and ER calculation'!$I$3:$I$904)</f>
        <v>6-7 years</v>
      </c>
      <c r="L201" s="78">
        <v>41946</v>
      </c>
      <c r="M201" s="96" t="s">
        <v>13</v>
      </c>
      <c r="N201" s="75"/>
      <c r="O201" s="75"/>
      <c r="P201" s="75"/>
      <c r="Q201" s="75"/>
      <c r="R201" s="75"/>
      <c r="S201" s="75"/>
      <c r="T201" s="75"/>
      <c r="U201" s="31"/>
      <c r="V201" s="75"/>
      <c r="W201" s="75"/>
      <c r="X201" s="75"/>
      <c r="Y201" s="75"/>
      <c r="Z201" s="75"/>
      <c r="AA201" s="75"/>
      <c r="AB201" s="75"/>
      <c r="AC201" s="75"/>
    </row>
    <row r="202" spans="1:29" s="30" customFormat="1" ht="15.75" customHeight="1">
      <c r="A202" s="77">
        <v>44209</v>
      </c>
      <c r="B202" s="75" t="s">
        <v>104</v>
      </c>
      <c r="C202" s="75" t="s">
        <v>245</v>
      </c>
      <c r="D202" s="75" t="s">
        <v>225</v>
      </c>
      <c r="E202" s="181" t="s">
        <v>577</v>
      </c>
      <c r="F202" s="79"/>
      <c r="G202" s="75">
        <v>3</v>
      </c>
      <c r="H202" s="75">
        <v>1</v>
      </c>
      <c r="I202" s="96" t="s">
        <v>13</v>
      </c>
      <c r="J202" s="90" t="s">
        <v>578</v>
      </c>
      <c r="K202" s="75" t="str">
        <f>_xlfn.XLOOKUP(L202,'Inst summary and ER calculation'!$B$3:$B$904,'Inst summary and ER calculation'!$I$3:$I$904)</f>
        <v>6-7 years</v>
      </c>
      <c r="L202" s="90">
        <v>41890</v>
      </c>
      <c r="M202" s="96"/>
      <c r="N202" s="75"/>
      <c r="O202" s="75"/>
      <c r="P202" s="75"/>
      <c r="Q202" s="75"/>
      <c r="R202" s="75"/>
      <c r="S202" s="75"/>
      <c r="T202" s="75"/>
      <c r="U202" s="31"/>
      <c r="V202" s="75"/>
      <c r="W202" s="75"/>
      <c r="X202" s="75"/>
      <c r="Y202" s="75"/>
      <c r="Z202" s="75"/>
      <c r="AA202" s="75"/>
      <c r="AB202" s="75"/>
      <c r="AC202" s="75"/>
    </row>
    <row r="203" spans="1:29" s="30" customFormat="1" ht="15">
      <c r="A203" s="77">
        <v>44204</v>
      </c>
      <c r="B203" s="75" t="s">
        <v>138</v>
      </c>
      <c r="C203" s="75" t="s">
        <v>921</v>
      </c>
      <c r="D203" s="75" t="s">
        <v>225</v>
      </c>
      <c r="E203" s="182" t="s">
        <v>769</v>
      </c>
      <c r="F203" s="75"/>
      <c r="G203" s="75">
        <v>3</v>
      </c>
      <c r="H203" s="75">
        <v>1</v>
      </c>
      <c r="I203" s="96" t="s">
        <v>13</v>
      </c>
      <c r="J203" s="75" t="s">
        <v>770</v>
      </c>
      <c r="K203" s="75" t="str">
        <f>_xlfn.XLOOKUP(L203,'Inst summary and ER calculation'!$B$3:$B$904,'Inst summary and ER calculation'!$I$3:$I$904)</f>
        <v>6-7 years</v>
      </c>
      <c r="L203" s="78">
        <v>41941</v>
      </c>
      <c r="M203" s="96"/>
      <c r="N203" s="75"/>
      <c r="O203" s="75"/>
      <c r="P203" s="75"/>
      <c r="Q203" s="75"/>
      <c r="R203" s="75"/>
      <c r="S203" s="75"/>
      <c r="T203" s="75"/>
      <c r="U203" s="31"/>
      <c r="V203" s="75"/>
      <c r="W203" s="75"/>
      <c r="X203" s="75"/>
      <c r="Y203" s="75"/>
      <c r="Z203" s="75"/>
      <c r="AA203" s="75"/>
      <c r="AB203" s="75"/>
      <c r="AC203" s="75"/>
    </row>
  </sheetData>
  <autoFilter ref="A2:AC203" xr:uid="{00000000-0009-0000-0000-000005000000}">
    <sortState xmlns:xlrd2="http://schemas.microsoft.com/office/spreadsheetml/2017/richdata2" ref="A4:AC203">
      <sortCondition ref="D2:D203"/>
    </sortState>
  </autoFilter>
  <mergeCells count="26">
    <mergeCell ref="F1:F2"/>
    <mergeCell ref="A1:A2"/>
    <mergeCell ref="B1:B2"/>
    <mergeCell ref="C1:C2"/>
    <mergeCell ref="D1:D2"/>
    <mergeCell ref="E1:E2"/>
    <mergeCell ref="U1:U2"/>
    <mergeCell ref="G1:H1"/>
    <mergeCell ref="I1:I2"/>
    <mergeCell ref="J1:J2"/>
    <mergeCell ref="K1:K2"/>
    <mergeCell ref="L1:L2"/>
    <mergeCell ref="M1:M2"/>
    <mergeCell ref="N1:O1"/>
    <mergeCell ref="P1:P2"/>
    <mergeCell ref="Q1:Q2"/>
    <mergeCell ref="R1:R2"/>
    <mergeCell ref="S1:T1"/>
    <mergeCell ref="AB1:AB2"/>
    <mergeCell ref="AC1:AC2"/>
    <mergeCell ref="V1:V2"/>
    <mergeCell ref="W1:W2"/>
    <mergeCell ref="X1:X2"/>
    <mergeCell ref="Y1:Y2"/>
    <mergeCell ref="Z1:Z2"/>
    <mergeCell ref="AA1:AA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02"/>
  <sheetViews>
    <sheetView zoomScale="90" zoomScaleNormal="90" workbookViewId="0">
      <selection activeCell="E7" sqref="E7"/>
    </sheetView>
  </sheetViews>
  <sheetFormatPr defaultColWidth="9" defaultRowHeight="15"/>
  <cols>
    <col min="1" max="1" width="12.5" style="118" customWidth="1"/>
    <col min="2" max="2" width="23" style="117" bestFit="1" customWidth="1"/>
    <col min="3" max="3" width="28.5" style="118" bestFit="1" customWidth="1"/>
    <col min="4" max="4" width="11.5" style="118" bestFit="1" customWidth="1"/>
    <col min="5" max="5" width="46.375" style="118" customWidth="1"/>
    <col min="6" max="6" width="19.875" style="118" bestFit="1" customWidth="1"/>
    <col min="7" max="7" width="10.375" style="118" bestFit="1" customWidth="1"/>
    <col min="8" max="8" width="13" style="118" bestFit="1" customWidth="1"/>
    <col min="9" max="9" width="16.5" style="118" customWidth="1"/>
    <col min="10" max="10" width="24.5" style="118" bestFit="1" customWidth="1"/>
    <col min="11" max="11" width="10.875" style="118" bestFit="1" customWidth="1"/>
    <col min="12" max="12" width="14.5" style="119" bestFit="1" customWidth="1"/>
    <col min="13" max="13" width="12.875" style="118" customWidth="1"/>
    <col min="14" max="14" width="11" style="118" bestFit="1" customWidth="1"/>
    <col min="15" max="15" width="9.875" style="118" bestFit="1" customWidth="1"/>
    <col min="16" max="16" width="15.375" style="118" customWidth="1"/>
    <col min="17" max="17" width="15.875" style="118" customWidth="1"/>
    <col min="18" max="18" width="16.375" style="118" customWidth="1"/>
    <col min="19" max="20" width="11" style="118" customWidth="1"/>
    <col min="21" max="21" width="11.5" style="120" customWidth="1"/>
    <col min="22" max="28" width="11.5" style="118" customWidth="1"/>
    <col min="29" max="29" width="27" style="118" customWidth="1"/>
    <col min="30" max="30" width="0" style="118" hidden="1" customWidth="1"/>
    <col min="31" max="16384" width="9" style="118"/>
  </cols>
  <sheetData>
    <row r="1" spans="1:30" s="116" customFormat="1" ht="107.25" customHeight="1">
      <c r="A1" s="440" t="s">
        <v>197</v>
      </c>
      <c r="B1" s="440" t="s">
        <v>198</v>
      </c>
      <c r="C1" s="440" t="s">
        <v>199</v>
      </c>
      <c r="D1" s="440" t="s">
        <v>200</v>
      </c>
      <c r="E1" s="440" t="s">
        <v>201</v>
      </c>
      <c r="F1" s="440" t="s">
        <v>202</v>
      </c>
      <c r="G1" s="444" t="s">
        <v>203</v>
      </c>
      <c r="H1" s="445"/>
      <c r="I1" s="442" t="s">
        <v>204</v>
      </c>
      <c r="J1" s="442" t="s">
        <v>205</v>
      </c>
      <c r="K1" s="450" t="s">
        <v>206</v>
      </c>
      <c r="L1" s="446" t="s">
        <v>207</v>
      </c>
      <c r="M1" s="442" t="s">
        <v>208</v>
      </c>
      <c r="N1" s="444" t="s">
        <v>209</v>
      </c>
      <c r="O1" s="445"/>
      <c r="P1" s="442" t="s">
        <v>210</v>
      </c>
      <c r="Q1" s="442" t="s">
        <v>211</v>
      </c>
      <c r="R1" s="442" t="s">
        <v>953</v>
      </c>
      <c r="S1" s="448" t="s">
        <v>213</v>
      </c>
      <c r="T1" s="449"/>
      <c r="U1" s="450" t="s">
        <v>1531</v>
      </c>
      <c r="V1" s="442" t="s">
        <v>214</v>
      </c>
      <c r="W1" s="442" t="s">
        <v>215</v>
      </c>
      <c r="X1" s="442" t="s">
        <v>216</v>
      </c>
      <c r="Y1" s="442" t="s">
        <v>217</v>
      </c>
      <c r="Z1" s="442" t="s">
        <v>218</v>
      </c>
      <c r="AA1" s="442" t="s">
        <v>219</v>
      </c>
      <c r="AB1" s="442" t="s">
        <v>220</v>
      </c>
      <c r="AC1" s="442" t="s">
        <v>221</v>
      </c>
      <c r="AD1" s="115"/>
    </row>
    <row r="2" spans="1:30" ht="30">
      <c r="A2" s="441"/>
      <c r="B2" s="441"/>
      <c r="C2" s="441"/>
      <c r="D2" s="441"/>
      <c r="E2" s="441"/>
      <c r="F2" s="441"/>
      <c r="G2" s="114" t="s">
        <v>116</v>
      </c>
      <c r="H2" s="114" t="s">
        <v>222</v>
      </c>
      <c r="I2" s="443"/>
      <c r="J2" s="443"/>
      <c r="K2" s="451"/>
      <c r="L2" s="447"/>
      <c r="M2" s="443"/>
      <c r="N2" s="114" t="s">
        <v>223</v>
      </c>
      <c r="O2" s="114" t="s">
        <v>224</v>
      </c>
      <c r="P2" s="443"/>
      <c r="Q2" s="443"/>
      <c r="R2" s="443"/>
      <c r="S2" s="114" t="s">
        <v>223</v>
      </c>
      <c r="T2" s="114" t="s">
        <v>224</v>
      </c>
      <c r="U2" s="451"/>
      <c r="V2" s="443"/>
      <c r="W2" s="443"/>
      <c r="X2" s="443"/>
      <c r="Y2" s="443"/>
      <c r="Z2" s="443"/>
      <c r="AA2" s="443"/>
      <c r="AB2" s="443"/>
      <c r="AC2" s="443"/>
      <c r="AD2" s="117"/>
    </row>
    <row r="3" spans="1:30" s="304" customFormat="1">
      <c r="A3" s="298">
        <v>44566</v>
      </c>
      <c r="B3" s="299" t="s">
        <v>1057</v>
      </c>
      <c r="C3" s="299" t="s">
        <v>1058</v>
      </c>
      <c r="D3" s="299" t="s">
        <v>225</v>
      </c>
      <c r="E3" s="299" t="s">
        <v>1059</v>
      </c>
      <c r="F3" s="299"/>
      <c r="G3" s="299">
        <v>2</v>
      </c>
      <c r="H3" s="299">
        <v>2</v>
      </c>
      <c r="I3" s="299" t="s">
        <v>14</v>
      </c>
      <c r="J3" s="300" t="s">
        <v>1060</v>
      </c>
      <c r="K3" s="301" t="s">
        <v>274</v>
      </c>
      <c r="L3" s="302">
        <v>42135</v>
      </c>
      <c r="M3" s="299" t="s">
        <v>14</v>
      </c>
      <c r="N3" s="299">
        <v>21</v>
      </c>
      <c r="O3" s="299">
        <v>90</v>
      </c>
      <c r="P3" s="299" t="s">
        <v>14</v>
      </c>
      <c r="Q3" s="299" t="s">
        <v>13</v>
      </c>
      <c r="R3" s="303"/>
      <c r="S3" s="303"/>
      <c r="T3" s="303"/>
      <c r="U3" s="173" t="str">
        <f t="shared" ref="U3:U34" si="0">IF(R3="Yes",MAX(S3/(S3+N3),T3/(T3+O3)),"")</f>
        <v/>
      </c>
      <c r="V3" s="299" t="s">
        <v>14</v>
      </c>
      <c r="W3" s="299" t="s">
        <v>14</v>
      </c>
      <c r="X3" s="299" t="s">
        <v>14</v>
      </c>
      <c r="Y3" s="299" t="s">
        <v>14</v>
      </c>
      <c r="Z3" s="299" t="s">
        <v>14</v>
      </c>
      <c r="AA3" s="299" t="s">
        <v>14</v>
      </c>
      <c r="AB3" s="299" t="s">
        <v>14</v>
      </c>
      <c r="AC3" s="299" t="s">
        <v>1612</v>
      </c>
    </row>
    <row r="4" spans="1:30" s="304" customFormat="1">
      <c r="A4" s="298">
        <v>44565</v>
      </c>
      <c r="B4" s="299" t="s">
        <v>120</v>
      </c>
      <c r="C4" s="299" t="s">
        <v>1078</v>
      </c>
      <c r="D4" s="299" t="s">
        <v>226</v>
      </c>
      <c r="E4" s="299" t="s">
        <v>1079</v>
      </c>
      <c r="F4" s="299"/>
      <c r="G4" s="299">
        <v>2</v>
      </c>
      <c r="H4" s="299">
        <v>1</v>
      </c>
      <c r="I4" s="299" t="s">
        <v>14</v>
      </c>
      <c r="J4" s="300" t="s">
        <v>1080</v>
      </c>
      <c r="K4" s="301" t="s">
        <v>274</v>
      </c>
      <c r="L4" s="302">
        <v>42075</v>
      </c>
      <c r="M4" s="299" t="s">
        <v>14</v>
      </c>
      <c r="N4" s="299">
        <v>18</v>
      </c>
      <c r="O4" s="299">
        <v>76</v>
      </c>
      <c r="P4" s="299" t="s">
        <v>14</v>
      </c>
      <c r="Q4" s="299" t="s">
        <v>13</v>
      </c>
      <c r="R4" s="303"/>
      <c r="S4" s="303"/>
      <c r="T4" s="303"/>
      <c r="U4" s="173" t="str">
        <f t="shared" si="0"/>
        <v/>
      </c>
      <c r="V4" s="299" t="s">
        <v>14</v>
      </c>
      <c r="W4" s="299" t="s">
        <v>14</v>
      </c>
      <c r="X4" s="299" t="s">
        <v>14</v>
      </c>
      <c r="Y4" s="299" t="s">
        <v>14</v>
      </c>
      <c r="Z4" s="299" t="s">
        <v>14</v>
      </c>
      <c r="AA4" s="299" t="s">
        <v>14</v>
      </c>
      <c r="AB4" s="299" t="s">
        <v>14</v>
      </c>
      <c r="AC4" s="299" t="s">
        <v>1612</v>
      </c>
    </row>
    <row r="5" spans="1:30" s="304" customFormat="1">
      <c r="A5" s="298">
        <v>44566</v>
      </c>
      <c r="B5" s="299" t="s">
        <v>1099</v>
      </c>
      <c r="C5" s="299" t="s">
        <v>1288</v>
      </c>
      <c r="D5" s="299" t="s">
        <v>226</v>
      </c>
      <c r="E5" s="299" t="s">
        <v>1289</v>
      </c>
      <c r="F5" s="299"/>
      <c r="G5" s="299">
        <v>2</v>
      </c>
      <c r="H5" s="299">
        <v>1</v>
      </c>
      <c r="I5" s="299" t="s">
        <v>14</v>
      </c>
      <c r="J5" s="300" t="s">
        <v>1290</v>
      </c>
      <c r="K5" s="301" t="s">
        <v>952</v>
      </c>
      <c r="L5" s="302">
        <v>41981</v>
      </c>
      <c r="M5" s="299" t="s">
        <v>14</v>
      </c>
      <c r="N5" s="299">
        <v>21</v>
      </c>
      <c r="O5" s="299">
        <v>90</v>
      </c>
      <c r="P5" s="299" t="s">
        <v>14</v>
      </c>
      <c r="Q5" s="299" t="s">
        <v>13</v>
      </c>
      <c r="R5" s="303"/>
      <c r="S5" s="303"/>
      <c r="T5" s="303"/>
      <c r="U5" s="173" t="str">
        <f t="shared" si="0"/>
        <v/>
      </c>
      <c r="V5" s="299" t="s">
        <v>14</v>
      </c>
      <c r="W5" s="299" t="s">
        <v>14</v>
      </c>
      <c r="X5" s="299" t="s">
        <v>14</v>
      </c>
      <c r="Y5" s="299" t="s">
        <v>14</v>
      </c>
      <c r="Z5" s="299" t="s">
        <v>14</v>
      </c>
      <c r="AA5" s="299" t="s">
        <v>14</v>
      </c>
      <c r="AB5" s="299" t="s">
        <v>14</v>
      </c>
      <c r="AC5" s="299" t="s">
        <v>1613</v>
      </c>
    </row>
    <row r="6" spans="1:30" s="304" customFormat="1">
      <c r="A6" s="298">
        <v>44571</v>
      </c>
      <c r="B6" s="299" t="s">
        <v>1099</v>
      </c>
      <c r="C6" s="299" t="s">
        <v>1100</v>
      </c>
      <c r="D6" s="299" t="s">
        <v>225</v>
      </c>
      <c r="E6" s="299" t="s">
        <v>1101</v>
      </c>
      <c r="F6" s="299"/>
      <c r="G6" s="299">
        <v>2</v>
      </c>
      <c r="H6" s="299">
        <v>2</v>
      </c>
      <c r="I6" s="299" t="s">
        <v>14</v>
      </c>
      <c r="J6" s="300" t="s">
        <v>1102</v>
      </c>
      <c r="K6" s="301" t="s">
        <v>952</v>
      </c>
      <c r="L6" s="302">
        <v>41998</v>
      </c>
      <c r="M6" s="299" t="s">
        <v>14</v>
      </c>
      <c r="N6" s="299">
        <v>14</v>
      </c>
      <c r="O6" s="299">
        <v>60</v>
      </c>
      <c r="P6" s="299" t="s">
        <v>14</v>
      </c>
      <c r="Q6" s="299" t="s">
        <v>13</v>
      </c>
      <c r="R6" s="303"/>
      <c r="S6" s="303"/>
      <c r="T6" s="303"/>
      <c r="U6" s="173" t="str">
        <f t="shared" si="0"/>
        <v/>
      </c>
      <c r="V6" s="299" t="s">
        <v>14</v>
      </c>
      <c r="W6" s="299" t="s">
        <v>14</v>
      </c>
      <c r="X6" s="299" t="s">
        <v>14</v>
      </c>
      <c r="Y6" s="299" t="s">
        <v>14</v>
      </c>
      <c r="Z6" s="299" t="s">
        <v>14</v>
      </c>
      <c r="AA6" s="299" t="s">
        <v>14</v>
      </c>
      <c r="AB6" s="299" t="s">
        <v>14</v>
      </c>
      <c r="AC6" s="299" t="s">
        <v>1613</v>
      </c>
    </row>
    <row r="7" spans="1:30" s="304" customFormat="1">
      <c r="A7" s="298">
        <v>44571</v>
      </c>
      <c r="B7" s="299" t="s">
        <v>1144</v>
      </c>
      <c r="C7" s="299" t="s">
        <v>1387</v>
      </c>
      <c r="D7" s="299" t="s">
        <v>226</v>
      </c>
      <c r="E7" s="298" t="s">
        <v>1388</v>
      </c>
      <c r="F7" s="299"/>
      <c r="G7" s="299">
        <v>10</v>
      </c>
      <c r="H7" s="299">
        <v>1</v>
      </c>
      <c r="I7" s="299" t="s">
        <v>14</v>
      </c>
      <c r="J7" s="300" t="s">
        <v>1389</v>
      </c>
      <c r="K7" s="301" t="s">
        <v>274</v>
      </c>
      <c r="L7" s="302">
        <v>42154</v>
      </c>
      <c r="M7" s="299" t="s">
        <v>14</v>
      </c>
      <c r="N7" s="299">
        <v>14</v>
      </c>
      <c r="O7" s="299">
        <v>60</v>
      </c>
      <c r="P7" s="299" t="s">
        <v>14</v>
      </c>
      <c r="Q7" s="299" t="s">
        <v>13</v>
      </c>
      <c r="R7" s="303"/>
      <c r="S7" s="303"/>
      <c r="T7" s="303"/>
      <c r="U7" s="173" t="str">
        <f t="shared" si="0"/>
        <v/>
      </c>
      <c r="V7" s="299" t="s">
        <v>14</v>
      </c>
      <c r="W7" s="299" t="s">
        <v>14</v>
      </c>
      <c r="X7" s="299" t="s">
        <v>14</v>
      </c>
      <c r="Y7" s="299" t="s">
        <v>14</v>
      </c>
      <c r="Z7" s="299" t="s">
        <v>14</v>
      </c>
      <c r="AA7" s="299" t="s">
        <v>14</v>
      </c>
      <c r="AB7" s="299" t="s">
        <v>14</v>
      </c>
      <c r="AC7" s="299" t="s">
        <v>1614</v>
      </c>
    </row>
    <row r="8" spans="1:30" s="304" customFormat="1">
      <c r="A8" s="298">
        <v>44565</v>
      </c>
      <c r="B8" s="299" t="s">
        <v>1140</v>
      </c>
      <c r="C8" s="299" t="s">
        <v>1141</v>
      </c>
      <c r="D8" s="299" t="s">
        <v>226</v>
      </c>
      <c r="E8" s="299" t="s">
        <v>1142</v>
      </c>
      <c r="F8" s="299"/>
      <c r="G8" s="299">
        <v>5</v>
      </c>
      <c r="H8" s="299">
        <v>3</v>
      </c>
      <c r="I8" s="299" t="s">
        <v>14</v>
      </c>
      <c r="J8" s="300" t="s">
        <v>1143</v>
      </c>
      <c r="K8" s="301" t="s">
        <v>952</v>
      </c>
      <c r="L8" s="302">
        <v>41954</v>
      </c>
      <c r="M8" s="299" t="s">
        <v>14</v>
      </c>
      <c r="N8" s="299">
        <v>14</v>
      </c>
      <c r="O8" s="299">
        <v>60</v>
      </c>
      <c r="P8" s="299" t="s">
        <v>14</v>
      </c>
      <c r="Q8" s="299" t="s">
        <v>13</v>
      </c>
      <c r="R8" s="303"/>
      <c r="S8" s="303"/>
      <c r="T8" s="303"/>
      <c r="U8" s="173" t="str">
        <f t="shared" si="0"/>
        <v/>
      </c>
      <c r="V8" s="299" t="s">
        <v>14</v>
      </c>
      <c r="W8" s="299" t="s">
        <v>14</v>
      </c>
      <c r="X8" s="299" t="s">
        <v>14</v>
      </c>
      <c r="Y8" s="299" t="s">
        <v>14</v>
      </c>
      <c r="Z8" s="299" t="s">
        <v>14</v>
      </c>
      <c r="AA8" s="299" t="s">
        <v>14</v>
      </c>
      <c r="AB8" s="299" t="s">
        <v>14</v>
      </c>
      <c r="AC8" s="299" t="s">
        <v>1613</v>
      </c>
    </row>
    <row r="9" spans="1:30" s="304" customFormat="1">
      <c r="A9" s="298">
        <v>44570</v>
      </c>
      <c r="B9" s="299" t="s">
        <v>1099</v>
      </c>
      <c r="C9" s="299" t="s">
        <v>1363</v>
      </c>
      <c r="D9" s="299" t="s">
        <v>226</v>
      </c>
      <c r="E9" s="298" t="s">
        <v>1364</v>
      </c>
      <c r="F9" s="299"/>
      <c r="G9" s="299">
        <v>5</v>
      </c>
      <c r="H9" s="299">
        <v>3</v>
      </c>
      <c r="I9" s="299" t="s">
        <v>14</v>
      </c>
      <c r="J9" s="300" t="s">
        <v>1365</v>
      </c>
      <c r="K9" s="301" t="s">
        <v>274</v>
      </c>
      <c r="L9" s="302">
        <v>42075</v>
      </c>
      <c r="M9" s="299" t="s">
        <v>14</v>
      </c>
      <c r="N9" s="299">
        <v>21</v>
      </c>
      <c r="O9" s="299">
        <v>90</v>
      </c>
      <c r="P9" s="299" t="s">
        <v>14</v>
      </c>
      <c r="Q9" s="299" t="s">
        <v>13</v>
      </c>
      <c r="R9" s="303"/>
      <c r="S9" s="303"/>
      <c r="T9" s="303"/>
      <c r="U9" s="173" t="str">
        <f t="shared" si="0"/>
        <v/>
      </c>
      <c r="V9" s="299" t="s">
        <v>14</v>
      </c>
      <c r="W9" s="299" t="s">
        <v>14</v>
      </c>
      <c r="X9" s="299" t="s">
        <v>14</v>
      </c>
      <c r="Y9" s="299" t="s">
        <v>14</v>
      </c>
      <c r="Z9" s="299" t="s">
        <v>14</v>
      </c>
      <c r="AA9" s="299" t="s">
        <v>14</v>
      </c>
      <c r="AB9" s="299" t="s">
        <v>14</v>
      </c>
      <c r="AC9" s="299" t="s">
        <v>1615</v>
      </c>
    </row>
    <row r="10" spans="1:30" s="304" customFormat="1">
      <c r="A10" s="298">
        <v>44566</v>
      </c>
      <c r="B10" s="299" t="s">
        <v>1057</v>
      </c>
      <c r="C10" s="299" t="s">
        <v>1350</v>
      </c>
      <c r="D10" s="299" t="s">
        <v>225</v>
      </c>
      <c r="E10" s="298" t="s">
        <v>1351</v>
      </c>
      <c r="F10" s="299"/>
      <c r="G10" s="299">
        <v>4</v>
      </c>
      <c r="H10" s="299">
        <v>2</v>
      </c>
      <c r="I10" s="299" t="s">
        <v>14</v>
      </c>
      <c r="J10" s="300" t="s">
        <v>1352</v>
      </c>
      <c r="K10" s="301" t="s">
        <v>952</v>
      </c>
      <c r="L10" s="302">
        <v>42001</v>
      </c>
      <c r="M10" s="299" t="s">
        <v>14</v>
      </c>
      <c r="N10" s="299">
        <v>18</v>
      </c>
      <c r="O10" s="299">
        <v>75</v>
      </c>
      <c r="P10" s="299" t="s">
        <v>14</v>
      </c>
      <c r="Q10" s="299" t="s">
        <v>13</v>
      </c>
      <c r="R10" s="303"/>
      <c r="S10" s="303"/>
      <c r="T10" s="303"/>
      <c r="U10" s="173" t="str">
        <f t="shared" si="0"/>
        <v/>
      </c>
      <c r="V10" s="299" t="s">
        <v>14</v>
      </c>
      <c r="W10" s="299" t="s">
        <v>14</v>
      </c>
      <c r="X10" s="299" t="s">
        <v>14</v>
      </c>
      <c r="Y10" s="299" t="s">
        <v>14</v>
      </c>
      <c r="Z10" s="299" t="s">
        <v>14</v>
      </c>
      <c r="AA10" s="299" t="s">
        <v>14</v>
      </c>
      <c r="AB10" s="299" t="s">
        <v>14</v>
      </c>
      <c r="AC10" s="299" t="s">
        <v>1612</v>
      </c>
    </row>
    <row r="11" spans="1:30" s="304" customFormat="1">
      <c r="A11" s="298">
        <v>44564</v>
      </c>
      <c r="B11" s="299" t="s">
        <v>123</v>
      </c>
      <c r="C11" s="299" t="s">
        <v>984</v>
      </c>
      <c r="D11" s="299" t="s">
        <v>225</v>
      </c>
      <c r="E11" s="299" t="s">
        <v>985</v>
      </c>
      <c r="F11" s="299"/>
      <c r="G11" s="299">
        <v>2</v>
      </c>
      <c r="H11" s="299">
        <v>2</v>
      </c>
      <c r="I11" s="299" t="s">
        <v>14</v>
      </c>
      <c r="J11" s="300" t="s">
        <v>986</v>
      </c>
      <c r="K11" s="301" t="s">
        <v>274</v>
      </c>
      <c r="L11" s="302">
        <v>42124</v>
      </c>
      <c r="M11" s="299" t="s">
        <v>14</v>
      </c>
      <c r="N11" s="299">
        <v>17</v>
      </c>
      <c r="O11" s="299">
        <v>80</v>
      </c>
      <c r="P11" s="299" t="s">
        <v>14</v>
      </c>
      <c r="Q11" s="299" t="s">
        <v>13</v>
      </c>
      <c r="R11" s="303"/>
      <c r="S11" s="303"/>
      <c r="T11" s="303"/>
      <c r="U11" s="173" t="str">
        <f t="shared" si="0"/>
        <v/>
      </c>
      <c r="V11" s="299" t="s">
        <v>14</v>
      </c>
      <c r="W11" s="299" t="s">
        <v>14</v>
      </c>
      <c r="X11" s="299" t="s">
        <v>14</v>
      </c>
      <c r="Y11" s="299" t="s">
        <v>14</v>
      </c>
      <c r="Z11" s="299" t="s">
        <v>14</v>
      </c>
      <c r="AA11" s="299" t="s">
        <v>14</v>
      </c>
      <c r="AB11" s="299" t="s">
        <v>14</v>
      </c>
      <c r="AC11" s="299"/>
    </row>
    <row r="12" spans="1:30" s="304" customFormat="1">
      <c r="A12" s="298">
        <v>44572</v>
      </c>
      <c r="B12" s="299" t="s">
        <v>1027</v>
      </c>
      <c r="C12" s="299" t="s">
        <v>1429</v>
      </c>
      <c r="D12" s="299" t="s">
        <v>226</v>
      </c>
      <c r="E12" s="298" t="s">
        <v>1430</v>
      </c>
      <c r="F12" s="299"/>
      <c r="G12" s="299">
        <v>2</v>
      </c>
      <c r="H12" s="299">
        <v>1</v>
      </c>
      <c r="I12" s="299" t="s">
        <v>14</v>
      </c>
      <c r="J12" s="300" t="s">
        <v>1431</v>
      </c>
      <c r="K12" s="301" t="s">
        <v>952</v>
      </c>
      <c r="L12" s="302">
        <v>41943</v>
      </c>
      <c r="M12" s="299" t="s">
        <v>14</v>
      </c>
      <c r="N12" s="299">
        <v>21</v>
      </c>
      <c r="O12" s="299">
        <v>90</v>
      </c>
      <c r="P12" s="299" t="s">
        <v>14</v>
      </c>
      <c r="Q12" s="299" t="s">
        <v>13</v>
      </c>
      <c r="R12" s="303"/>
      <c r="S12" s="303"/>
      <c r="T12" s="303"/>
      <c r="U12" s="173" t="str">
        <f t="shared" si="0"/>
        <v/>
      </c>
      <c r="V12" s="299" t="s">
        <v>14</v>
      </c>
      <c r="W12" s="299" t="s">
        <v>14</v>
      </c>
      <c r="X12" s="299" t="s">
        <v>14</v>
      </c>
      <c r="Y12" s="299" t="s">
        <v>14</v>
      </c>
      <c r="Z12" s="299" t="s">
        <v>14</v>
      </c>
      <c r="AA12" s="299" t="s">
        <v>14</v>
      </c>
      <c r="AB12" s="299" t="s">
        <v>14</v>
      </c>
      <c r="AC12" s="299"/>
    </row>
    <row r="13" spans="1:30" s="304" customFormat="1">
      <c r="A13" s="298">
        <v>44573</v>
      </c>
      <c r="B13" s="299" t="s">
        <v>1027</v>
      </c>
      <c r="C13" s="299" t="s">
        <v>1150</v>
      </c>
      <c r="D13" s="299" t="s">
        <v>226</v>
      </c>
      <c r="E13" s="299" t="s">
        <v>1151</v>
      </c>
      <c r="F13" s="299"/>
      <c r="G13" s="299">
        <v>2</v>
      </c>
      <c r="H13" s="299">
        <v>2</v>
      </c>
      <c r="I13" s="299" t="s">
        <v>14</v>
      </c>
      <c r="J13" s="305" t="s">
        <v>1152</v>
      </c>
      <c r="K13" s="301" t="s">
        <v>952</v>
      </c>
      <c r="L13" s="302">
        <v>41927</v>
      </c>
      <c r="M13" s="299" t="s">
        <v>14</v>
      </c>
      <c r="N13" s="299">
        <v>21</v>
      </c>
      <c r="O13" s="299">
        <v>90</v>
      </c>
      <c r="P13" s="299" t="s">
        <v>14</v>
      </c>
      <c r="Q13" s="299" t="s">
        <v>13</v>
      </c>
      <c r="R13" s="303"/>
      <c r="S13" s="303"/>
      <c r="T13" s="303"/>
      <c r="U13" s="173" t="str">
        <f t="shared" si="0"/>
        <v/>
      </c>
      <c r="V13" s="299" t="s">
        <v>14</v>
      </c>
      <c r="W13" s="299" t="s">
        <v>14</v>
      </c>
      <c r="X13" s="299" t="s">
        <v>14</v>
      </c>
      <c r="Y13" s="299" t="s">
        <v>14</v>
      </c>
      <c r="Z13" s="299" t="s">
        <v>14</v>
      </c>
      <c r="AA13" s="299" t="s">
        <v>14</v>
      </c>
      <c r="AB13" s="299" t="s">
        <v>14</v>
      </c>
      <c r="AC13" s="299"/>
    </row>
    <row r="14" spans="1:30" s="304" customFormat="1">
      <c r="A14" s="298">
        <v>44573</v>
      </c>
      <c r="B14" s="299" t="s">
        <v>1027</v>
      </c>
      <c r="C14" s="299" t="s">
        <v>940</v>
      </c>
      <c r="D14" s="299" t="s">
        <v>226</v>
      </c>
      <c r="E14" s="299" t="s">
        <v>1148</v>
      </c>
      <c r="F14" s="299"/>
      <c r="G14" s="299">
        <v>3</v>
      </c>
      <c r="H14" s="299">
        <v>2</v>
      </c>
      <c r="I14" s="299" t="s">
        <v>14</v>
      </c>
      <c r="J14" s="305" t="s">
        <v>1149</v>
      </c>
      <c r="K14" s="301" t="s">
        <v>952</v>
      </c>
      <c r="L14" s="302">
        <v>41929</v>
      </c>
      <c r="M14" s="299" t="s">
        <v>14</v>
      </c>
      <c r="N14" s="299">
        <v>21</v>
      </c>
      <c r="O14" s="299">
        <v>90</v>
      </c>
      <c r="P14" s="299" t="s">
        <v>14</v>
      </c>
      <c r="Q14" s="299" t="s">
        <v>13</v>
      </c>
      <c r="R14" s="303"/>
      <c r="S14" s="303"/>
      <c r="T14" s="303"/>
      <c r="U14" s="173" t="str">
        <f t="shared" si="0"/>
        <v/>
      </c>
      <c r="V14" s="299" t="s">
        <v>14</v>
      </c>
      <c r="W14" s="299" t="s">
        <v>14</v>
      </c>
      <c r="X14" s="299" t="s">
        <v>14</v>
      </c>
      <c r="Y14" s="299" t="s">
        <v>14</v>
      </c>
      <c r="Z14" s="299" t="s">
        <v>14</v>
      </c>
      <c r="AA14" s="299" t="s">
        <v>14</v>
      </c>
      <c r="AB14" s="299" t="s">
        <v>14</v>
      </c>
      <c r="AC14" s="299"/>
    </row>
    <row r="15" spans="1:30" s="304" customFormat="1">
      <c r="A15" s="298">
        <v>44577</v>
      </c>
      <c r="B15" s="299" t="s">
        <v>1265</v>
      </c>
      <c r="C15" s="299" t="s">
        <v>1266</v>
      </c>
      <c r="D15" s="299" t="s">
        <v>225</v>
      </c>
      <c r="E15" s="299" t="s">
        <v>1267</v>
      </c>
      <c r="F15" s="299"/>
      <c r="G15" s="299">
        <v>2</v>
      </c>
      <c r="H15" s="299">
        <v>4</v>
      </c>
      <c r="I15" s="299" t="s">
        <v>14</v>
      </c>
      <c r="J15" s="300" t="s">
        <v>1268</v>
      </c>
      <c r="K15" s="301" t="s">
        <v>274</v>
      </c>
      <c r="L15" s="302">
        <v>42162</v>
      </c>
      <c r="M15" s="299" t="s">
        <v>14</v>
      </c>
      <c r="N15" s="299">
        <v>14</v>
      </c>
      <c r="O15" s="299">
        <v>60</v>
      </c>
      <c r="P15" s="299" t="s">
        <v>14</v>
      </c>
      <c r="Q15" s="299" t="s">
        <v>13</v>
      </c>
      <c r="R15" s="303"/>
      <c r="S15" s="303"/>
      <c r="T15" s="303"/>
      <c r="U15" s="173" t="str">
        <f t="shared" si="0"/>
        <v/>
      </c>
      <c r="V15" s="299" t="s">
        <v>14</v>
      </c>
      <c r="W15" s="299" t="s">
        <v>14</v>
      </c>
      <c r="X15" s="299" t="s">
        <v>14</v>
      </c>
      <c r="Y15" s="299" t="s">
        <v>14</v>
      </c>
      <c r="Z15" s="299" t="s">
        <v>14</v>
      </c>
      <c r="AA15" s="299" t="s">
        <v>14</v>
      </c>
      <c r="AB15" s="299" t="s">
        <v>14</v>
      </c>
      <c r="AC15" s="299"/>
    </row>
    <row r="16" spans="1:30" s="304" customFormat="1">
      <c r="A16" s="298">
        <v>44570</v>
      </c>
      <c r="B16" s="299" t="s">
        <v>954</v>
      </c>
      <c r="C16" s="299" t="s">
        <v>955</v>
      </c>
      <c r="D16" s="299" t="s">
        <v>226</v>
      </c>
      <c r="E16" s="299" t="s">
        <v>956</v>
      </c>
      <c r="F16" s="299"/>
      <c r="G16" s="299">
        <v>3</v>
      </c>
      <c r="H16" s="299">
        <v>0</v>
      </c>
      <c r="I16" s="299" t="s">
        <v>14</v>
      </c>
      <c r="J16" s="300" t="s">
        <v>957</v>
      </c>
      <c r="K16" s="301" t="s">
        <v>952</v>
      </c>
      <c r="L16" s="302">
        <v>41988</v>
      </c>
      <c r="M16" s="299" t="s">
        <v>14</v>
      </c>
      <c r="N16" s="299">
        <v>21</v>
      </c>
      <c r="O16" s="299">
        <v>90</v>
      </c>
      <c r="P16" s="299" t="s">
        <v>14</v>
      </c>
      <c r="Q16" s="299" t="s">
        <v>13</v>
      </c>
      <c r="R16" s="303"/>
      <c r="S16" s="303"/>
      <c r="T16" s="303"/>
      <c r="U16" s="173" t="str">
        <f t="shared" si="0"/>
        <v/>
      </c>
      <c r="V16" s="299" t="s">
        <v>14</v>
      </c>
      <c r="W16" s="299" t="s">
        <v>14</v>
      </c>
      <c r="X16" s="299" t="s">
        <v>14</v>
      </c>
      <c r="Y16" s="299" t="s">
        <v>14</v>
      </c>
      <c r="Z16" s="299" t="s">
        <v>14</v>
      </c>
      <c r="AA16" s="299" t="s">
        <v>14</v>
      </c>
      <c r="AB16" s="299" t="s">
        <v>14</v>
      </c>
      <c r="AC16" s="299"/>
    </row>
    <row r="17" spans="1:29" s="304" customFormat="1">
      <c r="A17" s="298">
        <v>44578</v>
      </c>
      <c r="B17" s="299" t="s">
        <v>974</v>
      </c>
      <c r="C17" s="299" t="s">
        <v>975</v>
      </c>
      <c r="D17" s="299" t="s">
        <v>225</v>
      </c>
      <c r="E17" s="299" t="s">
        <v>976</v>
      </c>
      <c r="F17" s="299"/>
      <c r="G17" s="299">
        <v>3</v>
      </c>
      <c r="H17" s="299">
        <v>2</v>
      </c>
      <c r="I17" s="299" t="s">
        <v>14</v>
      </c>
      <c r="J17" s="300" t="s">
        <v>977</v>
      </c>
      <c r="K17" s="301" t="s">
        <v>952</v>
      </c>
      <c r="L17" s="302">
        <v>41941</v>
      </c>
      <c r="M17" s="299" t="s">
        <v>14</v>
      </c>
      <c r="N17" s="299">
        <v>12</v>
      </c>
      <c r="O17" s="299">
        <v>50</v>
      </c>
      <c r="P17" s="299" t="s">
        <v>14</v>
      </c>
      <c r="Q17" s="299" t="s">
        <v>14</v>
      </c>
      <c r="R17" s="299" t="s">
        <v>14</v>
      </c>
      <c r="S17" s="299">
        <v>6</v>
      </c>
      <c r="T17" s="299">
        <v>25</v>
      </c>
      <c r="U17" s="173">
        <f t="shared" si="0"/>
        <v>0.33333333333333331</v>
      </c>
      <c r="V17" s="299" t="s">
        <v>14</v>
      </c>
      <c r="W17" s="299" t="s">
        <v>14</v>
      </c>
      <c r="X17" s="299" t="s">
        <v>14</v>
      </c>
      <c r="Y17" s="299" t="s">
        <v>14</v>
      </c>
      <c r="Z17" s="299" t="s">
        <v>14</v>
      </c>
      <c r="AA17" s="299" t="s">
        <v>14</v>
      </c>
      <c r="AB17" s="299" t="s">
        <v>14</v>
      </c>
      <c r="AC17" s="299"/>
    </row>
    <row r="18" spans="1:29" s="304" customFormat="1">
      <c r="A18" s="298">
        <v>44578</v>
      </c>
      <c r="B18" s="299" t="s">
        <v>1552</v>
      </c>
      <c r="C18" s="299" t="s">
        <v>1458</v>
      </c>
      <c r="D18" s="299" t="s">
        <v>225</v>
      </c>
      <c r="E18" s="299" t="s">
        <v>1585</v>
      </c>
      <c r="F18" s="299"/>
      <c r="G18" s="299">
        <v>3</v>
      </c>
      <c r="H18" s="299">
        <v>2</v>
      </c>
      <c r="I18" s="299" t="s">
        <v>13</v>
      </c>
      <c r="J18" s="306" t="s">
        <v>1459</v>
      </c>
      <c r="K18" s="301" t="s">
        <v>274</v>
      </c>
      <c r="L18" s="302">
        <v>42138</v>
      </c>
      <c r="M18" s="299"/>
      <c r="N18" s="299"/>
      <c r="O18" s="299"/>
      <c r="P18" s="299"/>
      <c r="Q18" s="299"/>
      <c r="R18" s="299"/>
      <c r="S18" s="299"/>
      <c r="T18" s="299"/>
      <c r="U18" s="173" t="str">
        <f t="shared" si="0"/>
        <v/>
      </c>
      <c r="V18" s="299"/>
      <c r="W18" s="299"/>
      <c r="X18" s="299"/>
      <c r="Y18" s="299"/>
      <c r="Z18" s="299"/>
      <c r="AA18" s="299"/>
      <c r="AB18" s="299"/>
      <c r="AC18" s="299"/>
    </row>
    <row r="19" spans="1:29" s="304" customFormat="1">
      <c r="A19" s="298">
        <v>44566</v>
      </c>
      <c r="B19" s="299" t="s">
        <v>247</v>
      </c>
      <c r="C19" s="299" t="s">
        <v>987</v>
      </c>
      <c r="D19" s="299" t="s">
        <v>226</v>
      </c>
      <c r="E19" s="299" t="s">
        <v>988</v>
      </c>
      <c r="F19" s="299"/>
      <c r="G19" s="299">
        <v>3</v>
      </c>
      <c r="H19" s="299">
        <v>3</v>
      </c>
      <c r="I19" s="299" t="s">
        <v>14</v>
      </c>
      <c r="J19" s="300" t="s">
        <v>989</v>
      </c>
      <c r="K19" s="301" t="s">
        <v>274</v>
      </c>
      <c r="L19" s="302">
        <v>42109</v>
      </c>
      <c r="M19" s="299" t="s">
        <v>14</v>
      </c>
      <c r="N19" s="299">
        <v>19</v>
      </c>
      <c r="O19" s="299">
        <v>75</v>
      </c>
      <c r="P19" s="299" t="s">
        <v>14</v>
      </c>
      <c r="Q19" s="299" t="s">
        <v>13</v>
      </c>
      <c r="R19" s="303"/>
      <c r="S19" s="303"/>
      <c r="T19" s="303"/>
      <c r="U19" s="173" t="str">
        <f t="shared" si="0"/>
        <v/>
      </c>
      <c r="V19" s="299" t="s">
        <v>14</v>
      </c>
      <c r="W19" s="299" t="s">
        <v>14</v>
      </c>
      <c r="X19" s="299" t="s">
        <v>14</v>
      </c>
      <c r="Y19" s="299" t="s">
        <v>14</v>
      </c>
      <c r="Z19" s="299" t="s">
        <v>14</v>
      </c>
      <c r="AA19" s="299" t="s">
        <v>14</v>
      </c>
      <c r="AB19" s="299" t="s">
        <v>14</v>
      </c>
      <c r="AC19" s="299"/>
    </row>
    <row r="20" spans="1:29" s="304" customFormat="1">
      <c r="A20" s="298">
        <v>44567</v>
      </c>
      <c r="B20" s="299" t="s">
        <v>247</v>
      </c>
      <c r="C20" s="299" t="s">
        <v>1017</v>
      </c>
      <c r="D20" s="299" t="s">
        <v>225</v>
      </c>
      <c r="E20" s="299" t="s">
        <v>1018</v>
      </c>
      <c r="F20" s="299"/>
      <c r="G20" s="299">
        <v>2</v>
      </c>
      <c r="H20" s="299">
        <v>1</v>
      </c>
      <c r="I20" s="299" t="s">
        <v>14</v>
      </c>
      <c r="J20" s="300" t="s">
        <v>1019</v>
      </c>
      <c r="K20" s="301" t="s">
        <v>274</v>
      </c>
      <c r="L20" s="302">
        <v>42109</v>
      </c>
      <c r="M20" s="299" t="s">
        <v>14</v>
      </c>
      <c r="N20" s="299">
        <v>18</v>
      </c>
      <c r="O20" s="299">
        <v>75</v>
      </c>
      <c r="P20" s="299" t="s">
        <v>14</v>
      </c>
      <c r="Q20" s="299" t="s">
        <v>13</v>
      </c>
      <c r="R20" s="303"/>
      <c r="S20" s="303"/>
      <c r="T20" s="303"/>
      <c r="U20" s="173" t="str">
        <f t="shared" si="0"/>
        <v/>
      </c>
      <c r="V20" s="299" t="s">
        <v>14</v>
      </c>
      <c r="W20" s="299" t="s">
        <v>14</v>
      </c>
      <c r="X20" s="299" t="s">
        <v>14</v>
      </c>
      <c r="Y20" s="299" t="s">
        <v>14</v>
      </c>
      <c r="Z20" s="299" t="s">
        <v>14</v>
      </c>
      <c r="AA20" s="299" t="s">
        <v>14</v>
      </c>
      <c r="AB20" s="299" t="s">
        <v>14</v>
      </c>
      <c r="AC20" s="299"/>
    </row>
    <row r="21" spans="1:29" s="304" customFormat="1">
      <c r="A21" s="298">
        <v>44566</v>
      </c>
      <c r="B21" s="299" t="s">
        <v>1200</v>
      </c>
      <c r="C21" s="299" t="s">
        <v>1201</v>
      </c>
      <c r="D21" s="299" t="s">
        <v>226</v>
      </c>
      <c r="E21" s="299" t="s">
        <v>1202</v>
      </c>
      <c r="F21" s="299"/>
      <c r="G21" s="299">
        <v>3</v>
      </c>
      <c r="H21" s="299">
        <v>3</v>
      </c>
      <c r="I21" s="299" t="s">
        <v>14</v>
      </c>
      <c r="J21" s="300" t="s">
        <v>1203</v>
      </c>
      <c r="K21" s="301" t="s">
        <v>952</v>
      </c>
      <c r="L21" s="302">
        <v>41941</v>
      </c>
      <c r="M21" s="299" t="s">
        <v>14</v>
      </c>
      <c r="N21" s="299">
        <v>21</v>
      </c>
      <c r="O21" s="299">
        <v>84</v>
      </c>
      <c r="P21" s="299" t="s">
        <v>14</v>
      </c>
      <c r="Q21" s="299" t="s">
        <v>13</v>
      </c>
      <c r="R21" s="303"/>
      <c r="S21" s="303"/>
      <c r="T21" s="303"/>
      <c r="U21" s="173" t="str">
        <f t="shared" si="0"/>
        <v/>
      </c>
      <c r="V21" s="299" t="s">
        <v>14</v>
      </c>
      <c r="W21" s="299" t="s">
        <v>14</v>
      </c>
      <c r="X21" s="299" t="s">
        <v>14</v>
      </c>
      <c r="Y21" s="299" t="s">
        <v>14</v>
      </c>
      <c r="Z21" s="299" t="s">
        <v>14</v>
      </c>
      <c r="AA21" s="299" t="s">
        <v>14</v>
      </c>
      <c r="AB21" s="299" t="s">
        <v>14</v>
      </c>
      <c r="AC21" s="299"/>
    </row>
    <row r="22" spans="1:29" s="304" customFormat="1">
      <c r="A22" s="298">
        <v>44565</v>
      </c>
      <c r="B22" s="299" t="s">
        <v>1120</v>
      </c>
      <c r="C22" s="299" t="s">
        <v>1239</v>
      </c>
      <c r="D22" s="299" t="s">
        <v>226</v>
      </c>
      <c r="E22" s="299" t="s">
        <v>1255</v>
      </c>
      <c r="F22" s="299"/>
      <c r="G22" s="299">
        <v>3</v>
      </c>
      <c r="H22" s="299">
        <v>2</v>
      </c>
      <c r="I22" s="299" t="s">
        <v>14</v>
      </c>
      <c r="J22" s="300" t="s">
        <v>1256</v>
      </c>
      <c r="K22" s="301" t="s">
        <v>952</v>
      </c>
      <c r="L22" s="302">
        <v>41928</v>
      </c>
      <c r="M22" s="299" t="s">
        <v>14</v>
      </c>
      <c r="N22" s="299">
        <v>17</v>
      </c>
      <c r="O22" s="299">
        <v>68</v>
      </c>
      <c r="P22" s="299" t="s">
        <v>14</v>
      </c>
      <c r="Q22" s="299" t="s">
        <v>13</v>
      </c>
      <c r="R22" s="303"/>
      <c r="S22" s="303"/>
      <c r="T22" s="303"/>
      <c r="U22" s="173" t="str">
        <f t="shared" si="0"/>
        <v/>
      </c>
      <c r="V22" s="299" t="s">
        <v>14</v>
      </c>
      <c r="W22" s="299" t="s">
        <v>14</v>
      </c>
      <c r="X22" s="299" t="s">
        <v>14</v>
      </c>
      <c r="Y22" s="299" t="s">
        <v>14</v>
      </c>
      <c r="Z22" s="299" t="s">
        <v>14</v>
      </c>
      <c r="AA22" s="299" t="s">
        <v>14</v>
      </c>
      <c r="AB22" s="299" t="s">
        <v>14</v>
      </c>
      <c r="AC22" s="299"/>
    </row>
    <row r="23" spans="1:29" s="304" customFormat="1">
      <c r="A23" s="298">
        <v>44565</v>
      </c>
      <c r="B23" s="299" t="s">
        <v>1120</v>
      </c>
      <c r="C23" s="299" t="s">
        <v>1426</v>
      </c>
      <c r="D23" s="299" t="s">
        <v>226</v>
      </c>
      <c r="E23" s="298" t="s">
        <v>1427</v>
      </c>
      <c r="F23" s="299"/>
      <c r="G23" s="299">
        <v>4</v>
      </c>
      <c r="H23" s="299">
        <v>1</v>
      </c>
      <c r="I23" s="299" t="s">
        <v>14</v>
      </c>
      <c r="J23" s="300" t="s">
        <v>1428</v>
      </c>
      <c r="K23" s="301" t="s">
        <v>952</v>
      </c>
      <c r="L23" s="302">
        <v>41942</v>
      </c>
      <c r="M23" s="299" t="s">
        <v>14</v>
      </c>
      <c r="N23" s="299">
        <v>19</v>
      </c>
      <c r="O23" s="299">
        <v>76</v>
      </c>
      <c r="P23" s="299" t="s">
        <v>14</v>
      </c>
      <c r="Q23" s="299" t="s">
        <v>13</v>
      </c>
      <c r="R23" s="303"/>
      <c r="S23" s="303"/>
      <c r="T23" s="303"/>
      <c r="U23" s="173" t="str">
        <f t="shared" si="0"/>
        <v/>
      </c>
      <c r="V23" s="299" t="s">
        <v>14</v>
      </c>
      <c r="W23" s="299" t="s">
        <v>14</v>
      </c>
      <c r="X23" s="299" t="s">
        <v>14</v>
      </c>
      <c r="Y23" s="299" t="s">
        <v>14</v>
      </c>
      <c r="Z23" s="299" t="s">
        <v>14</v>
      </c>
      <c r="AA23" s="299" t="s">
        <v>14</v>
      </c>
      <c r="AB23" s="299" t="s">
        <v>14</v>
      </c>
      <c r="AC23" s="299"/>
    </row>
    <row r="24" spans="1:29" s="304" customFormat="1">
      <c r="A24" s="298">
        <v>44565</v>
      </c>
      <c r="B24" s="299" t="s">
        <v>1120</v>
      </c>
      <c r="C24" s="299" t="s">
        <v>1432</v>
      </c>
      <c r="D24" s="299" t="s">
        <v>226</v>
      </c>
      <c r="E24" s="298" t="s">
        <v>1433</v>
      </c>
      <c r="F24" s="299"/>
      <c r="G24" s="299">
        <v>5</v>
      </c>
      <c r="H24" s="299">
        <v>0</v>
      </c>
      <c r="I24" s="299" t="s">
        <v>14</v>
      </c>
      <c r="J24" s="300" t="s">
        <v>1434</v>
      </c>
      <c r="K24" s="301" t="s">
        <v>952</v>
      </c>
      <c r="L24" s="302">
        <v>41943</v>
      </c>
      <c r="M24" s="299" t="s">
        <v>14</v>
      </c>
      <c r="N24" s="299">
        <v>19</v>
      </c>
      <c r="O24" s="299">
        <v>76</v>
      </c>
      <c r="P24" s="299" t="s">
        <v>14</v>
      </c>
      <c r="Q24" s="299" t="s">
        <v>13</v>
      </c>
      <c r="R24" s="303"/>
      <c r="S24" s="303"/>
      <c r="T24" s="303"/>
      <c r="U24" s="173" t="str">
        <f t="shared" si="0"/>
        <v/>
      </c>
      <c r="V24" s="299" t="s">
        <v>14</v>
      </c>
      <c r="W24" s="299" t="s">
        <v>14</v>
      </c>
      <c r="X24" s="299" t="s">
        <v>14</v>
      </c>
      <c r="Y24" s="299" t="s">
        <v>14</v>
      </c>
      <c r="Z24" s="299" t="s">
        <v>14</v>
      </c>
      <c r="AA24" s="299" t="s">
        <v>14</v>
      </c>
      <c r="AB24" s="299" t="s">
        <v>14</v>
      </c>
      <c r="AC24" s="299"/>
    </row>
    <row r="25" spans="1:29" s="304" customFormat="1">
      <c r="A25" s="298">
        <v>44565</v>
      </c>
      <c r="B25" s="299" t="s">
        <v>1120</v>
      </c>
      <c r="C25" s="299" t="s">
        <v>1474</v>
      </c>
      <c r="D25" s="299" t="s">
        <v>225</v>
      </c>
      <c r="E25" s="299" t="s">
        <v>1475</v>
      </c>
      <c r="F25" s="299"/>
      <c r="G25" s="299">
        <v>5</v>
      </c>
      <c r="H25" s="299">
        <v>0</v>
      </c>
      <c r="I25" s="299" t="s">
        <v>13</v>
      </c>
      <c r="J25" s="306" t="s">
        <v>1476</v>
      </c>
      <c r="K25" s="301" t="s">
        <v>952</v>
      </c>
      <c r="L25" s="302">
        <v>41943</v>
      </c>
      <c r="M25" s="299"/>
      <c r="N25" s="299"/>
      <c r="O25" s="299"/>
      <c r="P25" s="299"/>
      <c r="Q25" s="299"/>
      <c r="R25" s="299"/>
      <c r="S25" s="299"/>
      <c r="T25" s="299"/>
      <c r="U25" s="173" t="str">
        <f t="shared" si="0"/>
        <v/>
      </c>
      <c r="V25" s="299"/>
      <c r="W25" s="299"/>
      <c r="X25" s="299"/>
      <c r="Y25" s="299"/>
      <c r="Z25" s="299"/>
      <c r="AA25" s="299"/>
      <c r="AB25" s="299"/>
      <c r="AC25" s="299"/>
    </row>
    <row r="26" spans="1:29" s="304" customFormat="1">
      <c r="A26" s="298">
        <v>44573</v>
      </c>
      <c r="B26" s="299" t="s">
        <v>1050</v>
      </c>
      <c r="C26" s="299" t="s">
        <v>1051</v>
      </c>
      <c r="D26" s="299" t="s">
        <v>225</v>
      </c>
      <c r="E26" s="299" t="s">
        <v>1052</v>
      </c>
      <c r="F26" s="299"/>
      <c r="G26" s="299">
        <v>5</v>
      </c>
      <c r="H26" s="299">
        <v>0</v>
      </c>
      <c r="I26" s="299" t="s">
        <v>14</v>
      </c>
      <c r="J26" s="300" t="s">
        <v>1053</v>
      </c>
      <c r="K26" s="301" t="s">
        <v>952</v>
      </c>
      <c r="L26" s="302">
        <v>42003</v>
      </c>
      <c r="M26" s="299" t="s">
        <v>14</v>
      </c>
      <c r="N26" s="299">
        <v>20</v>
      </c>
      <c r="O26" s="299">
        <v>85</v>
      </c>
      <c r="P26" s="299" t="s">
        <v>14</v>
      </c>
      <c r="Q26" s="299" t="s">
        <v>13</v>
      </c>
      <c r="R26" s="303"/>
      <c r="S26" s="303"/>
      <c r="T26" s="303"/>
      <c r="U26" s="173" t="str">
        <f t="shared" si="0"/>
        <v/>
      </c>
      <c r="V26" s="299" t="s">
        <v>14</v>
      </c>
      <c r="W26" s="299" t="s">
        <v>14</v>
      </c>
      <c r="X26" s="299" t="s">
        <v>14</v>
      </c>
      <c r="Y26" s="299" t="s">
        <v>14</v>
      </c>
      <c r="Z26" s="299" t="s">
        <v>14</v>
      </c>
      <c r="AA26" s="299" t="s">
        <v>14</v>
      </c>
      <c r="AB26" s="299" t="s">
        <v>14</v>
      </c>
      <c r="AC26" s="299"/>
    </row>
    <row r="27" spans="1:29" s="304" customFormat="1">
      <c r="A27" s="298">
        <v>44578</v>
      </c>
      <c r="B27" s="299" t="s">
        <v>1546</v>
      </c>
      <c r="C27" s="299" t="s">
        <v>1462</v>
      </c>
      <c r="D27" s="299" t="s">
        <v>225</v>
      </c>
      <c r="E27" s="299" t="s">
        <v>1584</v>
      </c>
      <c r="F27" s="299"/>
      <c r="G27" s="299">
        <v>5</v>
      </c>
      <c r="H27" s="299">
        <v>1</v>
      </c>
      <c r="I27" s="299" t="s">
        <v>13</v>
      </c>
      <c r="J27" s="306" t="s">
        <v>1463</v>
      </c>
      <c r="K27" s="301" t="s">
        <v>274</v>
      </c>
      <c r="L27" s="302">
        <v>42184</v>
      </c>
      <c r="M27" s="299"/>
      <c r="N27" s="299"/>
      <c r="O27" s="299"/>
      <c r="P27" s="299"/>
      <c r="Q27" s="299"/>
      <c r="R27" s="299"/>
      <c r="S27" s="299"/>
      <c r="T27" s="299"/>
      <c r="U27" s="173" t="str">
        <f t="shared" si="0"/>
        <v/>
      </c>
      <c r="V27" s="299"/>
      <c r="W27" s="299"/>
      <c r="X27" s="299"/>
      <c r="Y27" s="299"/>
      <c r="Z27" s="299"/>
      <c r="AA27" s="299"/>
      <c r="AB27" s="299"/>
      <c r="AC27" s="299"/>
    </row>
    <row r="28" spans="1:29" s="304" customFormat="1">
      <c r="A28" s="298">
        <v>44570</v>
      </c>
      <c r="B28" s="299" t="s">
        <v>1200</v>
      </c>
      <c r="C28" s="299" t="s">
        <v>1372</v>
      </c>
      <c r="D28" s="298" t="s">
        <v>226</v>
      </c>
      <c r="E28" s="298" t="s">
        <v>1373</v>
      </c>
      <c r="F28" s="299"/>
      <c r="G28" s="299">
        <v>3</v>
      </c>
      <c r="H28" s="299">
        <v>1</v>
      </c>
      <c r="I28" s="299" t="s">
        <v>14</v>
      </c>
      <c r="J28" s="300" t="s">
        <v>1374</v>
      </c>
      <c r="K28" s="301" t="s">
        <v>274</v>
      </c>
      <c r="L28" s="302">
        <v>42109</v>
      </c>
      <c r="M28" s="299" t="s">
        <v>14</v>
      </c>
      <c r="N28" s="299">
        <v>15</v>
      </c>
      <c r="O28" s="299">
        <v>70</v>
      </c>
      <c r="P28" s="299" t="s">
        <v>14</v>
      </c>
      <c r="Q28" s="299" t="s">
        <v>13</v>
      </c>
      <c r="R28" s="299"/>
      <c r="S28" s="303"/>
      <c r="T28" s="303"/>
      <c r="U28" s="173" t="str">
        <f t="shared" si="0"/>
        <v/>
      </c>
      <c r="V28" s="299" t="s">
        <v>14</v>
      </c>
      <c r="W28" s="299" t="s">
        <v>14</v>
      </c>
      <c r="X28" s="299" t="s">
        <v>14</v>
      </c>
      <c r="Y28" s="299" t="s">
        <v>14</v>
      </c>
      <c r="Z28" s="299" t="s">
        <v>14</v>
      </c>
      <c r="AA28" s="299" t="s">
        <v>14</v>
      </c>
      <c r="AB28" s="299" t="s">
        <v>14</v>
      </c>
      <c r="AC28" s="299"/>
    </row>
    <row r="29" spans="1:29" s="304" customFormat="1">
      <c r="A29" s="298">
        <v>44567</v>
      </c>
      <c r="B29" s="299" t="s">
        <v>105</v>
      </c>
      <c r="C29" s="299" t="s">
        <v>1324</v>
      </c>
      <c r="D29" s="299" t="s">
        <v>226</v>
      </c>
      <c r="E29" s="299" t="s">
        <v>1325</v>
      </c>
      <c r="F29" s="299"/>
      <c r="G29" s="299">
        <v>5</v>
      </c>
      <c r="H29" s="299">
        <v>0</v>
      </c>
      <c r="I29" s="299" t="s">
        <v>14</v>
      </c>
      <c r="J29" s="300" t="s">
        <v>1326</v>
      </c>
      <c r="K29" s="301" t="s">
        <v>952</v>
      </c>
      <c r="L29" s="302">
        <v>42023</v>
      </c>
      <c r="M29" s="299" t="s">
        <v>14</v>
      </c>
      <c r="N29" s="299">
        <v>14</v>
      </c>
      <c r="O29" s="299">
        <v>56</v>
      </c>
      <c r="P29" s="299" t="s">
        <v>14</v>
      </c>
      <c r="Q29" s="299" t="s">
        <v>13</v>
      </c>
      <c r="R29" s="303"/>
      <c r="S29" s="303"/>
      <c r="T29" s="303"/>
      <c r="U29" s="173" t="str">
        <f t="shared" si="0"/>
        <v/>
      </c>
      <c r="V29" s="299" t="s">
        <v>14</v>
      </c>
      <c r="W29" s="299" t="s">
        <v>14</v>
      </c>
      <c r="X29" s="299" t="s">
        <v>14</v>
      </c>
      <c r="Y29" s="299" t="s">
        <v>14</v>
      </c>
      <c r="Z29" s="299" t="s">
        <v>14</v>
      </c>
      <c r="AA29" s="299" t="s">
        <v>14</v>
      </c>
      <c r="AB29" s="299" t="s">
        <v>14</v>
      </c>
      <c r="AC29" s="299"/>
    </row>
    <row r="30" spans="1:29" s="304" customFormat="1">
      <c r="A30" s="298">
        <v>44564</v>
      </c>
      <c r="B30" s="299" t="s">
        <v>105</v>
      </c>
      <c r="C30" s="299" t="s">
        <v>1233</v>
      </c>
      <c r="D30" s="299" t="s">
        <v>225</v>
      </c>
      <c r="E30" s="299" t="s">
        <v>1234</v>
      </c>
      <c r="F30" s="299"/>
      <c r="G30" s="299">
        <v>3</v>
      </c>
      <c r="H30" s="299">
        <v>0</v>
      </c>
      <c r="I30" s="299" t="s">
        <v>14</v>
      </c>
      <c r="J30" s="300" t="s">
        <v>1235</v>
      </c>
      <c r="K30" s="301" t="s">
        <v>952</v>
      </c>
      <c r="L30" s="302">
        <v>41936</v>
      </c>
      <c r="M30" s="299" t="s">
        <v>14</v>
      </c>
      <c r="N30" s="299">
        <v>14</v>
      </c>
      <c r="O30" s="299">
        <v>56</v>
      </c>
      <c r="P30" s="299" t="s">
        <v>14</v>
      </c>
      <c r="Q30" s="299" t="s">
        <v>13</v>
      </c>
      <c r="R30" s="303"/>
      <c r="S30" s="303"/>
      <c r="T30" s="303"/>
      <c r="U30" s="173" t="str">
        <f t="shared" si="0"/>
        <v/>
      </c>
      <c r="V30" s="299" t="s">
        <v>14</v>
      </c>
      <c r="W30" s="299" t="s">
        <v>14</v>
      </c>
      <c r="X30" s="299" t="s">
        <v>14</v>
      </c>
      <c r="Y30" s="299" t="s">
        <v>14</v>
      </c>
      <c r="Z30" s="299" t="s">
        <v>14</v>
      </c>
      <c r="AA30" s="299" t="s">
        <v>14</v>
      </c>
      <c r="AB30" s="299" t="s">
        <v>14</v>
      </c>
      <c r="AC30" s="299"/>
    </row>
    <row r="31" spans="1:29" s="304" customFormat="1">
      <c r="A31" s="298">
        <v>44570</v>
      </c>
      <c r="B31" s="299" t="s">
        <v>1105</v>
      </c>
      <c r="C31" s="299" t="s">
        <v>1106</v>
      </c>
      <c r="D31" s="299" t="s">
        <v>226</v>
      </c>
      <c r="E31" s="299" t="s">
        <v>1107</v>
      </c>
      <c r="F31" s="299"/>
      <c r="G31" s="299">
        <v>3</v>
      </c>
      <c r="H31" s="299">
        <v>1</v>
      </c>
      <c r="I31" s="299" t="s">
        <v>14</v>
      </c>
      <c r="J31" s="300" t="s">
        <v>1108</v>
      </c>
      <c r="K31" s="301" t="s">
        <v>274</v>
      </c>
      <c r="L31" s="302">
        <v>42123</v>
      </c>
      <c r="M31" s="299" t="s">
        <v>14</v>
      </c>
      <c r="N31" s="299">
        <v>7</v>
      </c>
      <c r="O31" s="299">
        <v>30</v>
      </c>
      <c r="P31" s="299" t="s">
        <v>14</v>
      </c>
      <c r="Q31" s="299" t="s">
        <v>14</v>
      </c>
      <c r="R31" s="299" t="s">
        <v>14</v>
      </c>
      <c r="S31" s="299">
        <v>7</v>
      </c>
      <c r="T31" s="299">
        <v>30</v>
      </c>
      <c r="U31" s="173">
        <f t="shared" si="0"/>
        <v>0.5</v>
      </c>
      <c r="V31" s="299" t="s">
        <v>14</v>
      </c>
      <c r="W31" s="299" t="s">
        <v>14</v>
      </c>
      <c r="X31" s="299" t="s">
        <v>14</v>
      </c>
      <c r="Y31" s="299" t="s">
        <v>14</v>
      </c>
      <c r="Z31" s="299" t="s">
        <v>14</v>
      </c>
      <c r="AA31" s="299" t="s">
        <v>14</v>
      </c>
      <c r="AB31" s="299" t="s">
        <v>14</v>
      </c>
      <c r="AC31" s="299"/>
    </row>
    <row r="32" spans="1:29" s="304" customFormat="1">
      <c r="A32" s="298">
        <v>44567</v>
      </c>
      <c r="B32" s="299" t="s">
        <v>1547</v>
      </c>
      <c r="C32" s="299" t="s">
        <v>1468</v>
      </c>
      <c r="D32" s="299" t="s">
        <v>226</v>
      </c>
      <c r="E32" s="299" t="s">
        <v>1582</v>
      </c>
      <c r="F32" s="299"/>
      <c r="G32" s="299">
        <v>2</v>
      </c>
      <c r="H32" s="299">
        <v>2</v>
      </c>
      <c r="I32" s="299" t="s">
        <v>13</v>
      </c>
      <c r="J32" s="306" t="s">
        <v>1469</v>
      </c>
      <c r="K32" s="301" t="s">
        <v>274</v>
      </c>
      <c r="L32" s="302">
        <v>42111</v>
      </c>
      <c r="M32" s="299"/>
      <c r="N32" s="299"/>
      <c r="O32" s="299"/>
      <c r="P32" s="299"/>
      <c r="Q32" s="299"/>
      <c r="R32" s="299"/>
      <c r="S32" s="299"/>
      <c r="T32" s="299"/>
      <c r="U32" s="173" t="str">
        <f t="shared" si="0"/>
        <v/>
      </c>
      <c r="V32" s="299"/>
      <c r="W32" s="299"/>
      <c r="X32" s="299"/>
      <c r="Y32" s="299"/>
      <c r="Z32" s="299"/>
      <c r="AA32" s="299"/>
      <c r="AB32" s="299"/>
      <c r="AC32" s="299"/>
    </row>
    <row r="33" spans="1:29" s="304" customFormat="1">
      <c r="A33" s="298">
        <v>44565</v>
      </c>
      <c r="B33" s="299" t="s">
        <v>1359</v>
      </c>
      <c r="C33" s="299" t="s">
        <v>1360</v>
      </c>
      <c r="D33" s="299" t="s">
        <v>225</v>
      </c>
      <c r="E33" s="298" t="s">
        <v>1361</v>
      </c>
      <c r="F33" s="299"/>
      <c r="G33" s="299">
        <v>2</v>
      </c>
      <c r="H33" s="299">
        <v>2</v>
      </c>
      <c r="I33" s="299" t="s">
        <v>14</v>
      </c>
      <c r="J33" s="300" t="s">
        <v>1362</v>
      </c>
      <c r="K33" s="301" t="s">
        <v>274</v>
      </c>
      <c r="L33" s="302">
        <v>42073</v>
      </c>
      <c r="M33" s="299" t="s">
        <v>14</v>
      </c>
      <c r="N33" s="299">
        <v>12</v>
      </c>
      <c r="O33" s="299">
        <v>52</v>
      </c>
      <c r="P33" s="299" t="s">
        <v>14</v>
      </c>
      <c r="Q33" s="299" t="s">
        <v>14</v>
      </c>
      <c r="R33" s="299" t="s">
        <v>14</v>
      </c>
      <c r="S33" s="299">
        <v>6</v>
      </c>
      <c r="T33" s="299">
        <v>26</v>
      </c>
      <c r="U33" s="173">
        <f t="shared" si="0"/>
        <v>0.33333333333333331</v>
      </c>
      <c r="V33" s="299" t="s">
        <v>14</v>
      </c>
      <c r="W33" s="299" t="s">
        <v>14</v>
      </c>
      <c r="X33" s="299" t="s">
        <v>14</v>
      </c>
      <c r="Y33" s="299" t="s">
        <v>14</v>
      </c>
      <c r="Z33" s="299" t="s">
        <v>14</v>
      </c>
      <c r="AA33" s="299" t="s">
        <v>14</v>
      </c>
      <c r="AB33" s="299" t="s">
        <v>14</v>
      </c>
      <c r="AC33" s="299"/>
    </row>
    <row r="34" spans="1:29" s="304" customFormat="1">
      <c r="A34" s="298">
        <v>44567</v>
      </c>
      <c r="B34" s="299" t="s">
        <v>1120</v>
      </c>
      <c r="C34" s="299" t="s">
        <v>1311</v>
      </c>
      <c r="D34" s="299" t="s">
        <v>226</v>
      </c>
      <c r="E34" s="299" t="s">
        <v>1312</v>
      </c>
      <c r="F34" s="299"/>
      <c r="G34" s="299">
        <v>4</v>
      </c>
      <c r="H34" s="299">
        <v>0</v>
      </c>
      <c r="I34" s="299" t="s">
        <v>14</v>
      </c>
      <c r="J34" s="300" t="s">
        <v>1313</v>
      </c>
      <c r="K34" s="301" t="s">
        <v>274</v>
      </c>
      <c r="L34" s="302">
        <v>42065</v>
      </c>
      <c r="M34" s="299" t="s">
        <v>14</v>
      </c>
      <c r="N34" s="299">
        <v>16</v>
      </c>
      <c r="O34" s="299">
        <v>64</v>
      </c>
      <c r="P34" s="299" t="s">
        <v>14</v>
      </c>
      <c r="Q34" s="299" t="s">
        <v>13</v>
      </c>
      <c r="R34" s="303"/>
      <c r="S34" s="303"/>
      <c r="T34" s="303"/>
      <c r="U34" s="173" t="str">
        <f t="shared" si="0"/>
        <v/>
      </c>
      <c r="V34" s="299" t="s">
        <v>14</v>
      </c>
      <c r="W34" s="299" t="s">
        <v>14</v>
      </c>
      <c r="X34" s="299" t="s">
        <v>14</v>
      </c>
      <c r="Y34" s="299" t="s">
        <v>14</v>
      </c>
      <c r="Z34" s="299" t="s">
        <v>14</v>
      </c>
      <c r="AA34" s="299" t="s">
        <v>14</v>
      </c>
      <c r="AB34" s="299" t="s">
        <v>14</v>
      </c>
      <c r="AC34" s="299"/>
    </row>
    <row r="35" spans="1:29" s="304" customFormat="1">
      <c r="A35" s="298">
        <v>44571</v>
      </c>
      <c r="B35" s="299" t="s">
        <v>127</v>
      </c>
      <c r="C35" s="299" t="s">
        <v>1402</v>
      </c>
      <c r="D35" s="299" t="s">
        <v>225</v>
      </c>
      <c r="E35" s="298" t="s">
        <v>1403</v>
      </c>
      <c r="F35" s="299"/>
      <c r="G35" s="299">
        <v>3</v>
      </c>
      <c r="H35" s="299">
        <v>2</v>
      </c>
      <c r="I35" s="299" t="s">
        <v>14</v>
      </c>
      <c r="J35" s="300" t="s">
        <v>1404</v>
      </c>
      <c r="K35" s="301" t="s">
        <v>274</v>
      </c>
      <c r="L35" s="302">
        <v>42184</v>
      </c>
      <c r="M35" s="299" t="s">
        <v>14</v>
      </c>
      <c r="N35" s="299">
        <v>14</v>
      </c>
      <c r="O35" s="299">
        <v>60</v>
      </c>
      <c r="P35" s="299" t="s">
        <v>14</v>
      </c>
      <c r="Q35" s="299" t="s">
        <v>13</v>
      </c>
      <c r="R35" s="303"/>
      <c r="S35" s="303"/>
      <c r="T35" s="303"/>
      <c r="U35" s="173" t="str">
        <f t="shared" ref="U35:U66" si="1">IF(R35="Yes",MAX(S35/(S35+N35),T35/(T35+O35)),"")</f>
        <v/>
      </c>
      <c r="V35" s="299" t="s">
        <v>14</v>
      </c>
      <c r="W35" s="299" t="s">
        <v>14</v>
      </c>
      <c r="X35" s="299" t="s">
        <v>14</v>
      </c>
      <c r="Y35" s="299" t="s">
        <v>14</v>
      </c>
      <c r="Z35" s="299" t="s">
        <v>14</v>
      </c>
      <c r="AA35" s="299" t="s">
        <v>14</v>
      </c>
      <c r="AB35" s="299" t="s">
        <v>14</v>
      </c>
      <c r="AC35" s="299"/>
    </row>
    <row r="36" spans="1:29" s="304" customFormat="1">
      <c r="A36" s="298">
        <v>44564</v>
      </c>
      <c r="B36" s="299" t="s">
        <v>260</v>
      </c>
      <c r="C36" s="299" t="s">
        <v>1321</v>
      </c>
      <c r="D36" s="299" t="s">
        <v>225</v>
      </c>
      <c r="E36" s="299" t="s">
        <v>1322</v>
      </c>
      <c r="F36" s="299"/>
      <c r="G36" s="299">
        <v>5</v>
      </c>
      <c r="H36" s="299">
        <v>1</v>
      </c>
      <c r="I36" s="299" t="s">
        <v>14</v>
      </c>
      <c r="J36" s="300" t="s">
        <v>1323</v>
      </c>
      <c r="K36" s="301" t="s">
        <v>274</v>
      </c>
      <c r="L36" s="302">
        <v>42139</v>
      </c>
      <c r="M36" s="299" t="s">
        <v>14</v>
      </c>
      <c r="N36" s="299">
        <v>14</v>
      </c>
      <c r="O36" s="299">
        <v>60</v>
      </c>
      <c r="P36" s="299" t="s">
        <v>14</v>
      </c>
      <c r="Q36" s="299" t="s">
        <v>13</v>
      </c>
      <c r="R36" s="303"/>
      <c r="S36" s="303"/>
      <c r="T36" s="303"/>
      <c r="U36" s="173" t="str">
        <f t="shared" si="1"/>
        <v/>
      </c>
      <c r="V36" s="299" t="s">
        <v>14</v>
      </c>
      <c r="W36" s="299" t="s">
        <v>14</v>
      </c>
      <c r="X36" s="299" t="s">
        <v>14</v>
      </c>
      <c r="Y36" s="299" t="s">
        <v>14</v>
      </c>
      <c r="Z36" s="299" t="s">
        <v>14</v>
      </c>
      <c r="AA36" s="299" t="s">
        <v>14</v>
      </c>
      <c r="AB36" s="299" t="s">
        <v>14</v>
      </c>
      <c r="AC36" s="299"/>
    </row>
    <row r="37" spans="1:29" s="304" customFormat="1">
      <c r="A37" s="298">
        <v>44573</v>
      </c>
      <c r="B37" s="299" t="s">
        <v>1057</v>
      </c>
      <c r="C37" s="299" t="s">
        <v>1489</v>
      </c>
      <c r="D37" s="299" t="s">
        <v>225</v>
      </c>
      <c r="E37" s="299" t="s">
        <v>1596</v>
      </c>
      <c r="F37" s="299"/>
      <c r="G37" s="299">
        <v>2</v>
      </c>
      <c r="H37" s="299">
        <v>1</v>
      </c>
      <c r="I37" s="299" t="s">
        <v>13</v>
      </c>
      <c r="J37" s="306" t="s">
        <v>1490</v>
      </c>
      <c r="K37" s="301" t="s">
        <v>952</v>
      </c>
      <c r="L37" s="302">
        <v>42038</v>
      </c>
      <c r="M37" s="299"/>
      <c r="N37" s="299"/>
      <c r="O37" s="299"/>
      <c r="P37" s="299"/>
      <c r="Q37" s="299"/>
      <c r="R37" s="299"/>
      <c r="S37" s="299"/>
      <c r="T37" s="299"/>
      <c r="U37" s="173" t="str">
        <f t="shared" si="1"/>
        <v/>
      </c>
      <c r="V37" s="299"/>
      <c r="W37" s="299"/>
      <c r="X37" s="299"/>
      <c r="Y37" s="299"/>
      <c r="Z37" s="299"/>
      <c r="AA37" s="299"/>
      <c r="AB37" s="299"/>
      <c r="AC37" s="299"/>
    </row>
    <row r="38" spans="1:29" s="304" customFormat="1">
      <c r="A38" s="298">
        <v>44573</v>
      </c>
      <c r="B38" s="299" t="s">
        <v>129</v>
      </c>
      <c r="C38" s="299" t="s">
        <v>1089</v>
      </c>
      <c r="D38" s="299" t="s">
        <v>226</v>
      </c>
      <c r="E38" s="299" t="s">
        <v>1605</v>
      </c>
      <c r="F38" s="299"/>
      <c r="G38" s="299">
        <v>5</v>
      </c>
      <c r="H38" s="299">
        <v>0</v>
      </c>
      <c r="I38" s="299" t="s">
        <v>14</v>
      </c>
      <c r="J38" s="300" t="s">
        <v>1090</v>
      </c>
      <c r="K38" s="301" t="s">
        <v>274</v>
      </c>
      <c r="L38" s="302">
        <v>42109</v>
      </c>
      <c r="M38" s="299" t="s">
        <v>14</v>
      </c>
      <c r="N38" s="299">
        <v>20</v>
      </c>
      <c r="O38" s="299">
        <v>85</v>
      </c>
      <c r="P38" s="299" t="s">
        <v>14</v>
      </c>
      <c r="Q38" s="299" t="s">
        <v>13</v>
      </c>
      <c r="R38" s="303"/>
      <c r="S38" s="303"/>
      <c r="T38" s="303"/>
      <c r="U38" s="173" t="str">
        <f t="shared" si="1"/>
        <v/>
      </c>
      <c r="V38" s="299" t="s">
        <v>14</v>
      </c>
      <c r="W38" s="299" t="s">
        <v>14</v>
      </c>
      <c r="X38" s="299" t="s">
        <v>14</v>
      </c>
      <c r="Y38" s="299" t="s">
        <v>14</v>
      </c>
      <c r="Z38" s="299" t="s">
        <v>14</v>
      </c>
      <c r="AA38" s="299" t="s">
        <v>14</v>
      </c>
      <c r="AB38" s="299" t="s">
        <v>14</v>
      </c>
      <c r="AC38" s="299"/>
    </row>
    <row r="39" spans="1:29" s="304" customFormat="1">
      <c r="A39" s="298">
        <v>44571</v>
      </c>
      <c r="B39" s="299" t="s">
        <v>126</v>
      </c>
      <c r="C39" s="299" t="s">
        <v>1112</v>
      </c>
      <c r="D39" s="299" t="s">
        <v>225</v>
      </c>
      <c r="E39" s="299" t="s">
        <v>1608</v>
      </c>
      <c r="F39" s="299"/>
      <c r="G39" s="299">
        <v>6</v>
      </c>
      <c r="H39" s="299">
        <v>0</v>
      </c>
      <c r="I39" s="299" t="s">
        <v>14</v>
      </c>
      <c r="J39" s="300" t="s">
        <v>1113</v>
      </c>
      <c r="K39" s="301" t="s">
        <v>274</v>
      </c>
      <c r="L39" s="302">
        <v>42122</v>
      </c>
      <c r="M39" s="299" t="s">
        <v>14</v>
      </c>
      <c r="N39" s="299">
        <v>16</v>
      </c>
      <c r="O39" s="299">
        <v>70</v>
      </c>
      <c r="P39" s="299" t="s">
        <v>14</v>
      </c>
      <c r="Q39" s="299" t="s">
        <v>13</v>
      </c>
      <c r="R39" s="303"/>
      <c r="S39" s="303"/>
      <c r="T39" s="303"/>
      <c r="U39" s="173" t="str">
        <f t="shared" si="1"/>
        <v/>
      </c>
      <c r="V39" s="299" t="s">
        <v>14</v>
      </c>
      <c r="W39" s="299" t="s">
        <v>14</v>
      </c>
      <c r="X39" s="299" t="s">
        <v>14</v>
      </c>
      <c r="Y39" s="299" t="s">
        <v>14</v>
      </c>
      <c r="Z39" s="299" t="s">
        <v>14</v>
      </c>
      <c r="AA39" s="299" t="s">
        <v>14</v>
      </c>
      <c r="AB39" s="299" t="s">
        <v>14</v>
      </c>
      <c r="AC39" s="299"/>
    </row>
    <row r="40" spans="1:29" s="304" customFormat="1">
      <c r="A40" s="298">
        <v>44573</v>
      </c>
      <c r="B40" s="299" t="s">
        <v>1159</v>
      </c>
      <c r="C40" s="299" t="s">
        <v>1332</v>
      </c>
      <c r="D40" s="299" t="s">
        <v>226</v>
      </c>
      <c r="E40" s="299" t="s">
        <v>1333</v>
      </c>
      <c r="F40" s="299"/>
      <c r="G40" s="299">
        <v>5</v>
      </c>
      <c r="H40" s="299">
        <v>1</v>
      </c>
      <c r="I40" s="299" t="s">
        <v>14</v>
      </c>
      <c r="J40" s="300" t="s">
        <v>1334</v>
      </c>
      <c r="K40" s="301" t="s">
        <v>952</v>
      </c>
      <c r="L40" s="302">
        <v>41950</v>
      </c>
      <c r="M40" s="299" t="s">
        <v>14</v>
      </c>
      <c r="N40" s="299">
        <v>18</v>
      </c>
      <c r="O40" s="299">
        <v>72</v>
      </c>
      <c r="P40" s="299" t="s">
        <v>14</v>
      </c>
      <c r="Q40" s="299" t="s">
        <v>13</v>
      </c>
      <c r="R40" s="303"/>
      <c r="S40" s="303"/>
      <c r="T40" s="303"/>
      <c r="U40" s="173" t="str">
        <f t="shared" si="1"/>
        <v/>
      </c>
      <c r="V40" s="299" t="s">
        <v>14</v>
      </c>
      <c r="W40" s="299" t="s">
        <v>14</v>
      </c>
      <c r="X40" s="299" t="s">
        <v>14</v>
      </c>
      <c r="Y40" s="299" t="s">
        <v>14</v>
      </c>
      <c r="Z40" s="299" t="s">
        <v>14</v>
      </c>
      <c r="AA40" s="299" t="s">
        <v>14</v>
      </c>
      <c r="AB40" s="299" t="s">
        <v>14</v>
      </c>
      <c r="AC40" s="299"/>
    </row>
    <row r="41" spans="1:29" s="304" customFormat="1">
      <c r="A41" s="298">
        <v>44571</v>
      </c>
      <c r="B41" s="299" t="s">
        <v>990</v>
      </c>
      <c r="C41" s="299" t="s">
        <v>991</v>
      </c>
      <c r="D41" s="299" t="s">
        <v>226</v>
      </c>
      <c r="E41" s="299" t="s">
        <v>992</v>
      </c>
      <c r="F41" s="299"/>
      <c r="G41" s="299">
        <v>4</v>
      </c>
      <c r="H41" s="299">
        <v>0</v>
      </c>
      <c r="I41" s="299" t="s">
        <v>14</v>
      </c>
      <c r="J41" s="300" t="s">
        <v>993</v>
      </c>
      <c r="K41" s="301" t="s">
        <v>274</v>
      </c>
      <c r="L41" s="302">
        <v>42177</v>
      </c>
      <c r="M41" s="299" t="s">
        <v>14</v>
      </c>
      <c r="N41" s="299">
        <v>12</v>
      </c>
      <c r="O41" s="299">
        <v>52</v>
      </c>
      <c r="P41" s="299" t="s">
        <v>14</v>
      </c>
      <c r="Q41" s="299" t="s">
        <v>14</v>
      </c>
      <c r="R41" s="299" t="s">
        <v>14</v>
      </c>
      <c r="S41" s="299">
        <v>6</v>
      </c>
      <c r="T41" s="299">
        <v>26</v>
      </c>
      <c r="U41" s="173">
        <f t="shared" si="1"/>
        <v>0.33333333333333331</v>
      </c>
      <c r="V41" s="299" t="s">
        <v>14</v>
      </c>
      <c r="W41" s="299" t="s">
        <v>14</v>
      </c>
      <c r="X41" s="299" t="s">
        <v>14</v>
      </c>
      <c r="Y41" s="299" t="s">
        <v>14</v>
      </c>
      <c r="Z41" s="299" t="s">
        <v>14</v>
      </c>
      <c r="AA41" s="299" t="s">
        <v>14</v>
      </c>
      <c r="AB41" s="299" t="s">
        <v>14</v>
      </c>
      <c r="AC41" s="299"/>
    </row>
    <row r="42" spans="1:29" s="304" customFormat="1">
      <c r="A42" s="298">
        <v>44565</v>
      </c>
      <c r="B42" s="299" t="s">
        <v>1068</v>
      </c>
      <c r="C42" s="299" t="s">
        <v>1091</v>
      </c>
      <c r="D42" s="299" t="s">
        <v>225</v>
      </c>
      <c r="E42" s="299" t="s">
        <v>1092</v>
      </c>
      <c r="F42" s="299"/>
      <c r="G42" s="299">
        <v>3</v>
      </c>
      <c r="H42" s="299">
        <v>1</v>
      </c>
      <c r="I42" s="299" t="s">
        <v>14</v>
      </c>
      <c r="J42" s="300" t="s">
        <v>1093</v>
      </c>
      <c r="K42" s="301" t="s">
        <v>274</v>
      </c>
      <c r="L42" s="302">
        <v>42109</v>
      </c>
      <c r="M42" s="299" t="s">
        <v>14</v>
      </c>
      <c r="N42" s="299">
        <v>21</v>
      </c>
      <c r="O42" s="299">
        <v>90</v>
      </c>
      <c r="P42" s="299" t="s">
        <v>14</v>
      </c>
      <c r="Q42" s="299" t="s">
        <v>13</v>
      </c>
      <c r="R42" s="303"/>
      <c r="S42" s="303"/>
      <c r="T42" s="303"/>
      <c r="U42" s="173" t="str">
        <f t="shared" si="1"/>
        <v/>
      </c>
      <c r="V42" s="299" t="s">
        <v>14</v>
      </c>
      <c r="W42" s="299" t="s">
        <v>14</v>
      </c>
      <c r="X42" s="299" t="s">
        <v>14</v>
      </c>
      <c r="Y42" s="299" t="s">
        <v>14</v>
      </c>
      <c r="Z42" s="299" t="s">
        <v>14</v>
      </c>
      <c r="AA42" s="299" t="s">
        <v>14</v>
      </c>
      <c r="AB42" s="299" t="s">
        <v>14</v>
      </c>
      <c r="AC42" s="299"/>
    </row>
    <row r="43" spans="1:29" s="304" customFormat="1">
      <c r="A43" s="298">
        <v>44570</v>
      </c>
      <c r="B43" s="299" t="s">
        <v>1140</v>
      </c>
      <c r="C43" s="299" t="s">
        <v>1537</v>
      </c>
      <c r="D43" s="299" t="s">
        <v>226</v>
      </c>
      <c r="E43" s="299" t="s">
        <v>1263</v>
      </c>
      <c r="F43" s="299"/>
      <c r="G43" s="299">
        <v>4</v>
      </c>
      <c r="H43" s="299">
        <v>0</v>
      </c>
      <c r="I43" s="299" t="s">
        <v>14</v>
      </c>
      <c r="J43" s="300" t="s">
        <v>1264</v>
      </c>
      <c r="K43" s="301" t="s">
        <v>952</v>
      </c>
      <c r="L43" s="302">
        <v>42038</v>
      </c>
      <c r="M43" s="299" t="s">
        <v>14</v>
      </c>
      <c r="N43" s="299">
        <v>14</v>
      </c>
      <c r="O43" s="299">
        <v>60</v>
      </c>
      <c r="P43" s="299" t="s">
        <v>14</v>
      </c>
      <c r="Q43" s="299" t="s">
        <v>14</v>
      </c>
      <c r="R43" s="299" t="s">
        <v>14</v>
      </c>
      <c r="S43" s="299">
        <v>7</v>
      </c>
      <c r="T43" s="299">
        <v>30</v>
      </c>
      <c r="U43" s="173">
        <f t="shared" si="1"/>
        <v>0.33333333333333331</v>
      </c>
      <c r="V43" s="299" t="s">
        <v>14</v>
      </c>
      <c r="W43" s="299" t="s">
        <v>14</v>
      </c>
      <c r="X43" s="299" t="s">
        <v>14</v>
      </c>
      <c r="Y43" s="299" t="s">
        <v>14</v>
      </c>
      <c r="Z43" s="299" t="s">
        <v>14</v>
      </c>
      <c r="AA43" s="299" t="s">
        <v>14</v>
      </c>
      <c r="AB43" s="299" t="s">
        <v>14</v>
      </c>
      <c r="AC43" s="299"/>
    </row>
    <row r="44" spans="1:29" s="304" customFormat="1">
      <c r="A44" s="298">
        <v>44573</v>
      </c>
      <c r="B44" s="299" t="s">
        <v>1120</v>
      </c>
      <c r="C44" s="299" t="s">
        <v>1204</v>
      </c>
      <c r="D44" s="299" t="s">
        <v>225</v>
      </c>
      <c r="E44" s="299" t="s">
        <v>1205</v>
      </c>
      <c r="F44" s="299"/>
      <c r="G44" s="299">
        <v>4</v>
      </c>
      <c r="H44" s="299">
        <v>0</v>
      </c>
      <c r="I44" s="299" t="s">
        <v>14</v>
      </c>
      <c r="J44" s="300" t="s">
        <v>1206</v>
      </c>
      <c r="K44" s="301" t="s">
        <v>952</v>
      </c>
      <c r="L44" s="302">
        <v>42006</v>
      </c>
      <c r="M44" s="299" t="s">
        <v>14</v>
      </c>
      <c r="N44" s="299">
        <v>17</v>
      </c>
      <c r="O44" s="299">
        <v>68</v>
      </c>
      <c r="P44" s="299" t="s">
        <v>14</v>
      </c>
      <c r="Q44" s="299" t="s">
        <v>13</v>
      </c>
      <c r="R44" s="303"/>
      <c r="S44" s="303"/>
      <c r="T44" s="303"/>
      <c r="U44" s="173" t="str">
        <f t="shared" si="1"/>
        <v/>
      </c>
      <c r="V44" s="299" t="s">
        <v>14</v>
      </c>
      <c r="W44" s="299" t="s">
        <v>14</v>
      </c>
      <c r="X44" s="299" t="s">
        <v>14</v>
      </c>
      <c r="Y44" s="299" t="s">
        <v>14</v>
      </c>
      <c r="Z44" s="299" t="s">
        <v>14</v>
      </c>
      <c r="AA44" s="299" t="s">
        <v>14</v>
      </c>
      <c r="AB44" s="299" t="s">
        <v>14</v>
      </c>
      <c r="AC44" s="299"/>
    </row>
    <row r="45" spans="1:29" s="304" customFormat="1">
      <c r="A45" s="298">
        <v>44567</v>
      </c>
      <c r="B45" s="299" t="s">
        <v>127</v>
      </c>
      <c r="C45" s="299" t="s">
        <v>1399</v>
      </c>
      <c r="D45" s="299" t="s">
        <v>225</v>
      </c>
      <c r="E45" s="298" t="s">
        <v>1400</v>
      </c>
      <c r="F45" s="299"/>
      <c r="G45" s="299">
        <v>3</v>
      </c>
      <c r="H45" s="299">
        <v>1</v>
      </c>
      <c r="I45" s="299" t="s">
        <v>14</v>
      </c>
      <c r="J45" s="300" t="s">
        <v>1401</v>
      </c>
      <c r="K45" s="301" t="s">
        <v>274</v>
      </c>
      <c r="L45" s="302">
        <v>42184</v>
      </c>
      <c r="M45" s="299" t="s">
        <v>14</v>
      </c>
      <c r="N45" s="299">
        <v>14</v>
      </c>
      <c r="O45" s="299">
        <v>60</v>
      </c>
      <c r="P45" s="299" t="s">
        <v>14</v>
      </c>
      <c r="Q45" s="299" t="s">
        <v>13</v>
      </c>
      <c r="R45" s="303"/>
      <c r="S45" s="303"/>
      <c r="T45" s="303"/>
      <c r="U45" s="173" t="str">
        <f t="shared" si="1"/>
        <v/>
      </c>
      <c r="V45" s="299" t="s">
        <v>14</v>
      </c>
      <c r="W45" s="299" t="s">
        <v>14</v>
      </c>
      <c r="X45" s="299" t="s">
        <v>14</v>
      </c>
      <c r="Y45" s="299" t="s">
        <v>14</v>
      </c>
      <c r="Z45" s="299" t="s">
        <v>14</v>
      </c>
      <c r="AA45" s="299" t="s">
        <v>14</v>
      </c>
      <c r="AB45" s="299" t="s">
        <v>14</v>
      </c>
      <c r="AC45" s="299"/>
    </row>
    <row r="46" spans="1:29" s="304" customFormat="1">
      <c r="A46" s="298">
        <v>44571</v>
      </c>
      <c r="B46" s="299" t="s">
        <v>1027</v>
      </c>
      <c r="C46" s="299" t="s">
        <v>1028</v>
      </c>
      <c r="D46" s="299" t="s">
        <v>225</v>
      </c>
      <c r="E46" s="299" t="s">
        <v>1029</v>
      </c>
      <c r="F46" s="299"/>
      <c r="G46" s="299">
        <v>3</v>
      </c>
      <c r="H46" s="299">
        <v>2</v>
      </c>
      <c r="I46" s="299" t="s">
        <v>14</v>
      </c>
      <c r="J46" s="300" t="s">
        <v>1030</v>
      </c>
      <c r="K46" s="301" t="s">
        <v>274</v>
      </c>
      <c r="L46" s="302">
        <v>42110</v>
      </c>
      <c r="M46" s="299" t="s">
        <v>14</v>
      </c>
      <c r="N46" s="299">
        <v>21</v>
      </c>
      <c r="O46" s="299">
        <v>90</v>
      </c>
      <c r="P46" s="299" t="s">
        <v>14</v>
      </c>
      <c r="Q46" s="299" t="s">
        <v>13</v>
      </c>
      <c r="R46" s="303"/>
      <c r="S46" s="303"/>
      <c r="T46" s="303"/>
      <c r="U46" s="173" t="str">
        <f t="shared" si="1"/>
        <v/>
      </c>
      <c r="V46" s="299" t="s">
        <v>14</v>
      </c>
      <c r="W46" s="299" t="s">
        <v>14</v>
      </c>
      <c r="X46" s="299" t="s">
        <v>14</v>
      </c>
      <c r="Y46" s="299" t="s">
        <v>14</v>
      </c>
      <c r="Z46" s="299" t="s">
        <v>14</v>
      </c>
      <c r="AA46" s="299" t="s">
        <v>14</v>
      </c>
      <c r="AB46" s="299" t="s">
        <v>14</v>
      </c>
      <c r="AC46" s="299"/>
    </row>
    <row r="47" spans="1:29" s="304" customFormat="1">
      <c r="A47" s="298">
        <v>44574</v>
      </c>
      <c r="B47" s="299" t="s">
        <v>1546</v>
      </c>
      <c r="C47" s="299" t="s">
        <v>1454</v>
      </c>
      <c r="D47" s="299" t="s">
        <v>225</v>
      </c>
      <c r="E47" s="299" t="s">
        <v>1566</v>
      </c>
      <c r="F47" s="299"/>
      <c r="G47" s="299">
        <v>3</v>
      </c>
      <c r="H47" s="299">
        <v>1</v>
      </c>
      <c r="I47" s="299" t="s">
        <v>14</v>
      </c>
      <c r="J47" s="306" t="s">
        <v>1455</v>
      </c>
      <c r="K47" s="301" t="s">
        <v>274</v>
      </c>
      <c r="L47" s="302">
        <v>42115</v>
      </c>
      <c r="M47" s="299" t="s">
        <v>13</v>
      </c>
      <c r="N47" s="299"/>
      <c r="O47" s="299"/>
      <c r="P47" s="299"/>
      <c r="Q47" s="299"/>
      <c r="R47" s="299"/>
      <c r="S47" s="299"/>
      <c r="T47" s="299"/>
      <c r="U47" s="173" t="str">
        <f t="shared" si="1"/>
        <v/>
      </c>
      <c r="V47" s="299"/>
      <c r="W47" s="299"/>
      <c r="X47" s="299"/>
      <c r="Y47" s="299"/>
      <c r="Z47" s="299"/>
      <c r="AA47" s="299"/>
      <c r="AB47" s="299"/>
      <c r="AC47" s="299"/>
    </row>
    <row r="48" spans="1:29" s="304" customFormat="1">
      <c r="A48" s="298">
        <v>44565</v>
      </c>
      <c r="B48" s="299" t="s">
        <v>105</v>
      </c>
      <c r="C48" s="299" t="s">
        <v>1344</v>
      </c>
      <c r="D48" s="299" t="s">
        <v>225</v>
      </c>
      <c r="E48" s="298" t="s">
        <v>1345</v>
      </c>
      <c r="F48" s="299"/>
      <c r="G48" s="299">
        <v>5</v>
      </c>
      <c r="H48" s="299">
        <v>1</v>
      </c>
      <c r="I48" s="299" t="s">
        <v>14</v>
      </c>
      <c r="J48" s="300" t="s">
        <v>1346</v>
      </c>
      <c r="K48" s="301" t="s">
        <v>952</v>
      </c>
      <c r="L48" s="302">
        <v>41849</v>
      </c>
      <c r="M48" s="299" t="s">
        <v>14</v>
      </c>
      <c r="N48" s="299">
        <v>14</v>
      </c>
      <c r="O48" s="299">
        <v>56</v>
      </c>
      <c r="P48" s="299" t="s">
        <v>14</v>
      </c>
      <c r="Q48" s="299" t="s">
        <v>13</v>
      </c>
      <c r="R48" s="303"/>
      <c r="S48" s="303"/>
      <c r="T48" s="303"/>
      <c r="U48" s="173" t="str">
        <f t="shared" si="1"/>
        <v/>
      </c>
      <c r="V48" s="299" t="s">
        <v>14</v>
      </c>
      <c r="W48" s="299" t="s">
        <v>14</v>
      </c>
      <c r="X48" s="299" t="s">
        <v>14</v>
      </c>
      <c r="Y48" s="299" t="s">
        <v>14</v>
      </c>
      <c r="Z48" s="299" t="s">
        <v>14</v>
      </c>
      <c r="AA48" s="299" t="s">
        <v>14</v>
      </c>
      <c r="AB48" s="299" t="s">
        <v>14</v>
      </c>
      <c r="AC48" s="299"/>
    </row>
    <row r="49" spans="1:29" s="304" customFormat="1">
      <c r="A49" s="298">
        <v>44565</v>
      </c>
      <c r="B49" s="299" t="s">
        <v>105</v>
      </c>
      <c r="C49" s="299" t="s">
        <v>1213</v>
      </c>
      <c r="D49" s="299" t="s">
        <v>226</v>
      </c>
      <c r="E49" s="299" t="s">
        <v>1214</v>
      </c>
      <c r="F49" s="299"/>
      <c r="G49" s="299">
        <v>3</v>
      </c>
      <c r="H49" s="299">
        <v>1</v>
      </c>
      <c r="I49" s="299" t="s">
        <v>14</v>
      </c>
      <c r="J49" s="300" t="s">
        <v>1215</v>
      </c>
      <c r="K49" s="301" t="s">
        <v>952</v>
      </c>
      <c r="L49" s="302">
        <v>41943</v>
      </c>
      <c r="M49" s="299" t="s">
        <v>14</v>
      </c>
      <c r="N49" s="299">
        <v>14</v>
      </c>
      <c r="O49" s="299">
        <v>56</v>
      </c>
      <c r="P49" s="299" t="s">
        <v>14</v>
      </c>
      <c r="Q49" s="299" t="s">
        <v>13</v>
      </c>
      <c r="R49" s="303"/>
      <c r="S49" s="303"/>
      <c r="T49" s="303"/>
      <c r="U49" s="173" t="str">
        <f t="shared" si="1"/>
        <v/>
      </c>
      <c r="V49" s="299" t="s">
        <v>14</v>
      </c>
      <c r="W49" s="299" t="s">
        <v>14</v>
      </c>
      <c r="X49" s="299" t="s">
        <v>14</v>
      </c>
      <c r="Y49" s="299" t="s">
        <v>14</v>
      </c>
      <c r="Z49" s="299" t="s">
        <v>14</v>
      </c>
      <c r="AA49" s="299" t="s">
        <v>14</v>
      </c>
      <c r="AB49" s="299" t="s">
        <v>14</v>
      </c>
      <c r="AC49" s="299"/>
    </row>
    <row r="50" spans="1:29" s="304" customFormat="1">
      <c r="A50" s="298">
        <v>44566</v>
      </c>
      <c r="B50" s="299" t="s">
        <v>105</v>
      </c>
      <c r="C50" s="299" t="s">
        <v>1327</v>
      </c>
      <c r="D50" s="299" t="s">
        <v>226</v>
      </c>
      <c r="E50" s="299" t="s">
        <v>1328</v>
      </c>
      <c r="F50" s="299"/>
      <c r="G50" s="299">
        <v>2</v>
      </c>
      <c r="H50" s="299">
        <v>3</v>
      </c>
      <c r="I50" s="299" t="s">
        <v>14</v>
      </c>
      <c r="J50" s="300" t="s">
        <v>1329</v>
      </c>
      <c r="K50" s="301" t="s">
        <v>952</v>
      </c>
      <c r="L50" s="302">
        <v>41862</v>
      </c>
      <c r="M50" s="299" t="s">
        <v>14</v>
      </c>
      <c r="N50" s="299">
        <v>14</v>
      </c>
      <c r="O50" s="299">
        <v>56</v>
      </c>
      <c r="P50" s="299" t="s">
        <v>14</v>
      </c>
      <c r="Q50" s="299" t="s">
        <v>13</v>
      </c>
      <c r="R50" s="303"/>
      <c r="S50" s="303"/>
      <c r="T50" s="303"/>
      <c r="U50" s="173" t="str">
        <f t="shared" si="1"/>
        <v/>
      </c>
      <c r="V50" s="299" t="s">
        <v>14</v>
      </c>
      <c r="W50" s="299" t="s">
        <v>14</v>
      </c>
      <c r="X50" s="299" t="s">
        <v>14</v>
      </c>
      <c r="Y50" s="299" t="s">
        <v>14</v>
      </c>
      <c r="Z50" s="299" t="s">
        <v>14</v>
      </c>
      <c r="AA50" s="299" t="s">
        <v>14</v>
      </c>
      <c r="AB50" s="299" t="s">
        <v>14</v>
      </c>
      <c r="AC50" s="299"/>
    </row>
    <row r="51" spans="1:29" s="304" customFormat="1">
      <c r="A51" s="298">
        <v>44574</v>
      </c>
      <c r="B51" s="299" t="s">
        <v>119</v>
      </c>
      <c r="C51" s="299" t="s">
        <v>1186</v>
      </c>
      <c r="D51" s="299" t="s">
        <v>226</v>
      </c>
      <c r="E51" s="299" t="s">
        <v>1187</v>
      </c>
      <c r="F51" s="299"/>
      <c r="G51" s="299">
        <v>3</v>
      </c>
      <c r="H51" s="299">
        <v>2</v>
      </c>
      <c r="I51" s="299" t="s">
        <v>14</v>
      </c>
      <c r="J51" s="300" t="s">
        <v>1188</v>
      </c>
      <c r="K51" s="301" t="s">
        <v>952</v>
      </c>
      <c r="L51" s="302">
        <v>41941</v>
      </c>
      <c r="M51" s="299" t="s">
        <v>14</v>
      </c>
      <c r="N51" s="299">
        <v>14</v>
      </c>
      <c r="O51" s="299">
        <v>60</v>
      </c>
      <c r="P51" s="299" t="s">
        <v>14</v>
      </c>
      <c r="Q51" s="299" t="s">
        <v>13</v>
      </c>
      <c r="R51" s="303"/>
      <c r="S51" s="303"/>
      <c r="T51" s="303"/>
      <c r="U51" s="173" t="str">
        <f t="shared" si="1"/>
        <v/>
      </c>
      <c r="V51" s="299" t="s">
        <v>14</v>
      </c>
      <c r="W51" s="299" t="s">
        <v>14</v>
      </c>
      <c r="X51" s="299" t="s">
        <v>14</v>
      </c>
      <c r="Y51" s="299" t="s">
        <v>14</v>
      </c>
      <c r="Z51" s="299" t="s">
        <v>14</v>
      </c>
      <c r="AA51" s="299" t="s">
        <v>14</v>
      </c>
      <c r="AB51" s="299" t="s">
        <v>14</v>
      </c>
      <c r="AC51" s="299"/>
    </row>
    <row r="52" spans="1:29" s="304" customFormat="1">
      <c r="A52" s="298">
        <v>44567</v>
      </c>
      <c r="B52" s="299" t="s">
        <v>127</v>
      </c>
      <c r="C52" s="299" t="s">
        <v>1216</v>
      </c>
      <c r="D52" s="299" t="s">
        <v>225</v>
      </c>
      <c r="E52" s="299" t="s">
        <v>1217</v>
      </c>
      <c r="F52" s="299"/>
      <c r="G52" s="299">
        <v>4</v>
      </c>
      <c r="H52" s="299">
        <v>0</v>
      </c>
      <c r="I52" s="299" t="s">
        <v>14</v>
      </c>
      <c r="J52" s="300" t="s">
        <v>1218</v>
      </c>
      <c r="K52" s="301" t="s">
        <v>274</v>
      </c>
      <c r="L52" s="302">
        <v>42075</v>
      </c>
      <c r="M52" s="299" t="s">
        <v>14</v>
      </c>
      <c r="N52" s="299">
        <v>14</v>
      </c>
      <c r="O52" s="299">
        <v>60</v>
      </c>
      <c r="P52" s="299" t="s">
        <v>14</v>
      </c>
      <c r="Q52" s="299" t="s">
        <v>13</v>
      </c>
      <c r="R52" s="303"/>
      <c r="S52" s="303"/>
      <c r="T52" s="303"/>
      <c r="U52" s="173" t="str">
        <f t="shared" si="1"/>
        <v/>
      </c>
      <c r="V52" s="299" t="s">
        <v>14</v>
      </c>
      <c r="W52" s="299" t="s">
        <v>14</v>
      </c>
      <c r="X52" s="299" t="s">
        <v>14</v>
      </c>
      <c r="Y52" s="299" t="s">
        <v>14</v>
      </c>
      <c r="Z52" s="299" t="s">
        <v>14</v>
      </c>
      <c r="AA52" s="299" t="s">
        <v>14</v>
      </c>
      <c r="AB52" s="299" t="s">
        <v>14</v>
      </c>
      <c r="AC52" s="299"/>
    </row>
    <row r="53" spans="1:29" s="304" customFormat="1">
      <c r="A53" s="298">
        <v>44567</v>
      </c>
      <c r="B53" s="299" t="s">
        <v>1140</v>
      </c>
      <c r="C53" s="299" t="s">
        <v>1291</v>
      </c>
      <c r="D53" s="299" t="s">
        <v>226</v>
      </c>
      <c r="E53" s="299" t="s">
        <v>1292</v>
      </c>
      <c r="F53" s="299"/>
      <c r="G53" s="299">
        <v>2</v>
      </c>
      <c r="H53" s="299">
        <v>3</v>
      </c>
      <c r="I53" s="299" t="s">
        <v>14</v>
      </c>
      <c r="J53" s="300" t="s">
        <v>1293</v>
      </c>
      <c r="K53" s="301" t="s">
        <v>274</v>
      </c>
      <c r="L53" s="302">
        <v>42110</v>
      </c>
      <c r="M53" s="299" t="s">
        <v>14</v>
      </c>
      <c r="N53" s="299">
        <v>14</v>
      </c>
      <c r="O53" s="299">
        <v>60</v>
      </c>
      <c r="P53" s="299" t="s">
        <v>14</v>
      </c>
      <c r="Q53" s="299" t="s">
        <v>13</v>
      </c>
      <c r="R53" s="303"/>
      <c r="S53" s="303"/>
      <c r="T53" s="303"/>
      <c r="U53" s="173" t="str">
        <f t="shared" si="1"/>
        <v/>
      </c>
      <c r="V53" s="299" t="s">
        <v>14</v>
      </c>
      <c r="W53" s="299" t="s">
        <v>14</v>
      </c>
      <c r="X53" s="299" t="s">
        <v>14</v>
      </c>
      <c r="Y53" s="299" t="s">
        <v>14</v>
      </c>
      <c r="Z53" s="299" t="s">
        <v>14</v>
      </c>
      <c r="AA53" s="299" t="s">
        <v>14</v>
      </c>
      <c r="AB53" s="299" t="s">
        <v>14</v>
      </c>
      <c r="AC53" s="299"/>
    </row>
    <row r="54" spans="1:29" s="304" customFormat="1">
      <c r="A54" s="298">
        <v>44564</v>
      </c>
      <c r="B54" s="299" t="s">
        <v>1023</v>
      </c>
      <c r="C54" s="299" t="s">
        <v>1024</v>
      </c>
      <c r="D54" s="299" t="s">
        <v>225</v>
      </c>
      <c r="E54" s="299" t="s">
        <v>1025</v>
      </c>
      <c r="F54" s="299"/>
      <c r="G54" s="299">
        <v>6</v>
      </c>
      <c r="H54" s="299">
        <v>1</v>
      </c>
      <c r="I54" s="299" t="s">
        <v>14</v>
      </c>
      <c r="J54" s="300" t="s">
        <v>1026</v>
      </c>
      <c r="K54" s="301" t="s">
        <v>274</v>
      </c>
      <c r="L54" s="302">
        <v>42124</v>
      </c>
      <c r="M54" s="299" t="s">
        <v>14</v>
      </c>
      <c r="N54" s="299">
        <v>14</v>
      </c>
      <c r="O54" s="299">
        <v>60</v>
      </c>
      <c r="P54" s="299" t="s">
        <v>14</v>
      </c>
      <c r="Q54" s="299" t="s">
        <v>13</v>
      </c>
      <c r="R54" s="303"/>
      <c r="S54" s="303"/>
      <c r="T54" s="303"/>
      <c r="U54" s="173" t="str">
        <f t="shared" si="1"/>
        <v/>
      </c>
      <c r="V54" s="299" t="s">
        <v>14</v>
      </c>
      <c r="W54" s="299" t="s">
        <v>14</v>
      </c>
      <c r="X54" s="299" t="s">
        <v>14</v>
      </c>
      <c r="Y54" s="299" t="s">
        <v>14</v>
      </c>
      <c r="Z54" s="299" t="s">
        <v>14</v>
      </c>
      <c r="AA54" s="299" t="s">
        <v>14</v>
      </c>
      <c r="AB54" s="299" t="s">
        <v>14</v>
      </c>
      <c r="AC54" s="299"/>
    </row>
    <row r="55" spans="1:29" s="304" customFormat="1">
      <c r="A55" s="298">
        <v>44572</v>
      </c>
      <c r="B55" s="299" t="s">
        <v>119</v>
      </c>
      <c r="C55" s="299" t="s">
        <v>1305</v>
      </c>
      <c r="D55" s="299" t="s">
        <v>226</v>
      </c>
      <c r="E55" s="299" t="s">
        <v>1306</v>
      </c>
      <c r="F55" s="299"/>
      <c r="G55" s="299">
        <v>2</v>
      </c>
      <c r="H55" s="299">
        <v>1</v>
      </c>
      <c r="I55" s="299" t="s">
        <v>14</v>
      </c>
      <c r="J55" s="300" t="s">
        <v>1307</v>
      </c>
      <c r="K55" s="301" t="s">
        <v>952</v>
      </c>
      <c r="L55" s="302">
        <v>41831</v>
      </c>
      <c r="M55" s="299" t="s">
        <v>14</v>
      </c>
      <c r="N55" s="299">
        <v>7</v>
      </c>
      <c r="O55" s="299">
        <v>30</v>
      </c>
      <c r="P55" s="299" t="s">
        <v>14</v>
      </c>
      <c r="Q55" s="299" t="s">
        <v>14</v>
      </c>
      <c r="R55" s="299" t="s">
        <v>14</v>
      </c>
      <c r="S55" s="299">
        <v>7</v>
      </c>
      <c r="T55" s="299">
        <v>30</v>
      </c>
      <c r="U55" s="173">
        <f t="shared" si="1"/>
        <v>0.5</v>
      </c>
      <c r="V55" s="299" t="s">
        <v>14</v>
      </c>
      <c r="W55" s="299" t="s">
        <v>14</v>
      </c>
      <c r="X55" s="299" t="s">
        <v>14</v>
      </c>
      <c r="Y55" s="299" t="s">
        <v>14</v>
      </c>
      <c r="Z55" s="299" t="s">
        <v>14</v>
      </c>
      <c r="AA55" s="299" t="s">
        <v>14</v>
      </c>
      <c r="AB55" s="299" t="s">
        <v>14</v>
      </c>
      <c r="AC55" s="299"/>
    </row>
    <row r="56" spans="1:29" s="304" customFormat="1">
      <c r="A56" s="298">
        <v>44567</v>
      </c>
      <c r="B56" s="299" t="s">
        <v>1144</v>
      </c>
      <c r="C56" s="299" t="s">
        <v>1341</v>
      </c>
      <c r="D56" s="299" t="s">
        <v>226</v>
      </c>
      <c r="E56" s="299" t="s">
        <v>1342</v>
      </c>
      <c r="F56" s="299"/>
      <c r="G56" s="299">
        <v>5</v>
      </c>
      <c r="H56" s="299">
        <v>1</v>
      </c>
      <c r="I56" s="299" t="s">
        <v>14</v>
      </c>
      <c r="J56" s="300" t="s">
        <v>1343</v>
      </c>
      <c r="K56" s="301" t="s">
        <v>952</v>
      </c>
      <c r="L56" s="302">
        <v>41897</v>
      </c>
      <c r="M56" s="299" t="s">
        <v>14</v>
      </c>
      <c r="N56" s="299">
        <v>14</v>
      </c>
      <c r="O56" s="299">
        <v>60</v>
      </c>
      <c r="P56" s="299" t="s">
        <v>14</v>
      </c>
      <c r="Q56" s="299" t="s">
        <v>13</v>
      </c>
      <c r="R56" s="303"/>
      <c r="S56" s="303"/>
      <c r="T56" s="303"/>
      <c r="U56" s="173" t="str">
        <f t="shared" si="1"/>
        <v/>
      </c>
      <c r="V56" s="299" t="s">
        <v>14</v>
      </c>
      <c r="W56" s="299" t="s">
        <v>14</v>
      </c>
      <c r="X56" s="299" t="s">
        <v>14</v>
      </c>
      <c r="Y56" s="299" t="s">
        <v>14</v>
      </c>
      <c r="Z56" s="299" t="s">
        <v>14</v>
      </c>
      <c r="AA56" s="299" t="s">
        <v>14</v>
      </c>
      <c r="AB56" s="299" t="s">
        <v>14</v>
      </c>
      <c r="AC56" s="299"/>
    </row>
    <row r="57" spans="1:29" s="304" customFormat="1">
      <c r="A57" s="298">
        <v>44572</v>
      </c>
      <c r="B57" s="299" t="s">
        <v>1549</v>
      </c>
      <c r="C57" s="299" t="s">
        <v>1472</v>
      </c>
      <c r="D57" s="299" t="s">
        <v>225</v>
      </c>
      <c r="E57" s="299" t="s">
        <v>1570</v>
      </c>
      <c r="F57" s="299"/>
      <c r="G57" s="299">
        <v>2</v>
      </c>
      <c r="H57" s="299">
        <v>1</v>
      </c>
      <c r="I57" s="299" t="s">
        <v>14</v>
      </c>
      <c r="J57" s="306" t="s">
        <v>1473</v>
      </c>
      <c r="K57" s="301" t="s">
        <v>274</v>
      </c>
      <c r="L57" s="302">
        <v>42170</v>
      </c>
      <c r="M57" s="299" t="s">
        <v>13</v>
      </c>
      <c r="N57" s="299"/>
      <c r="O57" s="299"/>
      <c r="P57" s="299"/>
      <c r="Q57" s="299"/>
      <c r="R57" s="299"/>
      <c r="S57" s="299"/>
      <c r="T57" s="299"/>
      <c r="U57" s="173" t="str">
        <f t="shared" si="1"/>
        <v/>
      </c>
      <c r="V57" s="299"/>
      <c r="W57" s="299"/>
      <c r="X57" s="299"/>
      <c r="Y57" s="299"/>
      <c r="Z57" s="299"/>
      <c r="AA57" s="299"/>
      <c r="AB57" s="299"/>
      <c r="AC57" s="299"/>
    </row>
    <row r="58" spans="1:29" s="304" customFormat="1">
      <c r="A58" s="298">
        <v>44573</v>
      </c>
      <c r="B58" s="299" t="s">
        <v>1120</v>
      </c>
      <c r="C58" s="299" t="s">
        <v>1308</v>
      </c>
      <c r="D58" s="304" t="s">
        <v>226</v>
      </c>
      <c r="E58" s="299" t="s">
        <v>1309</v>
      </c>
      <c r="F58" s="299"/>
      <c r="G58" s="299">
        <v>6</v>
      </c>
      <c r="H58" s="299">
        <v>0</v>
      </c>
      <c r="I58" s="299" t="s">
        <v>14</v>
      </c>
      <c r="J58" s="300" t="s">
        <v>1310</v>
      </c>
      <c r="K58" s="301" t="s">
        <v>952</v>
      </c>
      <c r="L58" s="302">
        <v>41896</v>
      </c>
      <c r="M58" s="299" t="s">
        <v>14</v>
      </c>
      <c r="N58" s="299">
        <v>20</v>
      </c>
      <c r="O58" s="299">
        <v>80</v>
      </c>
      <c r="P58" s="299" t="s">
        <v>14</v>
      </c>
      <c r="Q58" s="299" t="s">
        <v>13</v>
      </c>
      <c r="R58" s="303"/>
      <c r="S58" s="303"/>
      <c r="T58" s="303"/>
      <c r="U58" s="173" t="str">
        <f t="shared" si="1"/>
        <v/>
      </c>
      <c r="V58" s="299" t="s">
        <v>14</v>
      </c>
      <c r="W58" s="299" t="s">
        <v>14</v>
      </c>
      <c r="X58" s="299" t="s">
        <v>14</v>
      </c>
      <c r="Y58" s="299" t="s">
        <v>14</v>
      </c>
      <c r="Z58" s="299" t="s">
        <v>14</v>
      </c>
      <c r="AA58" s="299" t="s">
        <v>14</v>
      </c>
      <c r="AB58" s="299" t="s">
        <v>14</v>
      </c>
      <c r="AC58" s="299"/>
    </row>
    <row r="59" spans="1:29" s="304" customFormat="1">
      <c r="A59" s="298">
        <v>44566</v>
      </c>
      <c r="B59" s="299" t="s">
        <v>108</v>
      </c>
      <c r="C59" s="299" t="s">
        <v>1222</v>
      </c>
      <c r="D59" s="299" t="s">
        <v>225</v>
      </c>
      <c r="E59" s="299" t="s">
        <v>1223</v>
      </c>
      <c r="F59" s="299"/>
      <c r="G59" s="299">
        <v>5</v>
      </c>
      <c r="H59" s="299">
        <v>1</v>
      </c>
      <c r="I59" s="299" t="s">
        <v>14</v>
      </c>
      <c r="J59" s="300" t="s">
        <v>1224</v>
      </c>
      <c r="K59" s="301" t="s">
        <v>952</v>
      </c>
      <c r="L59" s="302">
        <v>41890</v>
      </c>
      <c r="M59" s="299" t="s">
        <v>14</v>
      </c>
      <c r="N59" s="299">
        <v>15</v>
      </c>
      <c r="O59" s="299">
        <v>60</v>
      </c>
      <c r="P59" s="299" t="s">
        <v>14</v>
      </c>
      <c r="Q59" s="299" t="s">
        <v>14</v>
      </c>
      <c r="R59" s="299" t="s">
        <v>14</v>
      </c>
      <c r="S59" s="299">
        <v>5</v>
      </c>
      <c r="T59" s="299">
        <v>20</v>
      </c>
      <c r="U59" s="173">
        <f t="shared" si="1"/>
        <v>0.25</v>
      </c>
      <c r="V59" s="299" t="s">
        <v>14</v>
      </c>
      <c r="W59" s="299" t="s">
        <v>14</v>
      </c>
      <c r="X59" s="299" t="s">
        <v>14</v>
      </c>
      <c r="Y59" s="299" t="s">
        <v>14</v>
      </c>
      <c r="Z59" s="299" t="s">
        <v>14</v>
      </c>
      <c r="AA59" s="299" t="s">
        <v>14</v>
      </c>
      <c r="AB59" s="299" t="s">
        <v>14</v>
      </c>
      <c r="AC59" s="299"/>
    </row>
    <row r="60" spans="1:29" s="304" customFormat="1">
      <c r="A60" s="298">
        <v>44578</v>
      </c>
      <c r="B60" s="299" t="s">
        <v>998</v>
      </c>
      <c r="C60" s="299" t="s">
        <v>1002</v>
      </c>
      <c r="D60" s="299" t="s">
        <v>226</v>
      </c>
      <c r="E60" s="299" t="s">
        <v>1003</v>
      </c>
      <c r="F60" s="299"/>
      <c r="G60" s="299">
        <v>5</v>
      </c>
      <c r="H60" s="299">
        <v>0</v>
      </c>
      <c r="I60" s="299" t="s">
        <v>14</v>
      </c>
      <c r="J60" s="300" t="s">
        <v>1004</v>
      </c>
      <c r="K60" s="301" t="s">
        <v>952</v>
      </c>
      <c r="L60" s="302">
        <v>42014</v>
      </c>
      <c r="M60" s="299" t="s">
        <v>14</v>
      </c>
      <c r="N60" s="299">
        <v>19</v>
      </c>
      <c r="O60" s="299">
        <v>75</v>
      </c>
      <c r="P60" s="299" t="s">
        <v>14</v>
      </c>
      <c r="Q60" s="299" t="s">
        <v>13</v>
      </c>
      <c r="R60" s="303"/>
      <c r="S60" s="303"/>
      <c r="T60" s="303"/>
      <c r="U60" s="173" t="str">
        <f t="shared" si="1"/>
        <v/>
      </c>
      <c r="V60" s="299" t="s">
        <v>14</v>
      </c>
      <c r="W60" s="299" t="s">
        <v>14</v>
      </c>
      <c r="X60" s="299" t="s">
        <v>14</v>
      </c>
      <c r="Y60" s="299" t="s">
        <v>14</v>
      </c>
      <c r="Z60" s="299" t="s">
        <v>14</v>
      </c>
      <c r="AA60" s="299" t="s">
        <v>14</v>
      </c>
      <c r="AB60" s="299" t="s">
        <v>14</v>
      </c>
      <c r="AC60" s="299"/>
    </row>
    <row r="61" spans="1:29" s="304" customFormat="1">
      <c r="A61" s="298">
        <v>44578</v>
      </c>
      <c r="B61" s="299" t="s">
        <v>121</v>
      </c>
      <c r="C61" s="299" t="s">
        <v>34</v>
      </c>
      <c r="D61" s="299" t="s">
        <v>226</v>
      </c>
      <c r="E61" s="299" t="s">
        <v>1610</v>
      </c>
      <c r="F61" s="299"/>
      <c r="G61" s="299">
        <v>3</v>
      </c>
      <c r="H61" s="299">
        <v>1</v>
      </c>
      <c r="I61" s="299" t="s">
        <v>14</v>
      </c>
      <c r="J61" s="300" t="s">
        <v>1061</v>
      </c>
      <c r="K61" s="301" t="s">
        <v>274</v>
      </c>
      <c r="L61" s="302">
        <v>42112</v>
      </c>
      <c r="M61" s="299" t="s">
        <v>14</v>
      </c>
      <c r="N61" s="299">
        <v>15</v>
      </c>
      <c r="O61" s="299">
        <v>60</v>
      </c>
      <c r="P61" s="299" t="s">
        <v>14</v>
      </c>
      <c r="Q61" s="299" t="s">
        <v>14</v>
      </c>
      <c r="R61" s="299" t="s">
        <v>14</v>
      </c>
      <c r="S61" s="299">
        <v>5</v>
      </c>
      <c r="T61" s="299">
        <v>20</v>
      </c>
      <c r="U61" s="173">
        <f t="shared" si="1"/>
        <v>0.25</v>
      </c>
      <c r="V61" s="299" t="s">
        <v>14</v>
      </c>
      <c r="W61" s="299" t="s">
        <v>14</v>
      </c>
      <c r="X61" s="299" t="s">
        <v>14</v>
      </c>
      <c r="Y61" s="299" t="s">
        <v>14</v>
      </c>
      <c r="Z61" s="299" t="s">
        <v>14</v>
      </c>
      <c r="AA61" s="299" t="s">
        <v>14</v>
      </c>
      <c r="AB61" s="299" t="s">
        <v>14</v>
      </c>
      <c r="AC61" s="299"/>
    </row>
    <row r="62" spans="1:29" s="304" customFormat="1">
      <c r="A62" s="298">
        <v>44577</v>
      </c>
      <c r="B62" s="299" t="s">
        <v>1013</v>
      </c>
      <c r="C62" s="299" t="s">
        <v>1014</v>
      </c>
      <c r="D62" s="299" t="s">
        <v>225</v>
      </c>
      <c r="E62" s="299" t="s">
        <v>1015</v>
      </c>
      <c r="F62" s="299"/>
      <c r="G62" s="299">
        <v>2</v>
      </c>
      <c r="H62" s="299">
        <v>2</v>
      </c>
      <c r="I62" s="299" t="s">
        <v>14</v>
      </c>
      <c r="J62" s="300" t="s">
        <v>1016</v>
      </c>
      <c r="K62" s="301" t="s">
        <v>952</v>
      </c>
      <c r="L62" s="302">
        <v>41893</v>
      </c>
      <c r="M62" s="299" t="s">
        <v>14</v>
      </c>
      <c r="N62" s="299">
        <v>21</v>
      </c>
      <c r="O62" s="299">
        <v>90</v>
      </c>
      <c r="P62" s="299" t="s">
        <v>14</v>
      </c>
      <c r="Q62" s="299" t="s">
        <v>13</v>
      </c>
      <c r="R62" s="303"/>
      <c r="S62" s="303"/>
      <c r="T62" s="303"/>
      <c r="U62" s="173" t="str">
        <f t="shared" si="1"/>
        <v/>
      </c>
      <c r="V62" s="299" t="s">
        <v>14</v>
      </c>
      <c r="W62" s="299" t="s">
        <v>14</v>
      </c>
      <c r="X62" s="299" t="s">
        <v>14</v>
      </c>
      <c r="Y62" s="299" t="s">
        <v>14</v>
      </c>
      <c r="Z62" s="299" t="s">
        <v>14</v>
      </c>
      <c r="AA62" s="299" t="s">
        <v>14</v>
      </c>
      <c r="AB62" s="299" t="s">
        <v>14</v>
      </c>
      <c r="AC62" s="299"/>
    </row>
    <row r="63" spans="1:29" s="304" customFormat="1">
      <c r="A63" s="298">
        <v>44564</v>
      </c>
      <c r="B63" s="299" t="s">
        <v>123</v>
      </c>
      <c r="C63" s="299" t="s">
        <v>1031</v>
      </c>
      <c r="D63" s="299" t="s">
        <v>226</v>
      </c>
      <c r="E63" s="299" t="s">
        <v>1032</v>
      </c>
      <c r="F63" s="299"/>
      <c r="G63" s="299">
        <v>2</v>
      </c>
      <c r="H63" s="299">
        <v>4</v>
      </c>
      <c r="I63" s="299" t="s">
        <v>14</v>
      </c>
      <c r="J63" s="300" t="s">
        <v>1033</v>
      </c>
      <c r="K63" s="301" t="s">
        <v>952</v>
      </c>
      <c r="L63" s="302">
        <v>41933</v>
      </c>
      <c r="M63" s="299" t="s">
        <v>14</v>
      </c>
      <c r="N63" s="299">
        <v>18</v>
      </c>
      <c r="O63" s="299">
        <v>75</v>
      </c>
      <c r="P63" s="299" t="s">
        <v>14</v>
      </c>
      <c r="Q63" s="299" t="s">
        <v>13</v>
      </c>
      <c r="R63" s="303"/>
      <c r="S63" s="303"/>
      <c r="T63" s="303"/>
      <c r="U63" s="173" t="str">
        <f t="shared" si="1"/>
        <v/>
      </c>
      <c r="V63" s="299" t="s">
        <v>14</v>
      </c>
      <c r="W63" s="299" t="s">
        <v>14</v>
      </c>
      <c r="X63" s="299" t="s">
        <v>14</v>
      </c>
      <c r="Y63" s="299" t="s">
        <v>14</v>
      </c>
      <c r="Z63" s="299" t="s">
        <v>14</v>
      </c>
      <c r="AA63" s="299" t="s">
        <v>14</v>
      </c>
      <c r="AB63" s="299" t="s">
        <v>14</v>
      </c>
      <c r="AC63" s="299"/>
    </row>
    <row r="64" spans="1:29" s="304" customFormat="1">
      <c r="A64" s="298">
        <v>44564</v>
      </c>
      <c r="B64" s="299" t="s">
        <v>124</v>
      </c>
      <c r="C64" s="299" t="s">
        <v>1423</v>
      </c>
      <c r="D64" s="299" t="s">
        <v>225</v>
      </c>
      <c r="E64" s="298" t="s">
        <v>1424</v>
      </c>
      <c r="F64" s="299"/>
      <c r="G64" s="299">
        <v>2</v>
      </c>
      <c r="H64" s="299">
        <v>2</v>
      </c>
      <c r="I64" s="299" t="s">
        <v>14</v>
      </c>
      <c r="J64" s="300" t="s">
        <v>1425</v>
      </c>
      <c r="K64" s="301" t="s">
        <v>952</v>
      </c>
      <c r="L64" s="302">
        <v>41932</v>
      </c>
      <c r="M64" s="299" t="s">
        <v>14</v>
      </c>
      <c r="N64" s="299">
        <v>14</v>
      </c>
      <c r="O64" s="299">
        <v>56</v>
      </c>
      <c r="P64" s="299" t="s">
        <v>14</v>
      </c>
      <c r="Q64" s="299" t="s">
        <v>13</v>
      </c>
      <c r="R64" s="303"/>
      <c r="S64" s="303"/>
      <c r="T64" s="303"/>
      <c r="U64" s="173" t="str">
        <f t="shared" si="1"/>
        <v/>
      </c>
      <c r="V64" s="299" t="s">
        <v>14</v>
      </c>
      <c r="W64" s="299" t="s">
        <v>14</v>
      </c>
      <c r="X64" s="299" t="s">
        <v>14</v>
      </c>
      <c r="Y64" s="299" t="s">
        <v>14</v>
      </c>
      <c r="Z64" s="299" t="s">
        <v>14</v>
      </c>
      <c r="AA64" s="299" t="s">
        <v>14</v>
      </c>
      <c r="AB64" s="299" t="s">
        <v>14</v>
      </c>
      <c r="AC64" s="299"/>
    </row>
    <row r="65" spans="1:29" s="304" customFormat="1">
      <c r="A65" s="298">
        <v>44565</v>
      </c>
      <c r="B65" s="299" t="s">
        <v>958</v>
      </c>
      <c r="C65" s="299" t="s">
        <v>1606</v>
      </c>
      <c r="D65" s="299" t="s">
        <v>225</v>
      </c>
      <c r="E65" s="299" t="s">
        <v>959</v>
      </c>
      <c r="F65" s="299"/>
      <c r="G65" s="299">
        <v>3</v>
      </c>
      <c r="H65" s="299">
        <v>1</v>
      </c>
      <c r="I65" s="299" t="s">
        <v>14</v>
      </c>
      <c r="J65" s="300" t="s">
        <v>960</v>
      </c>
      <c r="K65" s="301" t="s">
        <v>952</v>
      </c>
      <c r="L65" s="302">
        <v>42013</v>
      </c>
      <c r="M65" s="299" t="s">
        <v>14</v>
      </c>
      <c r="N65" s="299">
        <v>6</v>
      </c>
      <c r="O65" s="299">
        <v>25</v>
      </c>
      <c r="P65" s="299" t="s">
        <v>14</v>
      </c>
      <c r="Q65" s="299" t="s">
        <v>14</v>
      </c>
      <c r="R65" s="299" t="s">
        <v>14</v>
      </c>
      <c r="S65" s="299">
        <v>12</v>
      </c>
      <c r="T65" s="299">
        <v>50</v>
      </c>
      <c r="U65" s="173">
        <f t="shared" si="1"/>
        <v>0.66666666666666663</v>
      </c>
      <c r="V65" s="299" t="s">
        <v>14</v>
      </c>
      <c r="W65" s="299" t="s">
        <v>14</v>
      </c>
      <c r="X65" s="299" t="s">
        <v>14</v>
      </c>
      <c r="Y65" s="299" t="s">
        <v>14</v>
      </c>
      <c r="Z65" s="299" t="s">
        <v>14</v>
      </c>
      <c r="AA65" s="299" t="s">
        <v>14</v>
      </c>
      <c r="AB65" s="299" t="s">
        <v>14</v>
      </c>
      <c r="AC65" s="299"/>
    </row>
    <row r="66" spans="1:29" s="304" customFormat="1">
      <c r="A66" s="298">
        <v>44577</v>
      </c>
      <c r="B66" s="299" t="s">
        <v>1546</v>
      </c>
      <c r="C66" s="299" t="s">
        <v>1442</v>
      </c>
      <c r="D66" s="299" t="s">
        <v>225</v>
      </c>
      <c r="E66" s="299" t="s">
        <v>1568</v>
      </c>
      <c r="F66" s="299"/>
      <c r="G66" s="299">
        <v>4</v>
      </c>
      <c r="H66" s="299">
        <v>1</v>
      </c>
      <c r="I66" s="299" t="s">
        <v>14</v>
      </c>
      <c r="J66" s="306" t="s">
        <v>1443</v>
      </c>
      <c r="K66" s="301" t="s">
        <v>274</v>
      </c>
      <c r="L66" s="302">
        <v>42184</v>
      </c>
      <c r="M66" s="299" t="s">
        <v>13</v>
      </c>
      <c r="N66" s="299"/>
      <c r="O66" s="299"/>
      <c r="P66" s="299"/>
      <c r="Q66" s="299"/>
      <c r="R66" s="299"/>
      <c r="S66" s="299"/>
      <c r="T66" s="299"/>
      <c r="U66" s="173" t="str">
        <f t="shared" si="1"/>
        <v/>
      </c>
      <c r="V66" s="299"/>
      <c r="W66" s="299"/>
      <c r="X66" s="299"/>
      <c r="Y66" s="299"/>
      <c r="Z66" s="299"/>
      <c r="AA66" s="299"/>
      <c r="AB66" s="299"/>
      <c r="AC66" s="299"/>
    </row>
    <row r="67" spans="1:29" s="304" customFormat="1">
      <c r="A67" s="298">
        <v>44573</v>
      </c>
      <c r="B67" s="299" t="s">
        <v>141</v>
      </c>
      <c r="C67" s="299" t="s">
        <v>1153</v>
      </c>
      <c r="D67" s="299" t="s">
        <v>226</v>
      </c>
      <c r="E67" s="299" t="s">
        <v>1154</v>
      </c>
      <c r="F67" s="299"/>
      <c r="G67" s="299">
        <v>2</v>
      </c>
      <c r="H67" s="299">
        <v>1</v>
      </c>
      <c r="I67" s="299" t="s">
        <v>14</v>
      </c>
      <c r="J67" s="300" t="s">
        <v>1155</v>
      </c>
      <c r="K67" s="301" t="s">
        <v>274</v>
      </c>
      <c r="L67" s="302">
        <v>42170</v>
      </c>
      <c r="M67" s="299" t="s">
        <v>14</v>
      </c>
      <c r="N67" s="299">
        <v>21</v>
      </c>
      <c r="O67" s="299">
        <v>90</v>
      </c>
      <c r="P67" s="299" t="s">
        <v>14</v>
      </c>
      <c r="Q67" s="299" t="s">
        <v>13</v>
      </c>
      <c r="R67" s="303"/>
      <c r="S67" s="303"/>
      <c r="T67" s="303"/>
      <c r="U67" s="173" t="str">
        <f t="shared" ref="U67:U98" si="2">IF(R67="Yes",MAX(S67/(S67+N67),T67/(T67+O67)),"")</f>
        <v/>
      </c>
      <c r="V67" s="299" t="s">
        <v>14</v>
      </c>
      <c r="W67" s="299" t="s">
        <v>14</v>
      </c>
      <c r="X67" s="299" t="s">
        <v>14</v>
      </c>
      <c r="Y67" s="299" t="s">
        <v>14</v>
      </c>
      <c r="Z67" s="299" t="s">
        <v>14</v>
      </c>
      <c r="AA67" s="299" t="s">
        <v>14</v>
      </c>
      <c r="AB67" s="299" t="s">
        <v>14</v>
      </c>
      <c r="AC67" s="299"/>
    </row>
    <row r="68" spans="1:29" s="304" customFormat="1">
      <c r="A68" s="298">
        <v>44571</v>
      </c>
      <c r="B68" s="299" t="s">
        <v>110</v>
      </c>
      <c r="C68" s="299" t="s">
        <v>1239</v>
      </c>
      <c r="D68" s="299" t="s">
        <v>226</v>
      </c>
      <c r="E68" s="299" t="s">
        <v>1240</v>
      </c>
      <c r="F68" s="299"/>
      <c r="G68" s="299">
        <v>3</v>
      </c>
      <c r="H68" s="299">
        <v>1</v>
      </c>
      <c r="I68" s="299" t="s">
        <v>14</v>
      </c>
      <c r="J68" s="300" t="s">
        <v>1241</v>
      </c>
      <c r="K68" s="301" t="s">
        <v>952</v>
      </c>
      <c r="L68" s="302">
        <v>41999</v>
      </c>
      <c r="M68" s="299" t="s">
        <v>14</v>
      </c>
      <c r="N68" s="299">
        <v>14</v>
      </c>
      <c r="O68" s="299">
        <v>60</v>
      </c>
      <c r="P68" s="299" t="s">
        <v>14</v>
      </c>
      <c r="Q68" s="299" t="s">
        <v>13</v>
      </c>
      <c r="R68" s="303"/>
      <c r="S68" s="303"/>
      <c r="T68" s="303"/>
      <c r="U68" s="173" t="str">
        <f t="shared" si="2"/>
        <v/>
      </c>
      <c r="V68" s="299" t="s">
        <v>14</v>
      </c>
      <c r="W68" s="299" t="s">
        <v>14</v>
      </c>
      <c r="X68" s="299" t="s">
        <v>14</v>
      </c>
      <c r="Y68" s="299" t="s">
        <v>14</v>
      </c>
      <c r="Z68" s="299" t="s">
        <v>14</v>
      </c>
      <c r="AA68" s="299" t="s">
        <v>14</v>
      </c>
      <c r="AB68" s="299" t="s">
        <v>14</v>
      </c>
      <c r="AC68" s="299"/>
    </row>
    <row r="69" spans="1:29" s="304" customFormat="1">
      <c r="A69" s="298">
        <v>44572</v>
      </c>
      <c r="B69" s="299" t="s">
        <v>1120</v>
      </c>
      <c r="C69" s="299" t="s">
        <v>1464</v>
      </c>
      <c r="D69" s="299" t="s">
        <v>225</v>
      </c>
      <c r="E69" s="299" t="s">
        <v>1583</v>
      </c>
      <c r="F69" s="299"/>
      <c r="G69" s="299">
        <v>2</v>
      </c>
      <c r="H69" s="299">
        <v>1</v>
      </c>
      <c r="I69" s="299" t="s">
        <v>13</v>
      </c>
      <c r="J69" s="306" t="s">
        <v>1465</v>
      </c>
      <c r="K69" s="301" t="s">
        <v>274</v>
      </c>
      <c r="L69" s="302">
        <v>42113</v>
      </c>
      <c r="M69" s="299"/>
      <c r="N69" s="299"/>
      <c r="O69" s="299"/>
      <c r="P69" s="299"/>
      <c r="Q69" s="299"/>
      <c r="R69" s="299"/>
      <c r="S69" s="299"/>
      <c r="T69" s="299"/>
      <c r="U69" s="173" t="str">
        <f t="shared" si="2"/>
        <v/>
      </c>
      <c r="V69" s="299"/>
      <c r="W69" s="299"/>
      <c r="X69" s="299"/>
      <c r="Y69" s="299"/>
      <c r="Z69" s="299"/>
      <c r="AA69" s="299"/>
      <c r="AB69" s="299"/>
      <c r="AC69" s="299"/>
    </row>
    <row r="70" spans="1:29" s="304" customFormat="1">
      <c r="A70" s="298">
        <v>44578</v>
      </c>
      <c r="B70" s="299" t="s">
        <v>1034</v>
      </c>
      <c r="C70" s="299" t="s">
        <v>1035</v>
      </c>
      <c r="D70" s="299" t="s">
        <v>1036</v>
      </c>
      <c r="E70" s="299" t="s">
        <v>1037</v>
      </c>
      <c r="F70" s="299"/>
      <c r="G70" s="299">
        <v>3</v>
      </c>
      <c r="H70" s="299">
        <v>1</v>
      </c>
      <c r="I70" s="299" t="s">
        <v>14</v>
      </c>
      <c r="J70" s="300" t="s">
        <v>1038</v>
      </c>
      <c r="K70" s="301" t="s">
        <v>274</v>
      </c>
      <c r="L70" s="302">
        <v>42139</v>
      </c>
      <c r="M70" s="299" t="s">
        <v>14</v>
      </c>
      <c r="N70" s="299">
        <v>21</v>
      </c>
      <c r="O70" s="299">
        <v>90</v>
      </c>
      <c r="P70" s="299" t="s">
        <v>14</v>
      </c>
      <c r="Q70" s="299" t="s">
        <v>13</v>
      </c>
      <c r="R70" s="303"/>
      <c r="S70" s="303"/>
      <c r="T70" s="303"/>
      <c r="U70" s="173" t="str">
        <f t="shared" si="2"/>
        <v/>
      </c>
      <c r="V70" s="299" t="s">
        <v>14</v>
      </c>
      <c r="W70" s="299" t="s">
        <v>14</v>
      </c>
      <c r="X70" s="299" t="s">
        <v>14</v>
      </c>
      <c r="Y70" s="299" t="s">
        <v>14</v>
      </c>
      <c r="Z70" s="299" t="s">
        <v>14</v>
      </c>
      <c r="AA70" s="299" t="s">
        <v>14</v>
      </c>
      <c r="AB70" s="299" t="s">
        <v>14</v>
      </c>
      <c r="AC70" s="299"/>
    </row>
    <row r="71" spans="1:29" s="304" customFormat="1">
      <c r="A71" s="298">
        <v>44578</v>
      </c>
      <c r="B71" s="299" t="s">
        <v>1172</v>
      </c>
      <c r="C71" s="299" t="s">
        <v>1173</v>
      </c>
      <c r="D71" s="299" t="s">
        <v>226</v>
      </c>
      <c r="E71" s="299" t="s">
        <v>1174</v>
      </c>
      <c r="F71" s="299"/>
      <c r="G71" s="299">
        <v>5</v>
      </c>
      <c r="H71" s="299">
        <v>1</v>
      </c>
      <c r="I71" s="299" t="s">
        <v>14</v>
      </c>
      <c r="J71" s="300" t="s">
        <v>1175</v>
      </c>
      <c r="K71" s="301" t="s">
        <v>274</v>
      </c>
      <c r="L71" s="302">
        <v>42118</v>
      </c>
      <c r="M71" s="299" t="s">
        <v>14</v>
      </c>
      <c r="N71" s="299">
        <v>14</v>
      </c>
      <c r="O71" s="299">
        <v>60</v>
      </c>
      <c r="P71" s="299" t="s">
        <v>14</v>
      </c>
      <c r="Q71" s="299" t="s">
        <v>13</v>
      </c>
      <c r="R71" s="303"/>
      <c r="S71" s="303"/>
      <c r="T71" s="303"/>
      <c r="U71" s="173" t="str">
        <f t="shared" si="2"/>
        <v/>
      </c>
      <c r="V71" s="299" t="s">
        <v>14</v>
      </c>
      <c r="W71" s="299" t="s">
        <v>14</v>
      </c>
      <c r="X71" s="299" t="s">
        <v>14</v>
      </c>
      <c r="Y71" s="299" t="s">
        <v>14</v>
      </c>
      <c r="Z71" s="299" t="s">
        <v>14</v>
      </c>
      <c r="AA71" s="299" t="s">
        <v>14</v>
      </c>
      <c r="AB71" s="299" t="s">
        <v>14</v>
      </c>
      <c r="AC71" s="299"/>
    </row>
    <row r="72" spans="1:29" s="304" customFormat="1">
      <c r="A72" s="298">
        <v>44567</v>
      </c>
      <c r="B72" s="299" t="s">
        <v>105</v>
      </c>
      <c r="C72" s="299" t="s">
        <v>1503</v>
      </c>
      <c r="D72" s="299" t="s">
        <v>226</v>
      </c>
      <c r="E72" s="299" t="s">
        <v>1504</v>
      </c>
      <c r="F72" s="299"/>
      <c r="G72" s="299">
        <v>4</v>
      </c>
      <c r="H72" s="299">
        <v>1</v>
      </c>
      <c r="I72" s="299" t="s">
        <v>14</v>
      </c>
      <c r="J72" s="306" t="s">
        <v>1505</v>
      </c>
      <c r="K72" s="301" t="s">
        <v>952</v>
      </c>
      <c r="L72" s="302">
        <v>41941</v>
      </c>
      <c r="M72" s="299" t="s">
        <v>13</v>
      </c>
      <c r="N72" s="299"/>
      <c r="O72" s="299"/>
      <c r="P72" s="299"/>
      <c r="Q72" s="299"/>
      <c r="R72" s="299"/>
      <c r="S72" s="299"/>
      <c r="T72" s="299"/>
      <c r="U72" s="173" t="str">
        <f t="shared" si="2"/>
        <v/>
      </c>
      <c r="V72" s="299"/>
      <c r="W72" s="299"/>
      <c r="X72" s="299"/>
      <c r="Y72" s="299"/>
      <c r="Z72" s="299"/>
      <c r="AA72" s="299"/>
      <c r="AB72" s="299"/>
      <c r="AC72" s="299"/>
    </row>
    <row r="73" spans="1:29" s="304" customFormat="1">
      <c r="A73" s="298">
        <v>44567</v>
      </c>
      <c r="B73" s="299" t="s">
        <v>105</v>
      </c>
      <c r="C73" s="299" t="s">
        <v>1519</v>
      </c>
      <c r="D73" s="299" t="s">
        <v>225</v>
      </c>
      <c r="E73" s="299" t="s">
        <v>1520</v>
      </c>
      <c r="F73" s="299"/>
      <c r="G73" s="299">
        <v>3</v>
      </c>
      <c r="H73" s="299">
        <v>0</v>
      </c>
      <c r="I73" s="299" t="s">
        <v>14</v>
      </c>
      <c r="J73" s="306" t="s">
        <v>1521</v>
      </c>
      <c r="K73" s="301" t="s">
        <v>952</v>
      </c>
      <c r="L73" s="302">
        <v>41942</v>
      </c>
      <c r="M73" s="299" t="s">
        <v>13</v>
      </c>
      <c r="N73" s="299"/>
      <c r="O73" s="299"/>
      <c r="P73" s="299"/>
      <c r="Q73" s="299"/>
      <c r="R73" s="299"/>
      <c r="S73" s="299"/>
      <c r="T73" s="299"/>
      <c r="U73" s="173" t="str">
        <f t="shared" si="2"/>
        <v/>
      </c>
      <c r="V73" s="299"/>
      <c r="W73" s="299"/>
      <c r="X73" s="299"/>
      <c r="Y73" s="299"/>
      <c r="Z73" s="299"/>
      <c r="AA73" s="299"/>
      <c r="AB73" s="299"/>
      <c r="AC73" s="299"/>
    </row>
    <row r="74" spans="1:29" s="304" customFormat="1">
      <c r="A74" s="298">
        <v>44564</v>
      </c>
      <c r="B74" s="299" t="s">
        <v>105</v>
      </c>
      <c r="C74" s="299" t="s">
        <v>1444</v>
      </c>
      <c r="D74" s="299" t="s">
        <v>225</v>
      </c>
      <c r="E74" s="299" t="s">
        <v>1565</v>
      </c>
      <c r="F74" s="299"/>
      <c r="G74" s="299">
        <v>4</v>
      </c>
      <c r="H74" s="299">
        <v>0</v>
      </c>
      <c r="I74" s="299" t="s">
        <v>14</v>
      </c>
      <c r="J74" s="306" t="s">
        <v>1445</v>
      </c>
      <c r="K74" s="301" t="s">
        <v>274</v>
      </c>
      <c r="L74" s="302">
        <v>42158</v>
      </c>
      <c r="M74" s="299" t="s">
        <v>13</v>
      </c>
      <c r="N74" s="299"/>
      <c r="O74" s="299"/>
      <c r="P74" s="299"/>
      <c r="Q74" s="299"/>
      <c r="R74" s="299"/>
      <c r="S74" s="299"/>
      <c r="T74" s="299"/>
      <c r="U74" s="173" t="str">
        <f t="shared" si="2"/>
        <v/>
      </c>
      <c r="V74" s="299"/>
      <c r="W74" s="299"/>
      <c r="X74" s="299"/>
      <c r="Y74" s="299"/>
      <c r="Z74" s="299"/>
      <c r="AA74" s="299"/>
      <c r="AB74" s="299"/>
      <c r="AC74" s="299"/>
    </row>
    <row r="75" spans="1:29" s="304" customFormat="1">
      <c r="A75" s="298">
        <v>44570</v>
      </c>
      <c r="B75" s="299" t="s">
        <v>124</v>
      </c>
      <c r="C75" s="299" t="s">
        <v>1330</v>
      </c>
      <c r="D75" s="299" t="s">
        <v>226</v>
      </c>
      <c r="E75" s="299" t="s">
        <v>1609</v>
      </c>
      <c r="F75" s="299"/>
      <c r="G75" s="299">
        <v>2</v>
      </c>
      <c r="H75" s="299">
        <v>2</v>
      </c>
      <c r="I75" s="299" t="s">
        <v>14</v>
      </c>
      <c r="J75" s="300" t="s">
        <v>1331</v>
      </c>
      <c r="K75" s="301" t="s">
        <v>274</v>
      </c>
      <c r="L75" s="302">
        <v>42099</v>
      </c>
      <c r="M75" s="299" t="s">
        <v>14</v>
      </c>
      <c r="N75" s="299">
        <v>14</v>
      </c>
      <c r="O75" s="299">
        <v>56</v>
      </c>
      <c r="P75" s="299" t="s">
        <v>14</v>
      </c>
      <c r="Q75" s="299" t="s">
        <v>13</v>
      </c>
      <c r="R75" s="303"/>
      <c r="S75" s="303"/>
      <c r="T75" s="303"/>
      <c r="U75" s="173" t="str">
        <f t="shared" si="2"/>
        <v/>
      </c>
      <c r="V75" s="299" t="s">
        <v>14</v>
      </c>
      <c r="W75" s="299" t="s">
        <v>14</v>
      </c>
      <c r="X75" s="299" t="s">
        <v>14</v>
      </c>
      <c r="Y75" s="299" t="s">
        <v>14</v>
      </c>
      <c r="Z75" s="299" t="s">
        <v>14</v>
      </c>
      <c r="AA75" s="299" t="s">
        <v>14</v>
      </c>
      <c r="AB75" s="299" t="s">
        <v>14</v>
      </c>
      <c r="AC75" s="299"/>
    </row>
    <row r="76" spans="1:29" s="304" customFormat="1">
      <c r="A76" s="298">
        <v>44566</v>
      </c>
      <c r="B76" s="299" t="s">
        <v>1547</v>
      </c>
      <c r="C76" s="299" t="s">
        <v>1470</v>
      </c>
      <c r="D76" s="304" t="s">
        <v>225</v>
      </c>
      <c r="E76" s="299" t="s">
        <v>1567</v>
      </c>
      <c r="F76" s="299"/>
      <c r="G76" s="299">
        <v>2</v>
      </c>
      <c r="H76" s="299">
        <v>1</v>
      </c>
      <c r="I76" s="299" t="s">
        <v>14</v>
      </c>
      <c r="J76" s="306" t="s">
        <v>1471</v>
      </c>
      <c r="K76" s="301" t="s">
        <v>274</v>
      </c>
      <c r="L76" s="302">
        <v>42124</v>
      </c>
      <c r="M76" s="299" t="s">
        <v>13</v>
      </c>
      <c r="N76" s="299"/>
      <c r="O76" s="299"/>
      <c r="P76" s="299"/>
      <c r="Q76" s="299"/>
      <c r="R76" s="299"/>
      <c r="S76" s="299"/>
      <c r="T76" s="299"/>
      <c r="U76" s="173" t="str">
        <f t="shared" si="2"/>
        <v/>
      </c>
      <c r="V76" s="299"/>
      <c r="W76" s="299"/>
      <c r="X76" s="299"/>
      <c r="Y76" s="299"/>
      <c r="Z76" s="299"/>
      <c r="AA76" s="299"/>
      <c r="AB76" s="299"/>
      <c r="AC76" s="299"/>
    </row>
    <row r="77" spans="1:29" s="304" customFormat="1">
      <c r="A77" s="298">
        <v>44566</v>
      </c>
      <c r="B77" s="299" t="s">
        <v>1023</v>
      </c>
      <c r="C77" s="299" t="s">
        <v>1533</v>
      </c>
      <c r="D77" s="299" t="s">
        <v>225</v>
      </c>
      <c r="E77" s="299" t="s">
        <v>1607</v>
      </c>
      <c r="F77" s="299"/>
      <c r="G77" s="299">
        <v>3</v>
      </c>
      <c r="H77" s="299">
        <v>0</v>
      </c>
      <c r="I77" s="299" t="s">
        <v>14</v>
      </c>
      <c r="J77" s="300" t="s">
        <v>1232</v>
      </c>
      <c r="K77" s="301" t="s">
        <v>274</v>
      </c>
      <c r="L77" s="302">
        <v>42139</v>
      </c>
      <c r="M77" s="299" t="s">
        <v>14</v>
      </c>
      <c r="N77" s="299">
        <v>7</v>
      </c>
      <c r="O77" s="299">
        <v>30</v>
      </c>
      <c r="P77" s="299" t="s">
        <v>14</v>
      </c>
      <c r="Q77" s="299" t="s">
        <v>14</v>
      </c>
      <c r="R77" s="299" t="s">
        <v>14</v>
      </c>
      <c r="S77" s="299">
        <v>7</v>
      </c>
      <c r="T77" s="299">
        <v>30</v>
      </c>
      <c r="U77" s="173">
        <f t="shared" si="2"/>
        <v>0.5</v>
      </c>
      <c r="V77" s="299" t="s">
        <v>14</v>
      </c>
      <c r="W77" s="299" t="s">
        <v>14</v>
      </c>
      <c r="X77" s="299" t="s">
        <v>14</v>
      </c>
      <c r="Y77" s="299" t="s">
        <v>14</v>
      </c>
      <c r="Z77" s="299" t="s">
        <v>14</v>
      </c>
      <c r="AA77" s="299" t="s">
        <v>14</v>
      </c>
      <c r="AB77" s="299" t="s">
        <v>14</v>
      </c>
      <c r="AC77" s="299"/>
    </row>
    <row r="78" spans="1:29" s="304" customFormat="1">
      <c r="A78" s="298">
        <v>44565</v>
      </c>
      <c r="B78" s="299" t="s">
        <v>105</v>
      </c>
      <c r="C78" s="299" t="s">
        <v>1414</v>
      </c>
      <c r="D78" s="299" t="s">
        <v>226</v>
      </c>
      <c r="E78" s="298" t="s">
        <v>1415</v>
      </c>
      <c r="F78" s="299"/>
      <c r="G78" s="299">
        <v>1</v>
      </c>
      <c r="H78" s="299">
        <v>0</v>
      </c>
      <c r="I78" s="299" t="s">
        <v>14</v>
      </c>
      <c r="J78" s="307" t="s">
        <v>1416</v>
      </c>
      <c r="K78" s="301" t="s">
        <v>952</v>
      </c>
      <c r="L78" s="302">
        <v>41901</v>
      </c>
      <c r="M78" s="299" t="s">
        <v>14</v>
      </c>
      <c r="N78" s="299">
        <v>14</v>
      </c>
      <c r="O78" s="299">
        <v>56</v>
      </c>
      <c r="P78" s="299" t="s">
        <v>14</v>
      </c>
      <c r="Q78" s="299" t="s">
        <v>13</v>
      </c>
      <c r="R78" s="303"/>
      <c r="S78" s="303"/>
      <c r="T78" s="303"/>
      <c r="U78" s="173" t="str">
        <f t="shared" si="2"/>
        <v/>
      </c>
      <c r="V78" s="299" t="s">
        <v>14</v>
      </c>
      <c r="W78" s="299" t="s">
        <v>14</v>
      </c>
      <c r="X78" s="299" t="s">
        <v>14</v>
      </c>
      <c r="Y78" s="299" t="s">
        <v>14</v>
      </c>
      <c r="Z78" s="299" t="s">
        <v>14</v>
      </c>
      <c r="AA78" s="299" t="s">
        <v>14</v>
      </c>
      <c r="AB78" s="299" t="s">
        <v>14</v>
      </c>
      <c r="AC78" s="299"/>
    </row>
    <row r="79" spans="1:29" s="304" customFormat="1">
      <c r="A79" s="298">
        <v>44577</v>
      </c>
      <c r="B79" s="299" t="s">
        <v>105</v>
      </c>
      <c r="C79" s="299" t="s">
        <v>1207</v>
      </c>
      <c r="D79" s="299" t="s">
        <v>226</v>
      </c>
      <c r="E79" s="299" t="s">
        <v>1208</v>
      </c>
      <c r="F79" s="299"/>
      <c r="G79" s="299">
        <v>3</v>
      </c>
      <c r="H79" s="299">
        <v>1</v>
      </c>
      <c r="I79" s="299" t="s">
        <v>14</v>
      </c>
      <c r="J79" s="307" t="s">
        <v>1209</v>
      </c>
      <c r="K79" s="301" t="s">
        <v>952</v>
      </c>
      <c r="L79" s="302">
        <v>42063</v>
      </c>
      <c r="M79" s="299" t="s">
        <v>14</v>
      </c>
      <c r="N79" s="299">
        <v>16</v>
      </c>
      <c r="O79" s="299">
        <v>64</v>
      </c>
      <c r="P79" s="299" t="s">
        <v>14</v>
      </c>
      <c r="Q79" s="299" t="s">
        <v>13</v>
      </c>
      <c r="R79" s="303"/>
      <c r="S79" s="303"/>
      <c r="T79" s="303"/>
      <c r="U79" s="173" t="str">
        <f t="shared" si="2"/>
        <v/>
      </c>
      <c r="V79" s="299" t="s">
        <v>14</v>
      </c>
      <c r="W79" s="299" t="s">
        <v>14</v>
      </c>
      <c r="X79" s="299" t="s">
        <v>14</v>
      </c>
      <c r="Y79" s="299" t="s">
        <v>14</v>
      </c>
      <c r="Z79" s="299" t="s">
        <v>14</v>
      </c>
      <c r="AA79" s="299" t="s">
        <v>14</v>
      </c>
      <c r="AB79" s="299" t="s">
        <v>14</v>
      </c>
      <c r="AC79" s="299"/>
    </row>
    <row r="80" spans="1:29" s="304" customFormat="1">
      <c r="A80" s="298">
        <v>44566</v>
      </c>
      <c r="B80" s="299" t="s">
        <v>1547</v>
      </c>
      <c r="C80" s="299" t="s">
        <v>1438</v>
      </c>
      <c r="D80" s="299" t="s">
        <v>225</v>
      </c>
      <c r="E80" s="299" t="s">
        <v>1589</v>
      </c>
      <c r="F80" s="299"/>
      <c r="G80" s="299">
        <v>2</v>
      </c>
      <c r="H80" s="299">
        <v>1</v>
      </c>
      <c r="I80" s="299" t="s">
        <v>13</v>
      </c>
      <c r="J80" s="306" t="s">
        <v>1439</v>
      </c>
      <c r="K80" s="301" t="s">
        <v>274</v>
      </c>
      <c r="L80" s="302">
        <v>42178</v>
      </c>
      <c r="M80" s="299"/>
      <c r="N80" s="299"/>
      <c r="O80" s="299"/>
      <c r="P80" s="299"/>
      <c r="Q80" s="299"/>
      <c r="R80" s="299"/>
      <c r="S80" s="299"/>
      <c r="T80" s="299"/>
      <c r="U80" s="173" t="str">
        <f t="shared" si="2"/>
        <v/>
      </c>
      <c r="V80" s="299"/>
      <c r="W80" s="299"/>
      <c r="X80" s="299"/>
      <c r="Y80" s="299"/>
      <c r="Z80" s="299"/>
      <c r="AA80" s="299"/>
      <c r="AB80" s="299"/>
      <c r="AC80" s="299"/>
    </row>
    <row r="81" spans="1:29" s="304" customFormat="1">
      <c r="A81" s="298">
        <v>44567</v>
      </c>
      <c r="B81" s="299" t="s">
        <v>1105</v>
      </c>
      <c r="C81" s="299" t="s">
        <v>1381</v>
      </c>
      <c r="D81" s="299" t="s">
        <v>226</v>
      </c>
      <c r="E81" s="299" t="s">
        <v>1382</v>
      </c>
      <c r="F81" s="299"/>
      <c r="G81" s="299">
        <v>2</v>
      </c>
      <c r="H81" s="299">
        <v>2</v>
      </c>
      <c r="I81" s="299" t="s">
        <v>14</v>
      </c>
      <c r="J81" s="300" t="s">
        <v>1383</v>
      </c>
      <c r="K81" s="301" t="s">
        <v>274</v>
      </c>
      <c r="L81" s="302">
        <v>42123</v>
      </c>
      <c r="M81" s="299" t="s">
        <v>14</v>
      </c>
      <c r="N81" s="299">
        <v>21</v>
      </c>
      <c r="O81" s="299">
        <v>90</v>
      </c>
      <c r="P81" s="299" t="s">
        <v>14</v>
      </c>
      <c r="Q81" s="299" t="s">
        <v>13</v>
      </c>
      <c r="R81" s="303"/>
      <c r="S81" s="303"/>
      <c r="T81" s="303"/>
      <c r="U81" s="173" t="str">
        <f t="shared" si="2"/>
        <v/>
      </c>
      <c r="V81" s="299" t="s">
        <v>14</v>
      </c>
      <c r="W81" s="299" t="s">
        <v>14</v>
      </c>
      <c r="X81" s="299" t="s">
        <v>14</v>
      </c>
      <c r="Y81" s="299" t="s">
        <v>14</v>
      </c>
      <c r="Z81" s="299" t="s">
        <v>14</v>
      </c>
      <c r="AA81" s="299" t="s">
        <v>14</v>
      </c>
      <c r="AB81" s="299" t="s">
        <v>14</v>
      </c>
      <c r="AC81" s="299"/>
    </row>
    <row r="82" spans="1:29" s="304" customFormat="1">
      <c r="A82" s="298">
        <v>44574</v>
      </c>
      <c r="B82" s="299" t="s">
        <v>1120</v>
      </c>
      <c r="C82" s="299" t="s">
        <v>1516</v>
      </c>
      <c r="D82" s="299" t="s">
        <v>225</v>
      </c>
      <c r="E82" s="299" t="s">
        <v>1517</v>
      </c>
      <c r="F82" s="299"/>
      <c r="G82" s="299">
        <v>2</v>
      </c>
      <c r="H82" s="299">
        <v>1</v>
      </c>
      <c r="I82" s="299" t="s">
        <v>14</v>
      </c>
      <c r="J82" s="306" t="s">
        <v>1518</v>
      </c>
      <c r="K82" s="301" t="s">
        <v>952</v>
      </c>
      <c r="L82" s="302">
        <v>41843</v>
      </c>
      <c r="M82" s="299" t="s">
        <v>13</v>
      </c>
      <c r="N82" s="299"/>
      <c r="O82" s="299"/>
      <c r="P82" s="299"/>
      <c r="Q82" s="299"/>
      <c r="R82" s="299"/>
      <c r="S82" s="299"/>
      <c r="T82" s="299"/>
      <c r="U82" s="173" t="str">
        <f t="shared" si="2"/>
        <v/>
      </c>
      <c r="V82" s="299"/>
      <c r="W82" s="299"/>
      <c r="X82" s="299"/>
      <c r="Y82" s="299"/>
      <c r="Z82" s="299"/>
      <c r="AA82" s="299"/>
      <c r="AB82" s="299"/>
      <c r="AC82" s="299"/>
    </row>
    <row r="83" spans="1:29" s="304" customFormat="1">
      <c r="A83" s="298">
        <v>44570</v>
      </c>
      <c r="B83" s="299" t="s">
        <v>1557</v>
      </c>
      <c r="C83" s="299" t="s">
        <v>1524</v>
      </c>
      <c r="D83" s="299" t="s">
        <v>226</v>
      </c>
      <c r="E83" s="299" t="s">
        <v>1581</v>
      </c>
      <c r="F83" s="299"/>
      <c r="G83" s="299">
        <v>3</v>
      </c>
      <c r="H83" s="299">
        <v>2</v>
      </c>
      <c r="I83" s="299" t="s">
        <v>14</v>
      </c>
      <c r="J83" s="306" t="s">
        <v>1525</v>
      </c>
      <c r="K83" s="301" t="s">
        <v>952</v>
      </c>
      <c r="L83" s="302">
        <v>41938</v>
      </c>
      <c r="M83" s="299" t="s">
        <v>13</v>
      </c>
      <c r="N83" s="299"/>
      <c r="O83" s="299"/>
      <c r="P83" s="299"/>
      <c r="Q83" s="299"/>
      <c r="R83" s="299"/>
      <c r="S83" s="299"/>
      <c r="T83" s="299"/>
      <c r="U83" s="173" t="str">
        <f t="shared" si="2"/>
        <v/>
      </c>
      <c r="V83" s="299"/>
      <c r="W83" s="299"/>
      <c r="X83" s="299"/>
      <c r="Y83" s="299"/>
      <c r="Z83" s="299"/>
      <c r="AA83" s="299"/>
      <c r="AB83" s="299"/>
      <c r="AC83" s="299"/>
    </row>
    <row r="84" spans="1:29" s="304" customFormat="1">
      <c r="A84" s="298">
        <v>44567</v>
      </c>
      <c r="B84" s="299" t="s">
        <v>130</v>
      </c>
      <c r="C84" s="299" t="s">
        <v>1242</v>
      </c>
      <c r="D84" s="299" t="s">
        <v>226</v>
      </c>
      <c r="E84" s="299" t="s">
        <v>1243</v>
      </c>
      <c r="F84" s="299"/>
      <c r="G84" s="299">
        <v>4</v>
      </c>
      <c r="H84" s="299">
        <v>3</v>
      </c>
      <c r="I84" s="299" t="s">
        <v>14</v>
      </c>
      <c r="J84" s="300" t="s">
        <v>1244</v>
      </c>
      <c r="K84" s="301" t="s">
        <v>274</v>
      </c>
      <c r="L84" s="302">
        <v>42078</v>
      </c>
      <c r="M84" s="299" t="s">
        <v>14</v>
      </c>
      <c r="N84" s="299">
        <v>21</v>
      </c>
      <c r="O84" s="299">
        <v>90</v>
      </c>
      <c r="P84" s="299" t="s">
        <v>14</v>
      </c>
      <c r="Q84" s="299" t="s">
        <v>13</v>
      </c>
      <c r="R84" s="303"/>
      <c r="S84" s="303"/>
      <c r="T84" s="303"/>
      <c r="U84" s="173" t="str">
        <f t="shared" si="2"/>
        <v/>
      </c>
      <c r="V84" s="299" t="s">
        <v>14</v>
      </c>
      <c r="W84" s="299" t="s">
        <v>14</v>
      </c>
      <c r="X84" s="299" t="s">
        <v>14</v>
      </c>
      <c r="Y84" s="299" t="s">
        <v>14</v>
      </c>
      <c r="Z84" s="299" t="s">
        <v>14</v>
      </c>
      <c r="AA84" s="299" t="s">
        <v>14</v>
      </c>
      <c r="AB84" s="299" t="s">
        <v>14</v>
      </c>
      <c r="AC84" s="299"/>
    </row>
    <row r="85" spans="1:29" s="304" customFormat="1">
      <c r="A85" s="298">
        <v>44570</v>
      </c>
      <c r="B85" s="299" t="s">
        <v>1046</v>
      </c>
      <c r="C85" s="299" t="s">
        <v>1047</v>
      </c>
      <c r="D85" s="299" t="s">
        <v>226</v>
      </c>
      <c r="E85" s="299" t="s">
        <v>1048</v>
      </c>
      <c r="F85" s="299"/>
      <c r="G85" s="299">
        <v>4</v>
      </c>
      <c r="H85" s="299">
        <v>0</v>
      </c>
      <c r="I85" s="299" t="s">
        <v>14</v>
      </c>
      <c r="J85" s="300" t="s">
        <v>1049</v>
      </c>
      <c r="K85" s="301" t="s">
        <v>274</v>
      </c>
      <c r="L85" s="302">
        <v>42082</v>
      </c>
      <c r="M85" s="299" t="s">
        <v>14</v>
      </c>
      <c r="N85" s="299">
        <v>21</v>
      </c>
      <c r="O85" s="299">
        <v>90</v>
      </c>
      <c r="P85" s="299" t="s">
        <v>14</v>
      </c>
      <c r="Q85" s="299" t="s">
        <v>13</v>
      </c>
      <c r="R85" s="303"/>
      <c r="S85" s="303"/>
      <c r="T85" s="303"/>
      <c r="U85" s="173" t="str">
        <f t="shared" si="2"/>
        <v/>
      </c>
      <c r="V85" s="299" t="s">
        <v>14</v>
      </c>
      <c r="W85" s="299" t="s">
        <v>14</v>
      </c>
      <c r="X85" s="299" t="s">
        <v>14</v>
      </c>
      <c r="Y85" s="299" t="s">
        <v>14</v>
      </c>
      <c r="Z85" s="299" t="s">
        <v>14</v>
      </c>
      <c r="AA85" s="299" t="s">
        <v>14</v>
      </c>
      <c r="AB85" s="299" t="s">
        <v>14</v>
      </c>
      <c r="AC85" s="299"/>
    </row>
    <row r="86" spans="1:29" s="304" customFormat="1">
      <c r="A86" s="298">
        <v>44571</v>
      </c>
      <c r="B86" s="299" t="s">
        <v>1554</v>
      </c>
      <c r="C86" s="299" t="s">
        <v>1506</v>
      </c>
      <c r="D86" s="299" t="s">
        <v>226</v>
      </c>
      <c r="E86" s="299" t="s">
        <v>1575</v>
      </c>
      <c r="F86" s="299"/>
      <c r="G86" s="299">
        <v>2</v>
      </c>
      <c r="H86" s="299">
        <v>1</v>
      </c>
      <c r="I86" s="299" t="s">
        <v>14</v>
      </c>
      <c r="J86" s="306" t="s">
        <v>1507</v>
      </c>
      <c r="K86" s="301" t="s">
        <v>952</v>
      </c>
      <c r="L86" s="302">
        <v>41879</v>
      </c>
      <c r="M86" s="299" t="s">
        <v>13</v>
      </c>
      <c r="N86" s="299"/>
      <c r="O86" s="299"/>
      <c r="P86" s="299"/>
      <c r="Q86" s="299"/>
      <c r="R86" s="299"/>
      <c r="S86" s="299"/>
      <c r="T86" s="299"/>
      <c r="U86" s="173" t="str">
        <f t="shared" si="2"/>
        <v/>
      </c>
      <c r="V86" s="299"/>
      <c r="W86" s="299"/>
      <c r="X86" s="299"/>
      <c r="Y86" s="299"/>
      <c r="Z86" s="299"/>
      <c r="AA86" s="299"/>
      <c r="AB86" s="299"/>
      <c r="AC86" s="299"/>
    </row>
    <row r="87" spans="1:29" s="304" customFormat="1">
      <c r="A87" s="298">
        <v>44566</v>
      </c>
      <c r="B87" s="299" t="s">
        <v>105</v>
      </c>
      <c r="C87" s="299" t="s">
        <v>1225</v>
      </c>
      <c r="D87" s="299" t="s">
        <v>226</v>
      </c>
      <c r="E87" s="299" t="s">
        <v>1226</v>
      </c>
      <c r="F87" s="299"/>
      <c r="G87" s="299">
        <v>2</v>
      </c>
      <c r="H87" s="299">
        <v>0</v>
      </c>
      <c r="I87" s="299" t="s">
        <v>14</v>
      </c>
      <c r="J87" s="300" t="s">
        <v>1227</v>
      </c>
      <c r="K87" s="301" t="s">
        <v>952</v>
      </c>
      <c r="L87" s="302">
        <v>41941</v>
      </c>
      <c r="M87" s="299" t="s">
        <v>14</v>
      </c>
      <c r="N87" s="299">
        <v>14</v>
      </c>
      <c r="O87" s="299">
        <v>56</v>
      </c>
      <c r="P87" s="299" t="s">
        <v>14</v>
      </c>
      <c r="Q87" s="299" t="s">
        <v>13</v>
      </c>
      <c r="R87" s="303"/>
      <c r="S87" s="303"/>
      <c r="T87" s="303"/>
      <c r="U87" s="173" t="str">
        <f t="shared" si="2"/>
        <v/>
      </c>
      <c r="V87" s="299" t="s">
        <v>14</v>
      </c>
      <c r="W87" s="299" t="s">
        <v>14</v>
      </c>
      <c r="X87" s="299" t="s">
        <v>14</v>
      </c>
      <c r="Y87" s="299" t="s">
        <v>14</v>
      </c>
      <c r="Z87" s="299" t="s">
        <v>14</v>
      </c>
      <c r="AA87" s="299" t="s">
        <v>14</v>
      </c>
      <c r="AB87" s="299" t="s">
        <v>14</v>
      </c>
      <c r="AC87" s="299"/>
    </row>
    <row r="88" spans="1:29" s="304" customFormat="1">
      <c r="A88" s="298">
        <v>44567</v>
      </c>
      <c r="B88" s="299" t="s">
        <v>1559</v>
      </c>
      <c r="C88" s="299" t="s">
        <v>1514</v>
      </c>
      <c r="D88" s="299" t="s">
        <v>225</v>
      </c>
      <c r="E88" s="299" t="s">
        <v>1595</v>
      </c>
      <c r="F88" s="299"/>
      <c r="G88" s="299">
        <v>2</v>
      </c>
      <c r="H88" s="299">
        <v>4</v>
      </c>
      <c r="I88" s="299" t="s">
        <v>13</v>
      </c>
      <c r="J88" s="306" t="s">
        <v>1515</v>
      </c>
      <c r="K88" s="301" t="s">
        <v>952</v>
      </c>
      <c r="L88" s="302">
        <v>42032</v>
      </c>
      <c r="M88" s="299"/>
      <c r="N88" s="299"/>
      <c r="O88" s="299"/>
      <c r="P88" s="299"/>
      <c r="Q88" s="299"/>
      <c r="R88" s="299"/>
      <c r="S88" s="299"/>
      <c r="T88" s="299"/>
      <c r="U88" s="173" t="str">
        <f t="shared" si="2"/>
        <v/>
      </c>
      <c r="V88" s="299"/>
      <c r="W88" s="299"/>
      <c r="X88" s="299"/>
      <c r="Y88" s="299"/>
      <c r="Z88" s="299"/>
      <c r="AA88" s="299"/>
      <c r="AB88" s="299"/>
      <c r="AC88" s="299"/>
    </row>
    <row r="89" spans="1:29" s="304" customFormat="1">
      <c r="A89" s="298">
        <v>44570</v>
      </c>
      <c r="B89" s="299" t="s">
        <v>130</v>
      </c>
      <c r="C89" s="299" t="s">
        <v>1260</v>
      </c>
      <c r="D89" s="299" t="s">
        <v>225</v>
      </c>
      <c r="E89" s="299" t="s">
        <v>1261</v>
      </c>
      <c r="F89" s="299"/>
      <c r="G89" s="299">
        <v>2</v>
      </c>
      <c r="H89" s="299">
        <v>1</v>
      </c>
      <c r="I89" s="299" t="s">
        <v>14</v>
      </c>
      <c r="J89" s="300" t="s">
        <v>1262</v>
      </c>
      <c r="K89" s="301" t="s">
        <v>274</v>
      </c>
      <c r="L89" s="302">
        <v>42112</v>
      </c>
      <c r="M89" s="299" t="s">
        <v>14</v>
      </c>
      <c r="N89" s="299">
        <v>14</v>
      </c>
      <c r="O89" s="299">
        <v>60</v>
      </c>
      <c r="P89" s="299" t="s">
        <v>14</v>
      </c>
      <c r="Q89" s="299" t="s">
        <v>13</v>
      </c>
      <c r="R89" s="303"/>
      <c r="S89" s="303"/>
      <c r="T89" s="303"/>
      <c r="U89" s="173" t="str">
        <f t="shared" si="2"/>
        <v/>
      </c>
      <c r="V89" s="299" t="s">
        <v>14</v>
      </c>
      <c r="W89" s="299" t="s">
        <v>14</v>
      </c>
      <c r="X89" s="299" t="s">
        <v>14</v>
      </c>
      <c r="Y89" s="299" t="s">
        <v>14</v>
      </c>
      <c r="Z89" s="299" t="s">
        <v>14</v>
      </c>
      <c r="AA89" s="299" t="s">
        <v>14</v>
      </c>
      <c r="AB89" s="299" t="s">
        <v>14</v>
      </c>
      <c r="AC89" s="299"/>
    </row>
    <row r="90" spans="1:29" s="304" customFormat="1">
      <c r="A90" s="298">
        <v>44566</v>
      </c>
      <c r="B90" s="299" t="s">
        <v>123</v>
      </c>
      <c r="C90" s="299" t="s">
        <v>1189</v>
      </c>
      <c r="D90" s="299" t="s">
        <v>225</v>
      </c>
      <c r="E90" s="299" t="s">
        <v>1190</v>
      </c>
      <c r="F90" s="299"/>
      <c r="G90" s="299">
        <v>3</v>
      </c>
      <c r="H90" s="299">
        <v>1</v>
      </c>
      <c r="I90" s="299" t="s">
        <v>14</v>
      </c>
      <c r="J90" s="300" t="s">
        <v>1191</v>
      </c>
      <c r="K90" s="301" t="s">
        <v>274</v>
      </c>
      <c r="L90" s="302">
        <v>42184</v>
      </c>
      <c r="M90" s="299" t="s">
        <v>14</v>
      </c>
      <c r="N90" s="299">
        <v>18</v>
      </c>
      <c r="O90" s="299">
        <v>84</v>
      </c>
      <c r="P90" s="299" t="s">
        <v>14</v>
      </c>
      <c r="Q90" s="299" t="s">
        <v>13</v>
      </c>
      <c r="R90" s="303"/>
      <c r="S90" s="303"/>
      <c r="T90" s="303"/>
      <c r="U90" s="173" t="str">
        <f t="shared" si="2"/>
        <v/>
      </c>
      <c r="V90" s="299" t="s">
        <v>14</v>
      </c>
      <c r="W90" s="299" t="s">
        <v>14</v>
      </c>
      <c r="X90" s="299" t="s">
        <v>14</v>
      </c>
      <c r="Y90" s="299" t="s">
        <v>14</v>
      </c>
      <c r="Z90" s="299" t="s">
        <v>14</v>
      </c>
      <c r="AA90" s="299" t="s">
        <v>14</v>
      </c>
      <c r="AB90" s="299" t="s">
        <v>14</v>
      </c>
      <c r="AC90" s="299"/>
    </row>
    <row r="91" spans="1:29" s="304" customFormat="1">
      <c r="A91" s="298">
        <v>44564</v>
      </c>
      <c r="B91" s="299" t="s">
        <v>1085</v>
      </c>
      <c r="C91" s="299" t="s">
        <v>1086</v>
      </c>
      <c r="D91" s="299" t="s">
        <v>226</v>
      </c>
      <c r="E91" s="299" t="s">
        <v>1087</v>
      </c>
      <c r="F91" s="299"/>
      <c r="G91" s="299">
        <v>3</v>
      </c>
      <c r="H91" s="299">
        <v>0</v>
      </c>
      <c r="I91" s="299" t="s">
        <v>14</v>
      </c>
      <c r="J91" s="300" t="s">
        <v>1088</v>
      </c>
      <c r="K91" s="301" t="s">
        <v>274</v>
      </c>
      <c r="L91" s="302">
        <v>42094</v>
      </c>
      <c r="M91" s="299" t="s">
        <v>14</v>
      </c>
      <c r="N91" s="299">
        <v>17</v>
      </c>
      <c r="O91" s="299">
        <v>70</v>
      </c>
      <c r="P91" s="299" t="s">
        <v>14</v>
      </c>
      <c r="Q91" s="299" t="s">
        <v>13</v>
      </c>
      <c r="R91" s="303"/>
      <c r="S91" s="303"/>
      <c r="T91" s="303"/>
      <c r="U91" s="173" t="str">
        <f t="shared" si="2"/>
        <v/>
      </c>
      <c r="V91" s="299" t="s">
        <v>14</v>
      </c>
      <c r="W91" s="299" t="s">
        <v>14</v>
      </c>
      <c r="X91" s="299" t="s">
        <v>14</v>
      </c>
      <c r="Y91" s="299" t="s">
        <v>14</v>
      </c>
      <c r="Z91" s="299" t="s">
        <v>14</v>
      </c>
      <c r="AA91" s="299" t="s">
        <v>14</v>
      </c>
      <c r="AB91" s="299" t="s">
        <v>14</v>
      </c>
      <c r="AC91" s="299"/>
    </row>
    <row r="92" spans="1:29" s="304" customFormat="1">
      <c r="A92" s="298">
        <v>44573</v>
      </c>
      <c r="B92" s="299" t="s">
        <v>1228</v>
      </c>
      <c r="C92" s="299" t="s">
        <v>1229</v>
      </c>
      <c r="D92" s="299" t="s">
        <v>226</v>
      </c>
      <c r="E92" s="299" t="s">
        <v>1230</v>
      </c>
      <c r="F92" s="299"/>
      <c r="G92" s="299">
        <v>2</v>
      </c>
      <c r="H92" s="299">
        <v>2</v>
      </c>
      <c r="I92" s="299" t="s">
        <v>14</v>
      </c>
      <c r="J92" s="300" t="s">
        <v>1231</v>
      </c>
      <c r="K92" s="301" t="s">
        <v>274</v>
      </c>
      <c r="L92" s="302">
        <v>42104</v>
      </c>
      <c r="M92" s="299" t="s">
        <v>14</v>
      </c>
      <c r="N92" s="299">
        <v>20</v>
      </c>
      <c r="O92" s="299">
        <v>80</v>
      </c>
      <c r="P92" s="299" t="s">
        <v>14</v>
      </c>
      <c r="Q92" s="299" t="s">
        <v>13</v>
      </c>
      <c r="R92" s="303"/>
      <c r="S92" s="303"/>
      <c r="T92" s="303"/>
      <c r="U92" s="173" t="str">
        <f t="shared" si="2"/>
        <v/>
      </c>
      <c r="V92" s="299" t="s">
        <v>14</v>
      </c>
      <c r="W92" s="299" t="s">
        <v>14</v>
      </c>
      <c r="X92" s="299" t="s">
        <v>14</v>
      </c>
      <c r="Y92" s="299" t="s">
        <v>14</v>
      </c>
      <c r="Z92" s="299" t="s">
        <v>14</v>
      </c>
      <c r="AA92" s="299" t="s">
        <v>14</v>
      </c>
      <c r="AB92" s="299" t="s">
        <v>14</v>
      </c>
      <c r="AC92" s="299"/>
    </row>
    <row r="93" spans="1:29" s="304" customFormat="1">
      <c r="A93" s="298">
        <v>44573</v>
      </c>
      <c r="B93" s="299" t="s">
        <v>124</v>
      </c>
      <c r="C93" s="299" t="s">
        <v>1137</v>
      </c>
      <c r="D93" s="299" t="s">
        <v>226</v>
      </c>
      <c r="E93" s="299" t="s">
        <v>1138</v>
      </c>
      <c r="F93" s="299"/>
      <c r="G93" s="299">
        <v>3</v>
      </c>
      <c r="H93" s="299">
        <v>2</v>
      </c>
      <c r="I93" s="299" t="s">
        <v>14</v>
      </c>
      <c r="J93" s="300" t="s">
        <v>1139</v>
      </c>
      <c r="K93" s="301" t="s">
        <v>952</v>
      </c>
      <c r="L93" s="302">
        <v>41928</v>
      </c>
      <c r="M93" s="299" t="s">
        <v>14</v>
      </c>
      <c r="N93" s="299">
        <v>14</v>
      </c>
      <c r="O93" s="299">
        <v>56</v>
      </c>
      <c r="P93" s="299" t="s">
        <v>14</v>
      </c>
      <c r="Q93" s="299" t="s">
        <v>13</v>
      </c>
      <c r="R93" s="303"/>
      <c r="S93" s="303"/>
      <c r="T93" s="303"/>
      <c r="U93" s="173" t="str">
        <f t="shared" si="2"/>
        <v/>
      </c>
      <c r="V93" s="299" t="s">
        <v>14</v>
      </c>
      <c r="W93" s="299" t="s">
        <v>14</v>
      </c>
      <c r="X93" s="299" t="s">
        <v>14</v>
      </c>
      <c r="Y93" s="299" t="s">
        <v>14</v>
      </c>
      <c r="Z93" s="299" t="s">
        <v>14</v>
      </c>
      <c r="AA93" s="299" t="s">
        <v>14</v>
      </c>
      <c r="AB93" s="299" t="s">
        <v>14</v>
      </c>
      <c r="AC93" s="299"/>
    </row>
    <row r="94" spans="1:29" s="304" customFormat="1">
      <c r="A94" s="298">
        <v>44570</v>
      </c>
      <c r="B94" s="299" t="s">
        <v>1548</v>
      </c>
      <c r="C94" s="299" t="s">
        <v>1460</v>
      </c>
      <c r="D94" s="299" t="s">
        <v>225</v>
      </c>
      <c r="E94" s="299" t="s">
        <v>1569</v>
      </c>
      <c r="F94" s="299"/>
      <c r="G94" s="299">
        <v>2</v>
      </c>
      <c r="H94" s="299">
        <v>2</v>
      </c>
      <c r="I94" s="299" t="s">
        <v>14</v>
      </c>
      <c r="J94" s="306" t="s">
        <v>1461</v>
      </c>
      <c r="K94" s="301" t="s">
        <v>274</v>
      </c>
      <c r="L94" s="302">
        <v>42127</v>
      </c>
      <c r="M94" s="299" t="s">
        <v>13</v>
      </c>
      <c r="N94" s="299"/>
      <c r="O94" s="299"/>
      <c r="P94" s="299"/>
      <c r="Q94" s="299"/>
      <c r="R94" s="299"/>
      <c r="S94" s="299"/>
      <c r="T94" s="299"/>
      <c r="U94" s="173" t="str">
        <f t="shared" si="2"/>
        <v/>
      </c>
      <c r="V94" s="299"/>
      <c r="W94" s="299"/>
      <c r="X94" s="299"/>
      <c r="Y94" s="299"/>
      <c r="Z94" s="299"/>
      <c r="AA94" s="299"/>
      <c r="AB94" s="299"/>
      <c r="AC94" s="299"/>
    </row>
    <row r="95" spans="1:29" s="304" customFormat="1">
      <c r="A95" s="298">
        <v>44577</v>
      </c>
      <c r="B95" s="299" t="s">
        <v>121</v>
      </c>
      <c r="C95" s="299" t="s">
        <v>1127</v>
      </c>
      <c r="D95" s="299" t="s">
        <v>226</v>
      </c>
      <c r="E95" s="299" t="s">
        <v>1128</v>
      </c>
      <c r="F95" s="299"/>
      <c r="G95" s="299">
        <v>4</v>
      </c>
      <c r="H95" s="299">
        <v>3</v>
      </c>
      <c r="I95" s="299" t="s">
        <v>14</v>
      </c>
      <c r="J95" s="300" t="s">
        <v>1129</v>
      </c>
      <c r="K95" s="301" t="s">
        <v>952</v>
      </c>
      <c r="L95" s="302">
        <v>41883</v>
      </c>
      <c r="M95" s="299" t="s">
        <v>14</v>
      </c>
      <c r="N95" s="299">
        <v>20</v>
      </c>
      <c r="O95" s="299">
        <v>80</v>
      </c>
      <c r="P95" s="299" t="s">
        <v>14</v>
      </c>
      <c r="Q95" s="299" t="s">
        <v>13</v>
      </c>
      <c r="R95" s="303"/>
      <c r="S95" s="303"/>
      <c r="T95" s="303"/>
      <c r="U95" s="173" t="str">
        <f t="shared" si="2"/>
        <v/>
      </c>
      <c r="V95" s="299" t="s">
        <v>14</v>
      </c>
      <c r="W95" s="299" t="s">
        <v>14</v>
      </c>
      <c r="X95" s="299" t="s">
        <v>14</v>
      </c>
      <c r="Y95" s="299" t="s">
        <v>14</v>
      </c>
      <c r="Z95" s="299" t="s">
        <v>14</v>
      </c>
      <c r="AA95" s="299" t="s">
        <v>14</v>
      </c>
      <c r="AB95" s="299" t="s">
        <v>14</v>
      </c>
      <c r="AC95" s="299"/>
    </row>
    <row r="96" spans="1:29" s="304" customFormat="1">
      <c r="A96" s="298">
        <v>44570</v>
      </c>
      <c r="B96" s="299" t="s">
        <v>1550</v>
      </c>
      <c r="C96" s="299" t="s">
        <v>1452</v>
      </c>
      <c r="D96" s="299" t="s">
        <v>225</v>
      </c>
      <c r="E96" s="299" t="s">
        <v>1571</v>
      </c>
      <c r="F96" s="299"/>
      <c r="G96" s="299">
        <v>3</v>
      </c>
      <c r="H96" s="299">
        <v>1</v>
      </c>
      <c r="I96" s="299" t="s">
        <v>14</v>
      </c>
      <c r="J96" s="306" t="s">
        <v>1453</v>
      </c>
      <c r="K96" s="301" t="s">
        <v>274</v>
      </c>
      <c r="L96" s="302">
        <v>42151</v>
      </c>
      <c r="M96" s="299" t="s">
        <v>13</v>
      </c>
      <c r="N96" s="299"/>
      <c r="O96" s="299"/>
      <c r="P96" s="299"/>
      <c r="Q96" s="299"/>
      <c r="R96" s="299"/>
      <c r="S96" s="299"/>
      <c r="T96" s="299"/>
      <c r="U96" s="173" t="str">
        <f t="shared" si="2"/>
        <v/>
      </c>
      <c r="V96" s="299"/>
      <c r="W96" s="299"/>
      <c r="X96" s="299"/>
      <c r="Y96" s="299"/>
      <c r="Z96" s="299"/>
      <c r="AA96" s="299"/>
      <c r="AB96" s="299"/>
      <c r="AC96" s="299"/>
    </row>
    <row r="97" spans="1:29" s="304" customFormat="1">
      <c r="A97" s="298">
        <v>44572</v>
      </c>
      <c r="B97" s="299" t="s">
        <v>124</v>
      </c>
      <c r="C97" s="299" t="s">
        <v>1390</v>
      </c>
      <c r="D97" s="299" t="s">
        <v>226</v>
      </c>
      <c r="E97" s="298" t="s">
        <v>1391</v>
      </c>
      <c r="F97" s="299"/>
      <c r="G97" s="299">
        <v>2</v>
      </c>
      <c r="H97" s="299">
        <v>2</v>
      </c>
      <c r="I97" s="299" t="s">
        <v>14</v>
      </c>
      <c r="J97" s="300" t="s">
        <v>1392</v>
      </c>
      <c r="K97" s="301" t="s">
        <v>274</v>
      </c>
      <c r="L97" s="302">
        <v>42158</v>
      </c>
      <c r="M97" s="299" t="s">
        <v>14</v>
      </c>
      <c r="N97" s="299">
        <v>14</v>
      </c>
      <c r="O97" s="299">
        <v>56</v>
      </c>
      <c r="P97" s="299" t="s">
        <v>14</v>
      </c>
      <c r="Q97" s="299" t="s">
        <v>13</v>
      </c>
      <c r="R97" s="303"/>
      <c r="S97" s="303"/>
      <c r="T97" s="303"/>
      <c r="U97" s="173" t="str">
        <f t="shared" si="2"/>
        <v/>
      </c>
      <c r="V97" s="299" t="s">
        <v>14</v>
      </c>
      <c r="W97" s="299" t="s">
        <v>14</v>
      </c>
      <c r="X97" s="299" t="s">
        <v>14</v>
      </c>
      <c r="Y97" s="299" t="s">
        <v>14</v>
      </c>
      <c r="Z97" s="299" t="s">
        <v>14</v>
      </c>
      <c r="AA97" s="299" t="s">
        <v>14</v>
      </c>
      <c r="AB97" s="299" t="s">
        <v>14</v>
      </c>
      <c r="AC97" s="299"/>
    </row>
    <row r="98" spans="1:29" s="304" customFormat="1">
      <c r="A98" s="298">
        <v>44566</v>
      </c>
      <c r="B98" s="299" t="s">
        <v>1144</v>
      </c>
      <c r="C98" s="299" t="s">
        <v>1335</v>
      </c>
      <c r="D98" s="299" t="s">
        <v>225</v>
      </c>
      <c r="E98" s="299" t="s">
        <v>1336</v>
      </c>
      <c r="F98" s="299"/>
      <c r="G98" s="299">
        <v>3</v>
      </c>
      <c r="H98" s="299">
        <v>0</v>
      </c>
      <c r="I98" s="299" t="s">
        <v>14</v>
      </c>
      <c r="J98" s="300" t="s">
        <v>1337</v>
      </c>
      <c r="K98" s="301" t="s">
        <v>952</v>
      </c>
      <c r="L98" s="302">
        <v>41897</v>
      </c>
      <c r="M98" s="299" t="s">
        <v>14</v>
      </c>
      <c r="N98" s="299">
        <v>14</v>
      </c>
      <c r="O98" s="299">
        <v>60</v>
      </c>
      <c r="P98" s="299" t="s">
        <v>14</v>
      </c>
      <c r="Q98" s="299" t="s">
        <v>13</v>
      </c>
      <c r="R98" s="303"/>
      <c r="S98" s="303"/>
      <c r="T98" s="303"/>
      <c r="U98" s="173" t="str">
        <f t="shared" si="2"/>
        <v/>
      </c>
      <c r="V98" s="299" t="s">
        <v>14</v>
      </c>
      <c r="W98" s="299" t="s">
        <v>14</v>
      </c>
      <c r="X98" s="299" t="s">
        <v>14</v>
      </c>
      <c r="Y98" s="299" t="s">
        <v>14</v>
      </c>
      <c r="Z98" s="299" t="s">
        <v>14</v>
      </c>
      <c r="AA98" s="299" t="s">
        <v>14</v>
      </c>
      <c r="AB98" s="299" t="s">
        <v>14</v>
      </c>
      <c r="AC98" s="299"/>
    </row>
    <row r="99" spans="1:29" s="304" customFormat="1">
      <c r="A99" s="298">
        <v>44573</v>
      </c>
      <c r="B99" s="299" t="s">
        <v>1251</v>
      </c>
      <c r="C99" s="299" t="s">
        <v>1369</v>
      </c>
      <c r="D99" s="299" t="s">
        <v>226</v>
      </c>
      <c r="E99" s="298" t="s">
        <v>1370</v>
      </c>
      <c r="F99" s="299"/>
      <c r="G99" s="299">
        <v>3</v>
      </c>
      <c r="H99" s="299">
        <v>0</v>
      </c>
      <c r="I99" s="299" t="s">
        <v>14</v>
      </c>
      <c r="J99" s="300" t="s">
        <v>1371</v>
      </c>
      <c r="K99" s="301" t="s">
        <v>274</v>
      </c>
      <c r="L99" s="302">
        <v>42097</v>
      </c>
      <c r="M99" s="299" t="s">
        <v>14</v>
      </c>
      <c r="N99" s="299">
        <v>14</v>
      </c>
      <c r="O99" s="299">
        <v>60</v>
      </c>
      <c r="P99" s="299" t="s">
        <v>14</v>
      </c>
      <c r="Q99" s="299" t="s">
        <v>13</v>
      </c>
      <c r="R99" s="303"/>
      <c r="S99" s="303"/>
      <c r="T99" s="303"/>
      <c r="U99" s="173" t="str">
        <f t="shared" ref="U99:U130" si="3">IF(R99="Yes",MAX(S99/(S99+N99),T99/(T99+O99)),"")</f>
        <v/>
      </c>
      <c r="V99" s="299" t="s">
        <v>14</v>
      </c>
      <c r="W99" s="299" t="s">
        <v>14</v>
      </c>
      <c r="X99" s="299" t="s">
        <v>14</v>
      </c>
      <c r="Y99" s="299" t="s">
        <v>14</v>
      </c>
      <c r="Z99" s="299" t="s">
        <v>14</v>
      </c>
      <c r="AA99" s="299" t="s">
        <v>14</v>
      </c>
      <c r="AB99" s="299" t="s">
        <v>14</v>
      </c>
      <c r="AC99" s="299"/>
    </row>
    <row r="100" spans="1:29" s="304" customFormat="1">
      <c r="A100" s="298">
        <v>44570</v>
      </c>
      <c r="B100" s="299" t="s">
        <v>1377</v>
      </c>
      <c r="C100" s="299" t="s">
        <v>1378</v>
      </c>
      <c r="D100" s="298" t="s">
        <v>226</v>
      </c>
      <c r="E100" s="299" t="s">
        <v>1379</v>
      </c>
      <c r="F100" s="299"/>
      <c r="G100" s="299">
        <v>3</v>
      </c>
      <c r="H100" s="299">
        <v>0</v>
      </c>
      <c r="I100" s="299" t="s">
        <v>14</v>
      </c>
      <c r="J100" s="300" t="s">
        <v>1380</v>
      </c>
      <c r="K100" s="301" t="s">
        <v>274</v>
      </c>
      <c r="L100" s="302">
        <v>42120</v>
      </c>
      <c r="M100" s="299" t="s">
        <v>14</v>
      </c>
      <c r="N100" s="299">
        <v>14</v>
      </c>
      <c r="O100" s="299">
        <v>60</v>
      </c>
      <c r="P100" s="299" t="s">
        <v>14</v>
      </c>
      <c r="Q100" s="299" t="s">
        <v>13</v>
      </c>
      <c r="R100" s="303"/>
      <c r="S100" s="303"/>
      <c r="T100" s="303"/>
      <c r="U100" s="173" t="str">
        <f t="shared" si="3"/>
        <v/>
      </c>
      <c r="V100" s="299" t="s">
        <v>14</v>
      </c>
      <c r="W100" s="299" t="s">
        <v>14</v>
      </c>
      <c r="X100" s="299" t="s">
        <v>14</v>
      </c>
      <c r="Y100" s="299" t="s">
        <v>14</v>
      </c>
      <c r="Z100" s="299" t="s">
        <v>14</v>
      </c>
      <c r="AA100" s="299" t="s">
        <v>14</v>
      </c>
      <c r="AB100" s="299" t="s">
        <v>14</v>
      </c>
      <c r="AC100" s="299"/>
    </row>
    <row r="101" spans="1:29" s="304" customFormat="1">
      <c r="A101" s="298">
        <v>44570</v>
      </c>
      <c r="B101" s="299" t="s">
        <v>230</v>
      </c>
      <c r="C101" s="299" t="s">
        <v>1109</v>
      </c>
      <c r="D101" s="299" t="s">
        <v>225</v>
      </c>
      <c r="E101" s="299" t="s">
        <v>1110</v>
      </c>
      <c r="F101" s="299"/>
      <c r="G101" s="299">
        <v>3</v>
      </c>
      <c r="H101" s="299">
        <v>1</v>
      </c>
      <c r="I101" s="299" t="s">
        <v>14</v>
      </c>
      <c r="J101" s="300" t="s">
        <v>1111</v>
      </c>
      <c r="K101" s="301" t="s">
        <v>952</v>
      </c>
      <c r="L101" s="302">
        <v>42032</v>
      </c>
      <c r="M101" s="299" t="s">
        <v>14</v>
      </c>
      <c r="N101" s="299">
        <v>14</v>
      </c>
      <c r="O101" s="299">
        <v>60</v>
      </c>
      <c r="P101" s="299" t="s">
        <v>14</v>
      </c>
      <c r="Q101" s="299" t="s">
        <v>13</v>
      </c>
      <c r="R101" s="303"/>
      <c r="S101" s="303"/>
      <c r="T101" s="303"/>
      <c r="U101" s="173" t="str">
        <f t="shared" si="3"/>
        <v/>
      </c>
      <c r="V101" s="299" t="s">
        <v>14</v>
      </c>
      <c r="W101" s="299" t="s">
        <v>14</v>
      </c>
      <c r="X101" s="299" t="s">
        <v>14</v>
      </c>
      <c r="Y101" s="299" t="s">
        <v>14</v>
      </c>
      <c r="Z101" s="299" t="s">
        <v>14</v>
      </c>
      <c r="AA101" s="299" t="s">
        <v>14</v>
      </c>
      <c r="AB101" s="299" t="s">
        <v>14</v>
      </c>
      <c r="AC101" s="299"/>
    </row>
    <row r="102" spans="1:29" s="304" customFormat="1">
      <c r="A102" s="298">
        <v>44572</v>
      </c>
      <c r="B102" s="299" t="s">
        <v>105</v>
      </c>
      <c r="C102" s="299" t="s">
        <v>1176</v>
      </c>
      <c r="D102" s="299" t="s">
        <v>226</v>
      </c>
      <c r="E102" s="299" t="s">
        <v>1177</v>
      </c>
      <c r="F102" s="299"/>
      <c r="G102" s="299">
        <v>4</v>
      </c>
      <c r="H102" s="299">
        <v>2</v>
      </c>
      <c r="I102" s="299" t="s">
        <v>14</v>
      </c>
      <c r="J102" s="300" t="s">
        <v>1178</v>
      </c>
      <c r="K102" s="301" t="s">
        <v>274</v>
      </c>
      <c r="L102" s="302">
        <v>42129</v>
      </c>
      <c r="M102" s="299" t="s">
        <v>14</v>
      </c>
      <c r="N102" s="299">
        <v>14</v>
      </c>
      <c r="O102" s="299">
        <v>56</v>
      </c>
      <c r="P102" s="299" t="s">
        <v>14</v>
      </c>
      <c r="Q102" s="299" t="s">
        <v>13</v>
      </c>
      <c r="R102" s="303"/>
      <c r="S102" s="303"/>
      <c r="T102" s="303"/>
      <c r="U102" s="173" t="str">
        <f t="shared" si="3"/>
        <v/>
      </c>
      <c r="V102" s="299" t="s">
        <v>14</v>
      </c>
      <c r="W102" s="299" t="s">
        <v>14</v>
      </c>
      <c r="X102" s="299" t="s">
        <v>14</v>
      </c>
      <c r="Y102" s="299" t="s">
        <v>14</v>
      </c>
      <c r="Z102" s="299" t="s">
        <v>14</v>
      </c>
      <c r="AA102" s="299" t="s">
        <v>14</v>
      </c>
      <c r="AB102" s="299" t="s">
        <v>14</v>
      </c>
      <c r="AC102" s="299"/>
    </row>
    <row r="103" spans="1:29" s="304" customFormat="1">
      <c r="A103" s="298">
        <v>44572</v>
      </c>
      <c r="B103" s="299" t="s">
        <v>105</v>
      </c>
      <c r="C103" s="299" t="s">
        <v>1297</v>
      </c>
      <c r="D103" s="299" t="s">
        <v>225</v>
      </c>
      <c r="E103" s="299" t="s">
        <v>1298</v>
      </c>
      <c r="F103" s="299"/>
      <c r="G103" s="299">
        <v>3</v>
      </c>
      <c r="H103" s="299">
        <v>0</v>
      </c>
      <c r="I103" s="299" t="s">
        <v>14</v>
      </c>
      <c r="J103" s="300" t="s">
        <v>1299</v>
      </c>
      <c r="K103" s="301" t="s">
        <v>274</v>
      </c>
      <c r="L103" s="302">
        <v>42141</v>
      </c>
      <c r="M103" s="299" t="s">
        <v>14</v>
      </c>
      <c r="N103" s="299">
        <v>18</v>
      </c>
      <c r="O103" s="299">
        <v>72</v>
      </c>
      <c r="P103" s="299" t="s">
        <v>14</v>
      </c>
      <c r="Q103" s="299" t="s">
        <v>13</v>
      </c>
      <c r="R103" s="303"/>
      <c r="S103" s="303"/>
      <c r="T103" s="303"/>
      <c r="U103" s="173" t="str">
        <f t="shared" si="3"/>
        <v/>
      </c>
      <c r="V103" s="299" t="s">
        <v>14</v>
      </c>
      <c r="W103" s="299" t="s">
        <v>14</v>
      </c>
      <c r="X103" s="299" t="s">
        <v>14</v>
      </c>
      <c r="Y103" s="299" t="s">
        <v>14</v>
      </c>
      <c r="Z103" s="299" t="s">
        <v>14</v>
      </c>
      <c r="AA103" s="299" t="s">
        <v>14</v>
      </c>
      <c r="AB103" s="299" t="s">
        <v>14</v>
      </c>
      <c r="AC103" s="299"/>
    </row>
    <row r="104" spans="1:29" s="304" customFormat="1">
      <c r="A104" s="298">
        <v>44564</v>
      </c>
      <c r="B104" s="299" t="s">
        <v>1269</v>
      </c>
      <c r="C104" s="299" t="s">
        <v>1270</v>
      </c>
      <c r="D104" s="299" t="s">
        <v>226</v>
      </c>
      <c r="E104" s="299" t="s">
        <v>1271</v>
      </c>
      <c r="F104" s="299"/>
      <c r="G104" s="299">
        <v>5</v>
      </c>
      <c r="H104" s="299">
        <v>3</v>
      </c>
      <c r="I104" s="299" t="s">
        <v>14</v>
      </c>
      <c r="J104" s="300" t="s">
        <v>1272</v>
      </c>
      <c r="K104" s="301" t="s">
        <v>274</v>
      </c>
      <c r="L104" s="302">
        <v>42184</v>
      </c>
      <c r="M104" s="299" t="s">
        <v>14</v>
      </c>
      <c r="N104" s="299">
        <v>14</v>
      </c>
      <c r="O104" s="299">
        <v>60</v>
      </c>
      <c r="P104" s="299" t="s">
        <v>14</v>
      </c>
      <c r="Q104" s="299" t="s">
        <v>13</v>
      </c>
      <c r="R104" s="303"/>
      <c r="S104" s="303"/>
      <c r="T104" s="303"/>
      <c r="U104" s="173" t="str">
        <f t="shared" si="3"/>
        <v/>
      </c>
      <c r="V104" s="299" t="s">
        <v>14</v>
      </c>
      <c r="W104" s="299" t="s">
        <v>14</v>
      </c>
      <c r="X104" s="299" t="s">
        <v>14</v>
      </c>
      <c r="Y104" s="299" t="s">
        <v>14</v>
      </c>
      <c r="Z104" s="299" t="s">
        <v>14</v>
      </c>
      <c r="AA104" s="299" t="s">
        <v>14</v>
      </c>
      <c r="AB104" s="299" t="s">
        <v>14</v>
      </c>
      <c r="AC104" s="299"/>
    </row>
    <row r="105" spans="1:29" s="304" customFormat="1">
      <c r="A105" s="298">
        <v>44572</v>
      </c>
      <c r="B105" s="299" t="s">
        <v>129</v>
      </c>
      <c r="C105" s="299" t="s">
        <v>968</v>
      </c>
      <c r="D105" s="299" t="s">
        <v>226</v>
      </c>
      <c r="E105" s="299" t="s">
        <v>969</v>
      </c>
      <c r="F105" s="299"/>
      <c r="G105" s="299">
        <v>2</v>
      </c>
      <c r="H105" s="299">
        <v>2</v>
      </c>
      <c r="I105" s="299" t="s">
        <v>14</v>
      </c>
      <c r="J105" s="300" t="s">
        <v>970</v>
      </c>
      <c r="K105" s="301" t="s">
        <v>274</v>
      </c>
      <c r="L105" s="302">
        <v>42109</v>
      </c>
      <c r="M105" s="299" t="s">
        <v>14</v>
      </c>
      <c r="N105" s="299">
        <v>18</v>
      </c>
      <c r="O105" s="299">
        <v>78</v>
      </c>
      <c r="P105" s="299" t="s">
        <v>14</v>
      </c>
      <c r="Q105" s="299" t="s">
        <v>13</v>
      </c>
      <c r="R105" s="303"/>
      <c r="S105" s="303"/>
      <c r="T105" s="303"/>
      <c r="U105" s="173" t="str">
        <f t="shared" si="3"/>
        <v/>
      </c>
      <c r="V105" s="299" t="s">
        <v>14</v>
      </c>
      <c r="W105" s="299" t="s">
        <v>14</v>
      </c>
      <c r="X105" s="299" t="s">
        <v>14</v>
      </c>
      <c r="Y105" s="299" t="s">
        <v>14</v>
      </c>
      <c r="Z105" s="299" t="s">
        <v>14</v>
      </c>
      <c r="AA105" s="299" t="s">
        <v>14</v>
      </c>
      <c r="AB105" s="299" t="s">
        <v>14</v>
      </c>
      <c r="AC105" s="299"/>
    </row>
    <row r="106" spans="1:29" s="304" customFormat="1">
      <c r="A106" s="298">
        <v>44578</v>
      </c>
      <c r="B106" s="299" t="s">
        <v>1144</v>
      </c>
      <c r="C106" s="299" t="s">
        <v>1145</v>
      </c>
      <c r="D106" s="299" t="s">
        <v>226</v>
      </c>
      <c r="E106" s="299" t="s">
        <v>1146</v>
      </c>
      <c r="F106" s="299"/>
      <c r="G106" s="299">
        <v>2</v>
      </c>
      <c r="H106" s="299">
        <v>2</v>
      </c>
      <c r="I106" s="299" t="s">
        <v>14</v>
      </c>
      <c r="J106" s="300" t="s">
        <v>1147</v>
      </c>
      <c r="K106" s="301" t="s">
        <v>952</v>
      </c>
      <c r="L106" s="302">
        <v>41897</v>
      </c>
      <c r="M106" s="299" t="s">
        <v>14</v>
      </c>
      <c r="N106" s="299">
        <v>14</v>
      </c>
      <c r="O106" s="299">
        <v>60</v>
      </c>
      <c r="P106" s="299" t="s">
        <v>14</v>
      </c>
      <c r="Q106" s="299" t="s">
        <v>13</v>
      </c>
      <c r="R106" s="303"/>
      <c r="S106" s="303"/>
      <c r="T106" s="303"/>
      <c r="U106" s="173" t="str">
        <f t="shared" si="3"/>
        <v/>
      </c>
      <c r="V106" s="299" t="s">
        <v>14</v>
      </c>
      <c r="W106" s="299" t="s">
        <v>14</v>
      </c>
      <c r="X106" s="299" t="s">
        <v>14</v>
      </c>
      <c r="Y106" s="299" t="s">
        <v>14</v>
      </c>
      <c r="Z106" s="299" t="s">
        <v>14</v>
      </c>
      <c r="AA106" s="299" t="s">
        <v>14</v>
      </c>
      <c r="AB106" s="299" t="s">
        <v>14</v>
      </c>
      <c r="AC106" s="299"/>
    </row>
    <row r="107" spans="1:29" s="304" customFormat="1">
      <c r="A107" s="298">
        <v>44578</v>
      </c>
      <c r="B107" s="299" t="s">
        <v>1144</v>
      </c>
      <c r="C107" s="299" t="s">
        <v>1356</v>
      </c>
      <c r="D107" s="299" t="s">
        <v>226</v>
      </c>
      <c r="E107" s="298" t="s">
        <v>1357</v>
      </c>
      <c r="F107" s="299"/>
      <c r="G107" s="299">
        <v>3</v>
      </c>
      <c r="H107" s="299">
        <v>2</v>
      </c>
      <c r="I107" s="299" t="s">
        <v>14</v>
      </c>
      <c r="J107" s="300" t="s">
        <v>1358</v>
      </c>
      <c r="K107" s="301" t="s">
        <v>952</v>
      </c>
      <c r="L107" s="302">
        <v>42050</v>
      </c>
      <c r="M107" s="299" t="s">
        <v>14</v>
      </c>
      <c r="N107" s="299">
        <v>14</v>
      </c>
      <c r="O107" s="299">
        <v>60</v>
      </c>
      <c r="P107" s="299" t="s">
        <v>14</v>
      </c>
      <c r="Q107" s="299" t="s">
        <v>13</v>
      </c>
      <c r="R107" s="303"/>
      <c r="S107" s="303"/>
      <c r="T107" s="303"/>
      <c r="U107" s="173" t="str">
        <f t="shared" si="3"/>
        <v/>
      </c>
      <c r="V107" s="299" t="s">
        <v>14</v>
      </c>
      <c r="W107" s="299" t="s">
        <v>14</v>
      </c>
      <c r="X107" s="299" t="s">
        <v>14</v>
      </c>
      <c r="Y107" s="299" t="s">
        <v>14</v>
      </c>
      <c r="Z107" s="299" t="s">
        <v>14</v>
      </c>
      <c r="AA107" s="299" t="s">
        <v>14</v>
      </c>
      <c r="AB107" s="299" t="s">
        <v>14</v>
      </c>
      <c r="AC107" s="299"/>
    </row>
    <row r="108" spans="1:29" s="304" customFormat="1" ht="30">
      <c r="A108" s="298">
        <v>44572</v>
      </c>
      <c r="B108" s="299" t="s">
        <v>140</v>
      </c>
      <c r="C108" s="299" t="s">
        <v>1273</v>
      </c>
      <c r="D108" s="299" t="s">
        <v>225</v>
      </c>
      <c r="E108" s="299" t="s">
        <v>1274</v>
      </c>
      <c r="F108" s="299"/>
      <c r="G108" s="299">
        <v>2</v>
      </c>
      <c r="H108" s="299">
        <v>2</v>
      </c>
      <c r="I108" s="299" t="s">
        <v>14</v>
      </c>
      <c r="J108" s="300" t="s">
        <v>1275</v>
      </c>
      <c r="K108" s="301" t="s">
        <v>274</v>
      </c>
      <c r="L108" s="302">
        <v>42137</v>
      </c>
      <c r="M108" s="299" t="s">
        <v>14</v>
      </c>
      <c r="N108" s="299">
        <v>21</v>
      </c>
      <c r="O108" s="299">
        <v>90</v>
      </c>
      <c r="P108" s="299" t="s">
        <v>14</v>
      </c>
      <c r="Q108" s="299" t="s">
        <v>13</v>
      </c>
      <c r="R108" s="303"/>
      <c r="S108" s="303"/>
      <c r="T108" s="303"/>
      <c r="U108" s="173" t="str">
        <f t="shared" si="3"/>
        <v/>
      </c>
      <c r="V108" s="299" t="s">
        <v>14</v>
      </c>
      <c r="W108" s="299" t="s">
        <v>14</v>
      </c>
      <c r="X108" s="299" t="s">
        <v>14</v>
      </c>
      <c r="Y108" s="299" t="s">
        <v>14</v>
      </c>
      <c r="Z108" s="299" t="s">
        <v>14</v>
      </c>
      <c r="AA108" s="299" t="s">
        <v>14</v>
      </c>
      <c r="AB108" s="299" t="s">
        <v>14</v>
      </c>
      <c r="AC108" s="299"/>
    </row>
    <row r="109" spans="1:29" s="304" customFormat="1" ht="30">
      <c r="A109" s="298">
        <v>44570</v>
      </c>
      <c r="B109" s="299" t="s">
        <v>126</v>
      </c>
      <c r="C109" s="299" t="s">
        <v>1097</v>
      </c>
      <c r="D109" s="299" t="s">
        <v>226</v>
      </c>
      <c r="E109" s="299" t="s">
        <v>1611</v>
      </c>
      <c r="F109" s="299"/>
      <c r="G109" s="299">
        <v>5</v>
      </c>
      <c r="H109" s="299">
        <v>0</v>
      </c>
      <c r="I109" s="299" t="s">
        <v>14</v>
      </c>
      <c r="J109" s="300" t="s">
        <v>1098</v>
      </c>
      <c r="K109" s="301" t="s">
        <v>274</v>
      </c>
      <c r="L109" s="302">
        <v>42179</v>
      </c>
      <c r="M109" s="299" t="s">
        <v>14</v>
      </c>
      <c r="N109" s="299">
        <v>20</v>
      </c>
      <c r="O109" s="299">
        <v>90</v>
      </c>
      <c r="P109" s="299" t="s">
        <v>14</v>
      </c>
      <c r="Q109" s="299" t="s">
        <v>13</v>
      </c>
      <c r="R109" s="303"/>
      <c r="S109" s="303"/>
      <c r="T109" s="303"/>
      <c r="U109" s="173" t="str">
        <f t="shared" si="3"/>
        <v/>
      </c>
      <c r="V109" s="299" t="s">
        <v>14</v>
      </c>
      <c r="W109" s="299" t="s">
        <v>14</v>
      </c>
      <c r="X109" s="299" t="s">
        <v>14</v>
      </c>
      <c r="Y109" s="299" t="s">
        <v>14</v>
      </c>
      <c r="Z109" s="299" t="s">
        <v>14</v>
      </c>
      <c r="AA109" s="299" t="s">
        <v>14</v>
      </c>
      <c r="AB109" s="299" t="s">
        <v>14</v>
      </c>
      <c r="AC109" s="299"/>
    </row>
    <row r="110" spans="1:29" s="304" customFormat="1">
      <c r="A110" s="298">
        <v>44573</v>
      </c>
      <c r="B110" s="299" t="s">
        <v>126</v>
      </c>
      <c r="C110" s="299" t="s">
        <v>1010</v>
      </c>
      <c r="D110" s="299" t="s">
        <v>226</v>
      </c>
      <c r="E110" s="299" t="s">
        <v>1011</v>
      </c>
      <c r="F110" s="299"/>
      <c r="G110" s="299">
        <v>7</v>
      </c>
      <c r="H110" s="299">
        <v>1</v>
      </c>
      <c r="I110" s="299" t="s">
        <v>14</v>
      </c>
      <c r="J110" s="300" t="s">
        <v>1012</v>
      </c>
      <c r="K110" s="301" t="s">
        <v>274</v>
      </c>
      <c r="L110" s="302">
        <v>42070</v>
      </c>
      <c r="M110" s="299" t="s">
        <v>14</v>
      </c>
      <c r="N110" s="299">
        <v>16</v>
      </c>
      <c r="O110" s="299">
        <v>75</v>
      </c>
      <c r="P110" s="299" t="s">
        <v>14</v>
      </c>
      <c r="Q110" s="299" t="s">
        <v>13</v>
      </c>
      <c r="R110" s="303"/>
      <c r="S110" s="303"/>
      <c r="T110" s="303"/>
      <c r="U110" s="173" t="str">
        <f t="shared" si="3"/>
        <v/>
      </c>
      <c r="V110" s="299" t="s">
        <v>14</v>
      </c>
      <c r="W110" s="299" t="s">
        <v>14</v>
      </c>
      <c r="X110" s="299" t="s">
        <v>14</v>
      </c>
      <c r="Y110" s="299" t="s">
        <v>14</v>
      </c>
      <c r="Z110" s="299" t="s">
        <v>14</v>
      </c>
      <c r="AA110" s="299" t="s">
        <v>14</v>
      </c>
      <c r="AB110" s="299" t="s">
        <v>14</v>
      </c>
      <c r="AC110" s="299"/>
    </row>
    <row r="111" spans="1:29" s="304" customFormat="1">
      <c r="A111" s="298">
        <v>44571</v>
      </c>
      <c r="B111" s="299" t="s">
        <v>257</v>
      </c>
      <c r="C111" s="299" t="s">
        <v>1435</v>
      </c>
      <c r="D111" s="299" t="s">
        <v>225</v>
      </c>
      <c r="E111" s="298" t="s">
        <v>1436</v>
      </c>
      <c r="F111" s="299"/>
      <c r="G111" s="299">
        <v>2</v>
      </c>
      <c r="H111" s="299">
        <v>2</v>
      </c>
      <c r="I111" s="299" t="s">
        <v>14</v>
      </c>
      <c r="J111" s="300" t="s">
        <v>1437</v>
      </c>
      <c r="K111" s="301" t="s">
        <v>952</v>
      </c>
      <c r="L111" s="302">
        <v>41866</v>
      </c>
      <c r="M111" s="299" t="s">
        <v>14</v>
      </c>
      <c r="N111" s="299">
        <v>18</v>
      </c>
      <c r="O111" s="299">
        <v>78</v>
      </c>
      <c r="P111" s="299" t="s">
        <v>14</v>
      </c>
      <c r="Q111" s="299" t="s">
        <v>13</v>
      </c>
      <c r="R111" s="303"/>
      <c r="S111" s="303"/>
      <c r="T111" s="303"/>
      <c r="U111" s="173" t="str">
        <f t="shared" si="3"/>
        <v/>
      </c>
      <c r="V111" s="299" t="s">
        <v>14</v>
      </c>
      <c r="W111" s="299" t="s">
        <v>14</v>
      </c>
      <c r="X111" s="299" t="s">
        <v>14</v>
      </c>
      <c r="Y111" s="299" t="s">
        <v>14</v>
      </c>
      <c r="Z111" s="299" t="s">
        <v>14</v>
      </c>
      <c r="AA111" s="299" t="s">
        <v>14</v>
      </c>
      <c r="AB111" s="299" t="s">
        <v>14</v>
      </c>
      <c r="AC111" s="299"/>
    </row>
    <row r="112" spans="1:29" s="304" customFormat="1">
      <c r="A112" s="298">
        <v>44573</v>
      </c>
      <c r="B112" s="299" t="s">
        <v>131</v>
      </c>
      <c r="C112" s="299" t="s">
        <v>1043</v>
      </c>
      <c r="D112" s="299" t="s">
        <v>226</v>
      </c>
      <c r="E112" s="299" t="s">
        <v>1044</v>
      </c>
      <c r="F112" s="299"/>
      <c r="G112" s="299">
        <v>2</v>
      </c>
      <c r="H112" s="299">
        <v>3</v>
      </c>
      <c r="I112" s="299" t="s">
        <v>14</v>
      </c>
      <c r="J112" s="300" t="s">
        <v>1045</v>
      </c>
      <c r="K112" s="301" t="s">
        <v>274</v>
      </c>
      <c r="L112" s="302">
        <v>42184</v>
      </c>
      <c r="M112" s="299" t="s">
        <v>14</v>
      </c>
      <c r="N112" s="299">
        <v>15</v>
      </c>
      <c r="O112" s="299">
        <v>60</v>
      </c>
      <c r="P112" s="299" t="s">
        <v>14</v>
      </c>
      <c r="Q112" s="299" t="s">
        <v>14</v>
      </c>
      <c r="R112" s="299" t="s">
        <v>14</v>
      </c>
      <c r="S112" s="299">
        <v>5</v>
      </c>
      <c r="T112" s="299">
        <v>20</v>
      </c>
      <c r="U112" s="173">
        <f t="shared" si="3"/>
        <v>0.25</v>
      </c>
      <c r="V112" s="299" t="s">
        <v>14</v>
      </c>
      <c r="W112" s="299" t="s">
        <v>14</v>
      </c>
      <c r="X112" s="299" t="s">
        <v>14</v>
      </c>
      <c r="Y112" s="299" t="s">
        <v>14</v>
      </c>
      <c r="Z112" s="299" t="s">
        <v>14</v>
      </c>
      <c r="AA112" s="299" t="s">
        <v>14</v>
      </c>
      <c r="AB112" s="299" t="s">
        <v>14</v>
      </c>
      <c r="AC112" s="299"/>
    </row>
    <row r="113" spans="1:29" s="304" customFormat="1">
      <c r="A113" s="298">
        <v>44577</v>
      </c>
      <c r="B113" s="299" t="s">
        <v>974</v>
      </c>
      <c r="C113" s="299" t="s">
        <v>1409</v>
      </c>
      <c r="D113" s="299" t="s">
        <v>225</v>
      </c>
      <c r="E113" s="298" t="s">
        <v>1600</v>
      </c>
      <c r="F113" s="299"/>
      <c r="G113" s="299">
        <v>2</v>
      </c>
      <c r="H113" s="299">
        <v>2</v>
      </c>
      <c r="I113" s="299" t="s">
        <v>14</v>
      </c>
      <c r="J113" s="300" t="s">
        <v>1410</v>
      </c>
      <c r="K113" s="301" t="s">
        <v>952</v>
      </c>
      <c r="L113" s="302">
        <v>41928</v>
      </c>
      <c r="M113" s="299" t="s">
        <v>14</v>
      </c>
      <c r="N113" s="299">
        <v>17</v>
      </c>
      <c r="O113" s="299">
        <v>70</v>
      </c>
      <c r="P113" s="299" t="s">
        <v>14</v>
      </c>
      <c r="Q113" s="299" t="s">
        <v>13</v>
      </c>
      <c r="R113" s="299"/>
      <c r="S113" s="299"/>
      <c r="T113" s="299"/>
      <c r="U113" s="173" t="str">
        <f t="shared" si="3"/>
        <v/>
      </c>
      <c r="V113" s="299" t="s">
        <v>14</v>
      </c>
      <c r="W113" s="299" t="s">
        <v>14</v>
      </c>
      <c r="X113" s="299" t="s">
        <v>14</v>
      </c>
      <c r="Y113" s="299" t="s">
        <v>14</v>
      </c>
      <c r="Z113" s="299" t="s">
        <v>14</v>
      </c>
      <c r="AA113" s="299" t="s">
        <v>14</v>
      </c>
      <c r="AB113" s="299" t="s">
        <v>14</v>
      </c>
      <c r="AC113" s="299"/>
    </row>
    <row r="114" spans="1:29" s="304" customFormat="1">
      <c r="A114" s="298">
        <v>44566</v>
      </c>
      <c r="B114" s="299" t="s">
        <v>227</v>
      </c>
      <c r="C114" s="299" t="s">
        <v>1510</v>
      </c>
      <c r="D114" s="299" t="s">
        <v>225</v>
      </c>
      <c r="E114" s="299" t="s">
        <v>1563</v>
      </c>
      <c r="F114" s="299"/>
      <c r="G114" s="299">
        <v>2</v>
      </c>
      <c r="H114" s="299">
        <v>2</v>
      </c>
      <c r="I114" s="299" t="s">
        <v>14</v>
      </c>
      <c r="J114" s="306" t="s">
        <v>1511</v>
      </c>
      <c r="K114" s="301" t="s">
        <v>952</v>
      </c>
      <c r="L114" s="302">
        <v>42033</v>
      </c>
      <c r="M114" s="299" t="s">
        <v>13</v>
      </c>
      <c r="N114" s="299"/>
      <c r="O114" s="299"/>
      <c r="P114" s="299"/>
      <c r="Q114" s="299"/>
      <c r="R114" s="299"/>
      <c r="S114" s="299"/>
      <c r="T114" s="299"/>
      <c r="U114" s="173" t="str">
        <f t="shared" si="3"/>
        <v/>
      </c>
      <c r="V114" s="299"/>
      <c r="W114" s="299"/>
      <c r="X114" s="299"/>
      <c r="Y114" s="299"/>
      <c r="Z114" s="299"/>
      <c r="AA114" s="299"/>
      <c r="AB114" s="299"/>
      <c r="AC114" s="299"/>
    </row>
    <row r="115" spans="1:29" s="304" customFormat="1">
      <c r="A115" s="298">
        <v>44570</v>
      </c>
      <c r="B115" s="299" t="s">
        <v>130</v>
      </c>
      <c r="C115" s="299" t="s">
        <v>1278</v>
      </c>
      <c r="D115" s="299" t="s">
        <v>226</v>
      </c>
      <c r="E115" s="299" t="s">
        <v>1601</v>
      </c>
      <c r="F115" s="299"/>
      <c r="G115" s="299">
        <v>2</v>
      </c>
      <c r="H115" s="299">
        <v>2</v>
      </c>
      <c r="I115" s="299" t="s">
        <v>14</v>
      </c>
      <c r="J115" s="300" t="s">
        <v>1279</v>
      </c>
      <c r="K115" s="301" t="s">
        <v>274</v>
      </c>
      <c r="L115" s="302">
        <v>42138</v>
      </c>
      <c r="M115" s="299" t="s">
        <v>14</v>
      </c>
      <c r="N115" s="299">
        <v>14</v>
      </c>
      <c r="O115" s="299">
        <v>60</v>
      </c>
      <c r="P115" s="299" t="s">
        <v>14</v>
      </c>
      <c r="Q115" s="299" t="s">
        <v>13</v>
      </c>
      <c r="R115" s="303"/>
      <c r="S115" s="303"/>
      <c r="T115" s="303"/>
      <c r="U115" s="173" t="str">
        <f t="shared" si="3"/>
        <v/>
      </c>
      <c r="V115" s="299" t="s">
        <v>14</v>
      </c>
      <c r="W115" s="299" t="s">
        <v>14</v>
      </c>
      <c r="X115" s="299" t="s">
        <v>14</v>
      </c>
      <c r="Y115" s="299" t="s">
        <v>14</v>
      </c>
      <c r="Z115" s="299" t="s">
        <v>14</v>
      </c>
      <c r="AA115" s="299" t="s">
        <v>14</v>
      </c>
      <c r="AB115" s="299" t="s">
        <v>14</v>
      </c>
      <c r="AC115" s="299"/>
    </row>
    <row r="116" spans="1:29" s="304" customFormat="1">
      <c r="A116" s="298">
        <v>44574</v>
      </c>
      <c r="B116" s="299" t="s">
        <v>1544</v>
      </c>
      <c r="C116" s="299" t="s">
        <v>1477</v>
      </c>
      <c r="D116" s="299" t="s">
        <v>226</v>
      </c>
      <c r="E116" s="299" t="s">
        <v>1562</v>
      </c>
      <c r="F116" s="299"/>
      <c r="G116" s="299">
        <v>2</v>
      </c>
      <c r="H116" s="299">
        <v>3</v>
      </c>
      <c r="I116" s="299" t="s">
        <v>14</v>
      </c>
      <c r="J116" s="306" t="s">
        <v>1478</v>
      </c>
      <c r="K116" s="301" t="s">
        <v>952</v>
      </c>
      <c r="L116" s="302">
        <v>42033</v>
      </c>
      <c r="M116" s="299" t="s">
        <v>13</v>
      </c>
      <c r="N116" s="299"/>
      <c r="O116" s="299"/>
      <c r="P116" s="299"/>
      <c r="Q116" s="299"/>
      <c r="R116" s="299"/>
      <c r="S116" s="299"/>
      <c r="T116" s="299"/>
      <c r="U116" s="173" t="str">
        <f t="shared" si="3"/>
        <v/>
      </c>
      <c r="V116" s="299"/>
      <c r="W116" s="299"/>
      <c r="X116" s="299"/>
      <c r="Y116" s="299"/>
      <c r="Z116" s="299"/>
      <c r="AA116" s="299"/>
      <c r="AB116" s="299"/>
      <c r="AC116" s="299"/>
    </row>
    <row r="117" spans="1:29" s="304" customFormat="1">
      <c r="A117" s="298">
        <v>44564</v>
      </c>
      <c r="B117" s="299" t="s">
        <v>260</v>
      </c>
      <c r="C117" s="299" t="s">
        <v>1280</v>
      </c>
      <c r="D117" s="299" t="s">
        <v>225</v>
      </c>
      <c r="E117" s="299" t="s">
        <v>1603</v>
      </c>
      <c r="F117" s="299"/>
      <c r="G117" s="299">
        <v>5</v>
      </c>
      <c r="H117" s="299">
        <v>0</v>
      </c>
      <c r="I117" s="299" t="s">
        <v>14</v>
      </c>
      <c r="J117" s="300" t="s">
        <v>1281</v>
      </c>
      <c r="K117" s="301" t="s">
        <v>274</v>
      </c>
      <c r="L117" s="302">
        <v>42142</v>
      </c>
      <c r="M117" s="299" t="s">
        <v>14</v>
      </c>
      <c r="N117" s="299">
        <v>14</v>
      </c>
      <c r="O117" s="299">
        <v>60</v>
      </c>
      <c r="P117" s="299" t="s">
        <v>14</v>
      </c>
      <c r="Q117" s="299" t="s">
        <v>13</v>
      </c>
      <c r="R117" s="303"/>
      <c r="S117" s="303"/>
      <c r="T117" s="303"/>
      <c r="U117" s="173" t="str">
        <f t="shared" si="3"/>
        <v/>
      </c>
      <c r="V117" s="299" t="s">
        <v>14</v>
      </c>
      <c r="W117" s="299" t="s">
        <v>14</v>
      </c>
      <c r="X117" s="299" t="s">
        <v>14</v>
      </c>
      <c r="Y117" s="299" t="s">
        <v>14</v>
      </c>
      <c r="Z117" s="299" t="s">
        <v>14</v>
      </c>
      <c r="AA117" s="299" t="s">
        <v>14</v>
      </c>
      <c r="AB117" s="299" t="s">
        <v>14</v>
      </c>
      <c r="AC117" s="299"/>
    </row>
    <row r="118" spans="1:29" s="304" customFormat="1">
      <c r="A118" s="298">
        <v>44572</v>
      </c>
      <c r="B118" s="299" t="s">
        <v>1405</v>
      </c>
      <c r="C118" s="299" t="s">
        <v>1406</v>
      </c>
      <c r="D118" s="299" t="s">
        <v>226</v>
      </c>
      <c r="E118" s="298" t="s">
        <v>1407</v>
      </c>
      <c r="F118" s="299"/>
      <c r="G118" s="299">
        <v>2</v>
      </c>
      <c r="H118" s="299">
        <v>0</v>
      </c>
      <c r="I118" s="299" t="s">
        <v>14</v>
      </c>
      <c r="J118" s="300" t="s">
        <v>1408</v>
      </c>
      <c r="K118" s="301" t="s">
        <v>952</v>
      </c>
      <c r="L118" s="302">
        <v>41927</v>
      </c>
      <c r="M118" s="299" t="s">
        <v>14</v>
      </c>
      <c r="N118" s="299">
        <v>10</v>
      </c>
      <c r="O118" s="299">
        <v>40</v>
      </c>
      <c r="P118" s="299" t="s">
        <v>14</v>
      </c>
      <c r="Q118" s="299" t="s">
        <v>14</v>
      </c>
      <c r="R118" s="299" t="s">
        <v>14</v>
      </c>
      <c r="S118" s="299">
        <v>5</v>
      </c>
      <c r="T118" s="299">
        <v>20</v>
      </c>
      <c r="U118" s="173">
        <f t="shared" si="3"/>
        <v>0.33333333333333331</v>
      </c>
      <c r="V118" s="299" t="s">
        <v>14</v>
      </c>
      <c r="W118" s="299" t="s">
        <v>14</v>
      </c>
      <c r="X118" s="299" t="s">
        <v>14</v>
      </c>
      <c r="Y118" s="299" t="s">
        <v>14</v>
      </c>
      <c r="Z118" s="299" t="s">
        <v>14</v>
      </c>
      <c r="AA118" s="299" t="s">
        <v>14</v>
      </c>
      <c r="AB118" s="299" t="s">
        <v>14</v>
      </c>
      <c r="AC118" s="299"/>
    </row>
    <row r="119" spans="1:29" s="304" customFormat="1">
      <c r="A119" s="298">
        <v>44565</v>
      </c>
      <c r="B119" s="299" t="s">
        <v>1023</v>
      </c>
      <c r="C119" s="299" t="s">
        <v>1062</v>
      </c>
      <c r="D119" s="299" t="s">
        <v>225</v>
      </c>
      <c r="E119" s="299" t="s">
        <v>1063</v>
      </c>
      <c r="F119" s="299"/>
      <c r="G119" s="299">
        <v>6</v>
      </c>
      <c r="H119" s="299">
        <v>0</v>
      </c>
      <c r="I119" s="299" t="s">
        <v>14</v>
      </c>
      <c r="J119" s="300" t="s">
        <v>1064</v>
      </c>
      <c r="K119" s="301" t="s">
        <v>952</v>
      </c>
      <c r="L119" s="302">
        <v>41929</v>
      </c>
      <c r="M119" s="299" t="s">
        <v>14</v>
      </c>
      <c r="N119" s="299">
        <v>14</v>
      </c>
      <c r="O119" s="299">
        <v>60</v>
      </c>
      <c r="P119" s="299" t="s">
        <v>14</v>
      </c>
      <c r="Q119" s="299" t="s">
        <v>13</v>
      </c>
      <c r="R119" s="303"/>
      <c r="S119" s="303"/>
      <c r="T119" s="303"/>
      <c r="U119" s="173" t="str">
        <f t="shared" si="3"/>
        <v/>
      </c>
      <c r="V119" s="299" t="s">
        <v>14</v>
      </c>
      <c r="W119" s="299" t="s">
        <v>14</v>
      </c>
      <c r="X119" s="299" t="s">
        <v>14</v>
      </c>
      <c r="Y119" s="299" t="s">
        <v>14</v>
      </c>
      <c r="Z119" s="299" t="s">
        <v>14</v>
      </c>
      <c r="AA119" s="299" t="s">
        <v>14</v>
      </c>
      <c r="AB119" s="299" t="s">
        <v>14</v>
      </c>
      <c r="AC119" s="299"/>
    </row>
    <row r="120" spans="1:29" s="304" customFormat="1">
      <c r="A120" s="298">
        <v>44572</v>
      </c>
      <c r="B120" s="299" t="s">
        <v>1020</v>
      </c>
      <c r="C120" s="299" t="s">
        <v>1534</v>
      </c>
      <c r="D120" s="299" t="s">
        <v>225</v>
      </c>
      <c r="E120" s="299" t="s">
        <v>1021</v>
      </c>
      <c r="F120" s="299"/>
      <c r="G120" s="299">
        <v>3</v>
      </c>
      <c r="H120" s="299">
        <v>1</v>
      </c>
      <c r="I120" s="299" t="s">
        <v>14</v>
      </c>
      <c r="J120" s="300" t="s">
        <v>1022</v>
      </c>
      <c r="K120" s="301" t="s">
        <v>952</v>
      </c>
      <c r="L120" s="302">
        <v>41883</v>
      </c>
      <c r="M120" s="299" t="s">
        <v>14</v>
      </c>
      <c r="N120" s="299">
        <v>15</v>
      </c>
      <c r="O120" s="299">
        <v>60</v>
      </c>
      <c r="P120" s="299" t="s">
        <v>14</v>
      </c>
      <c r="Q120" s="299" t="s">
        <v>14</v>
      </c>
      <c r="R120" s="299" t="s">
        <v>14</v>
      </c>
      <c r="S120" s="299">
        <v>5</v>
      </c>
      <c r="T120" s="299">
        <v>20</v>
      </c>
      <c r="U120" s="173">
        <f t="shared" si="3"/>
        <v>0.25</v>
      </c>
      <c r="V120" s="299" t="s">
        <v>14</v>
      </c>
      <c r="W120" s="299" t="s">
        <v>14</v>
      </c>
      <c r="X120" s="299" t="s">
        <v>14</v>
      </c>
      <c r="Y120" s="299" t="s">
        <v>14</v>
      </c>
      <c r="Z120" s="299" t="s">
        <v>14</v>
      </c>
      <c r="AA120" s="299" t="s">
        <v>14</v>
      </c>
      <c r="AB120" s="299" t="s">
        <v>14</v>
      </c>
      <c r="AC120" s="299"/>
    </row>
    <row r="121" spans="1:29" s="304" customFormat="1">
      <c r="A121" s="298">
        <v>44574</v>
      </c>
      <c r="B121" s="299" t="s">
        <v>1120</v>
      </c>
      <c r="C121" s="299" t="s">
        <v>1134</v>
      </c>
      <c r="D121" s="299" t="s">
        <v>226</v>
      </c>
      <c r="E121" s="299" t="s">
        <v>1135</v>
      </c>
      <c r="F121" s="299"/>
      <c r="G121" s="299">
        <v>3</v>
      </c>
      <c r="H121" s="299">
        <v>1</v>
      </c>
      <c r="I121" s="299" t="s">
        <v>14</v>
      </c>
      <c r="J121" s="300" t="s">
        <v>1136</v>
      </c>
      <c r="K121" s="301" t="s">
        <v>274</v>
      </c>
      <c r="L121" s="302">
        <v>42117</v>
      </c>
      <c r="M121" s="299" t="s">
        <v>14</v>
      </c>
      <c r="N121" s="299">
        <v>18</v>
      </c>
      <c r="O121" s="299">
        <v>72</v>
      </c>
      <c r="P121" s="299" t="s">
        <v>14</v>
      </c>
      <c r="Q121" s="299" t="s">
        <v>13</v>
      </c>
      <c r="R121" s="303"/>
      <c r="S121" s="303"/>
      <c r="T121" s="303"/>
      <c r="U121" s="173" t="str">
        <f t="shared" si="3"/>
        <v/>
      </c>
      <c r="V121" s="299" t="s">
        <v>14</v>
      </c>
      <c r="W121" s="299" t="s">
        <v>14</v>
      </c>
      <c r="X121" s="299" t="s">
        <v>14</v>
      </c>
      <c r="Y121" s="299" t="s">
        <v>14</v>
      </c>
      <c r="Z121" s="299" t="s">
        <v>14</v>
      </c>
      <c r="AA121" s="299" t="s">
        <v>14</v>
      </c>
      <c r="AB121" s="299" t="s">
        <v>14</v>
      </c>
      <c r="AC121" s="299"/>
    </row>
    <row r="122" spans="1:29" s="304" customFormat="1">
      <c r="A122" s="298">
        <v>44564</v>
      </c>
      <c r="B122" s="299" t="s">
        <v>1005</v>
      </c>
      <c r="C122" s="299" t="s">
        <v>1535</v>
      </c>
      <c r="D122" s="299" t="s">
        <v>226</v>
      </c>
      <c r="E122" s="299" t="s">
        <v>1008</v>
      </c>
      <c r="F122" s="299"/>
      <c r="G122" s="299">
        <v>3</v>
      </c>
      <c r="H122" s="299">
        <v>1</v>
      </c>
      <c r="I122" s="299" t="s">
        <v>14</v>
      </c>
      <c r="J122" s="300" t="s">
        <v>1009</v>
      </c>
      <c r="K122" s="301" t="s">
        <v>274</v>
      </c>
      <c r="L122" s="302">
        <v>42078</v>
      </c>
      <c r="M122" s="299" t="s">
        <v>14</v>
      </c>
      <c r="N122" s="299">
        <v>14</v>
      </c>
      <c r="O122" s="299">
        <v>56</v>
      </c>
      <c r="P122" s="299" t="s">
        <v>14</v>
      </c>
      <c r="Q122" s="299" t="s">
        <v>14</v>
      </c>
      <c r="R122" s="299" t="s">
        <v>14</v>
      </c>
      <c r="S122" s="299">
        <v>7</v>
      </c>
      <c r="T122" s="299">
        <v>28</v>
      </c>
      <c r="U122" s="173">
        <f t="shared" si="3"/>
        <v>0.33333333333333331</v>
      </c>
      <c r="V122" s="299" t="s">
        <v>14</v>
      </c>
      <c r="W122" s="299" t="s">
        <v>14</v>
      </c>
      <c r="X122" s="299" t="s">
        <v>14</v>
      </c>
      <c r="Y122" s="299" t="s">
        <v>14</v>
      </c>
      <c r="Z122" s="299" t="s">
        <v>14</v>
      </c>
      <c r="AA122" s="299" t="s">
        <v>14</v>
      </c>
      <c r="AB122" s="299" t="s">
        <v>14</v>
      </c>
      <c r="AC122" s="299"/>
    </row>
    <row r="123" spans="1:29" s="304" customFormat="1">
      <c r="A123" s="298">
        <v>44574</v>
      </c>
      <c r="B123" s="299" t="s">
        <v>1555</v>
      </c>
      <c r="C123" s="299" t="s">
        <v>1497</v>
      </c>
      <c r="D123" s="299" t="s">
        <v>225</v>
      </c>
      <c r="E123" s="299" t="s">
        <v>1577</v>
      </c>
      <c r="F123" s="299"/>
      <c r="G123" s="299">
        <v>2</v>
      </c>
      <c r="H123" s="299">
        <v>2</v>
      </c>
      <c r="I123" s="299" t="s">
        <v>14</v>
      </c>
      <c r="J123" s="306" t="s">
        <v>1498</v>
      </c>
      <c r="K123" s="301" t="s">
        <v>952</v>
      </c>
      <c r="L123" s="302">
        <v>41913</v>
      </c>
      <c r="M123" s="299" t="s">
        <v>13</v>
      </c>
      <c r="N123" s="299"/>
      <c r="O123" s="299"/>
      <c r="P123" s="299"/>
      <c r="Q123" s="299"/>
      <c r="R123" s="299"/>
      <c r="S123" s="299"/>
      <c r="T123" s="299"/>
      <c r="U123" s="173" t="str">
        <f t="shared" si="3"/>
        <v/>
      </c>
      <c r="V123" s="299"/>
      <c r="W123" s="299"/>
      <c r="X123" s="299"/>
      <c r="Y123" s="299"/>
      <c r="Z123" s="299"/>
      <c r="AA123" s="299"/>
      <c r="AB123" s="299"/>
      <c r="AC123" s="299"/>
    </row>
    <row r="124" spans="1:29" s="304" customFormat="1">
      <c r="A124" s="298">
        <v>44564</v>
      </c>
      <c r="B124" s="299" t="s">
        <v>124</v>
      </c>
      <c r="C124" s="299" t="s">
        <v>1366</v>
      </c>
      <c r="D124" s="299" t="s">
        <v>226</v>
      </c>
      <c r="E124" s="298" t="s">
        <v>1367</v>
      </c>
      <c r="F124" s="299"/>
      <c r="G124" s="299">
        <v>2</v>
      </c>
      <c r="H124" s="299">
        <v>2</v>
      </c>
      <c r="I124" s="299" t="s">
        <v>14</v>
      </c>
      <c r="J124" s="300" t="s">
        <v>1368</v>
      </c>
      <c r="K124" s="301" t="s">
        <v>274</v>
      </c>
      <c r="L124" s="302">
        <v>42083</v>
      </c>
      <c r="M124" s="299" t="s">
        <v>14</v>
      </c>
      <c r="N124" s="299">
        <v>14</v>
      </c>
      <c r="O124" s="299">
        <v>56</v>
      </c>
      <c r="P124" s="299" t="s">
        <v>14</v>
      </c>
      <c r="Q124" s="299" t="s">
        <v>13</v>
      </c>
      <c r="R124" s="303"/>
      <c r="S124" s="303"/>
      <c r="T124" s="303"/>
      <c r="U124" s="173" t="str">
        <f t="shared" si="3"/>
        <v/>
      </c>
      <c r="V124" s="299" t="s">
        <v>14</v>
      </c>
      <c r="W124" s="299" t="s">
        <v>14</v>
      </c>
      <c r="X124" s="299" t="s">
        <v>14</v>
      </c>
      <c r="Y124" s="299" t="s">
        <v>14</v>
      </c>
      <c r="Z124" s="299" t="s">
        <v>14</v>
      </c>
      <c r="AA124" s="299" t="s">
        <v>14</v>
      </c>
      <c r="AB124" s="299" t="s">
        <v>14</v>
      </c>
      <c r="AC124" s="299"/>
    </row>
    <row r="125" spans="1:29" s="304" customFormat="1">
      <c r="A125" s="298">
        <v>44570</v>
      </c>
      <c r="B125" s="299" t="s">
        <v>124</v>
      </c>
      <c r="C125" s="299" t="s">
        <v>1075</v>
      </c>
      <c r="D125" s="299" t="s">
        <v>225</v>
      </c>
      <c r="E125" s="299" t="s">
        <v>1076</v>
      </c>
      <c r="F125" s="299"/>
      <c r="G125" s="299">
        <v>2</v>
      </c>
      <c r="H125" s="299">
        <v>2</v>
      </c>
      <c r="I125" s="299" t="s">
        <v>14</v>
      </c>
      <c r="J125" s="300" t="s">
        <v>1077</v>
      </c>
      <c r="K125" s="301" t="s">
        <v>952</v>
      </c>
      <c r="L125" s="302">
        <v>42063</v>
      </c>
      <c r="M125" s="299" t="s">
        <v>14</v>
      </c>
      <c r="N125" s="299">
        <v>14</v>
      </c>
      <c r="O125" s="299">
        <v>56</v>
      </c>
      <c r="P125" s="299" t="s">
        <v>14</v>
      </c>
      <c r="Q125" s="299" t="s">
        <v>13</v>
      </c>
      <c r="R125" s="303"/>
      <c r="S125" s="303"/>
      <c r="T125" s="303"/>
      <c r="U125" s="173" t="str">
        <f t="shared" si="3"/>
        <v/>
      </c>
      <c r="V125" s="299" t="s">
        <v>14</v>
      </c>
      <c r="W125" s="299" t="s">
        <v>14</v>
      </c>
      <c r="X125" s="299" t="s">
        <v>14</v>
      </c>
      <c r="Y125" s="299" t="s">
        <v>14</v>
      </c>
      <c r="Z125" s="299" t="s">
        <v>14</v>
      </c>
      <c r="AA125" s="299" t="s">
        <v>14</v>
      </c>
      <c r="AB125" s="299" t="s">
        <v>14</v>
      </c>
      <c r="AC125" s="299"/>
    </row>
    <row r="126" spans="1:29" s="304" customFormat="1">
      <c r="A126" s="298">
        <v>44572</v>
      </c>
      <c r="B126" s="299" t="s">
        <v>954</v>
      </c>
      <c r="C126" s="299" t="s">
        <v>38</v>
      </c>
      <c r="D126" s="299" t="s">
        <v>226</v>
      </c>
      <c r="E126" s="299" t="s">
        <v>1103</v>
      </c>
      <c r="F126" s="299"/>
      <c r="G126" s="299">
        <v>2</v>
      </c>
      <c r="H126" s="299">
        <v>0</v>
      </c>
      <c r="I126" s="299" t="s">
        <v>14</v>
      </c>
      <c r="J126" s="300" t="s">
        <v>1104</v>
      </c>
      <c r="K126" s="301" t="s">
        <v>952</v>
      </c>
      <c r="L126" s="302">
        <v>42032</v>
      </c>
      <c r="M126" s="299" t="s">
        <v>14</v>
      </c>
      <c r="N126" s="299">
        <v>14</v>
      </c>
      <c r="O126" s="299">
        <v>60</v>
      </c>
      <c r="P126" s="299" t="s">
        <v>14</v>
      </c>
      <c r="Q126" s="299" t="s">
        <v>13</v>
      </c>
      <c r="R126" s="303"/>
      <c r="S126" s="303"/>
      <c r="T126" s="303"/>
      <c r="U126" s="173" t="str">
        <f t="shared" si="3"/>
        <v/>
      </c>
      <c r="V126" s="299" t="s">
        <v>14</v>
      </c>
      <c r="W126" s="299" t="s">
        <v>14</v>
      </c>
      <c r="X126" s="299" t="s">
        <v>14</v>
      </c>
      <c r="Y126" s="299" t="s">
        <v>14</v>
      </c>
      <c r="Z126" s="299" t="s">
        <v>14</v>
      </c>
      <c r="AA126" s="299" t="s">
        <v>14</v>
      </c>
      <c r="AB126" s="299" t="s">
        <v>14</v>
      </c>
      <c r="AC126" s="299"/>
    </row>
    <row r="127" spans="1:29" s="304" customFormat="1">
      <c r="A127" s="298">
        <v>44573</v>
      </c>
      <c r="B127" s="299" t="s">
        <v>245</v>
      </c>
      <c r="C127" s="299" t="s">
        <v>1396</v>
      </c>
      <c r="D127" s="299" t="s">
        <v>226</v>
      </c>
      <c r="E127" s="299" t="s">
        <v>1397</v>
      </c>
      <c r="F127" s="299"/>
      <c r="G127" s="299">
        <v>3</v>
      </c>
      <c r="H127" s="299">
        <v>2</v>
      </c>
      <c r="I127" s="299" t="s">
        <v>14</v>
      </c>
      <c r="J127" s="300" t="s">
        <v>1398</v>
      </c>
      <c r="K127" s="301" t="s">
        <v>274</v>
      </c>
      <c r="L127" s="302">
        <v>42184</v>
      </c>
      <c r="M127" s="299" t="s">
        <v>14</v>
      </c>
      <c r="N127" s="299">
        <v>21</v>
      </c>
      <c r="O127" s="299">
        <v>90</v>
      </c>
      <c r="P127" s="299" t="s">
        <v>14</v>
      </c>
      <c r="Q127" s="299" t="s">
        <v>13</v>
      </c>
      <c r="R127" s="303"/>
      <c r="S127" s="303"/>
      <c r="T127" s="303"/>
      <c r="U127" s="173" t="str">
        <f t="shared" si="3"/>
        <v/>
      </c>
      <c r="V127" s="299" t="s">
        <v>14</v>
      </c>
      <c r="W127" s="299" t="s">
        <v>14</v>
      </c>
      <c r="X127" s="299" t="s">
        <v>14</v>
      </c>
      <c r="Y127" s="299" t="s">
        <v>14</v>
      </c>
      <c r="Z127" s="299" t="s">
        <v>14</v>
      </c>
      <c r="AA127" s="299" t="s">
        <v>14</v>
      </c>
      <c r="AB127" s="299" t="s">
        <v>14</v>
      </c>
      <c r="AC127" s="299"/>
    </row>
    <row r="128" spans="1:29" s="304" customFormat="1">
      <c r="A128" s="298">
        <v>44565</v>
      </c>
      <c r="B128" s="299" t="s">
        <v>124</v>
      </c>
      <c r="C128" s="299" t="s">
        <v>1417</v>
      </c>
      <c r="D128" s="299" t="s">
        <v>225</v>
      </c>
      <c r="E128" s="298" t="s">
        <v>1418</v>
      </c>
      <c r="F128" s="299"/>
      <c r="G128" s="299">
        <v>4</v>
      </c>
      <c r="H128" s="299">
        <v>1</v>
      </c>
      <c r="I128" s="299" t="s">
        <v>14</v>
      </c>
      <c r="J128" s="300" t="s">
        <v>1419</v>
      </c>
      <c r="K128" s="301" t="s">
        <v>952</v>
      </c>
      <c r="L128" s="302">
        <v>41906</v>
      </c>
      <c r="M128" s="299" t="s">
        <v>14</v>
      </c>
      <c r="N128" s="299">
        <v>14</v>
      </c>
      <c r="O128" s="299">
        <v>56</v>
      </c>
      <c r="P128" s="299" t="s">
        <v>14</v>
      </c>
      <c r="Q128" s="299" t="s">
        <v>13</v>
      </c>
      <c r="R128" s="303"/>
      <c r="S128" s="303"/>
      <c r="T128" s="303"/>
      <c r="U128" s="173" t="str">
        <f t="shared" si="3"/>
        <v/>
      </c>
      <c r="V128" s="299" t="s">
        <v>14</v>
      </c>
      <c r="W128" s="299" t="s">
        <v>14</v>
      </c>
      <c r="X128" s="299" t="s">
        <v>14</v>
      </c>
      <c r="Y128" s="299" t="s">
        <v>14</v>
      </c>
      <c r="Z128" s="299" t="s">
        <v>14</v>
      </c>
      <c r="AA128" s="299" t="s">
        <v>14</v>
      </c>
      <c r="AB128" s="299" t="s">
        <v>14</v>
      </c>
      <c r="AC128" s="299"/>
    </row>
    <row r="129" spans="1:29" s="304" customFormat="1">
      <c r="A129" s="298">
        <v>44577</v>
      </c>
      <c r="B129" s="299" t="s">
        <v>1046</v>
      </c>
      <c r="C129" s="299" t="s">
        <v>1302</v>
      </c>
      <c r="D129" s="299" t="s">
        <v>225</v>
      </c>
      <c r="E129" s="299" t="s">
        <v>1303</v>
      </c>
      <c r="F129" s="299"/>
      <c r="G129" s="299">
        <v>4</v>
      </c>
      <c r="H129" s="299">
        <v>0</v>
      </c>
      <c r="I129" s="299" t="s">
        <v>14</v>
      </c>
      <c r="J129" s="300" t="s">
        <v>1304</v>
      </c>
      <c r="K129" s="301" t="s">
        <v>274</v>
      </c>
      <c r="L129" s="302">
        <v>42097</v>
      </c>
      <c r="M129" s="299" t="s">
        <v>14</v>
      </c>
      <c r="N129" s="299">
        <v>14</v>
      </c>
      <c r="O129" s="299">
        <v>60</v>
      </c>
      <c r="P129" s="299" t="s">
        <v>14</v>
      </c>
      <c r="Q129" s="299" t="s">
        <v>13</v>
      </c>
      <c r="R129" s="303"/>
      <c r="S129" s="303"/>
      <c r="T129" s="303"/>
      <c r="U129" s="173" t="str">
        <f t="shared" si="3"/>
        <v/>
      </c>
      <c r="V129" s="299" t="s">
        <v>14</v>
      </c>
      <c r="W129" s="299" t="s">
        <v>14</v>
      </c>
      <c r="X129" s="299" t="s">
        <v>14</v>
      </c>
      <c r="Y129" s="299" t="s">
        <v>14</v>
      </c>
      <c r="Z129" s="299" t="s">
        <v>14</v>
      </c>
      <c r="AA129" s="299" t="s">
        <v>14</v>
      </c>
      <c r="AB129" s="299" t="s">
        <v>14</v>
      </c>
      <c r="AC129" s="299"/>
    </row>
    <row r="130" spans="1:29" s="304" customFormat="1">
      <c r="A130" s="298">
        <v>44570</v>
      </c>
      <c r="B130" s="299" t="s">
        <v>1548</v>
      </c>
      <c r="C130" s="299" t="s">
        <v>1495</v>
      </c>
      <c r="D130" s="299" t="s">
        <v>226</v>
      </c>
      <c r="E130" s="299" t="s">
        <v>1576</v>
      </c>
      <c r="F130" s="299"/>
      <c r="G130" s="299">
        <v>3</v>
      </c>
      <c r="H130" s="299">
        <v>2</v>
      </c>
      <c r="I130" s="299" t="s">
        <v>14</v>
      </c>
      <c r="J130" s="306" t="s">
        <v>1496</v>
      </c>
      <c r="K130" s="301" t="s">
        <v>952</v>
      </c>
      <c r="L130" s="302">
        <v>41886</v>
      </c>
      <c r="M130" s="299" t="s">
        <v>13</v>
      </c>
      <c r="N130" s="299"/>
      <c r="O130" s="299"/>
      <c r="P130" s="299"/>
      <c r="Q130" s="299"/>
      <c r="R130" s="299"/>
      <c r="S130" s="299"/>
      <c r="T130" s="299"/>
      <c r="U130" s="173" t="str">
        <f t="shared" si="3"/>
        <v/>
      </c>
      <c r="V130" s="299"/>
      <c r="W130" s="299"/>
      <c r="X130" s="299"/>
      <c r="Y130" s="299"/>
      <c r="Z130" s="299"/>
      <c r="AA130" s="299"/>
      <c r="AB130" s="299"/>
      <c r="AC130" s="299"/>
    </row>
    <row r="131" spans="1:29" s="304" customFormat="1">
      <c r="A131" s="298">
        <v>44570</v>
      </c>
      <c r="B131" s="299" t="s">
        <v>1200</v>
      </c>
      <c r="C131" s="299" t="s">
        <v>1236</v>
      </c>
      <c r="D131" s="299" t="s">
        <v>226</v>
      </c>
      <c r="E131" s="299" t="s">
        <v>1237</v>
      </c>
      <c r="F131" s="299"/>
      <c r="G131" s="299">
        <v>2</v>
      </c>
      <c r="H131" s="299">
        <v>3</v>
      </c>
      <c r="I131" s="299" t="s">
        <v>14</v>
      </c>
      <c r="J131" s="300" t="s">
        <v>1238</v>
      </c>
      <c r="K131" s="301" t="s">
        <v>274</v>
      </c>
      <c r="L131" s="302">
        <v>42177</v>
      </c>
      <c r="M131" s="299" t="s">
        <v>14</v>
      </c>
      <c r="N131" s="299">
        <v>18</v>
      </c>
      <c r="O131" s="299">
        <v>78</v>
      </c>
      <c r="P131" s="299" t="s">
        <v>14</v>
      </c>
      <c r="Q131" s="299" t="s">
        <v>13</v>
      </c>
      <c r="R131" s="303"/>
      <c r="S131" s="303"/>
      <c r="T131" s="303"/>
      <c r="U131" s="173" t="str">
        <f t="shared" ref="U131:U162" si="4">IF(R131="Yes",MAX(S131/(S131+N131),T131/(T131+O131)),"")</f>
        <v/>
      </c>
      <c r="V131" s="299" t="s">
        <v>14</v>
      </c>
      <c r="W131" s="299" t="s">
        <v>14</v>
      </c>
      <c r="X131" s="299" t="s">
        <v>14</v>
      </c>
      <c r="Y131" s="299" t="s">
        <v>14</v>
      </c>
      <c r="Z131" s="299" t="s">
        <v>14</v>
      </c>
      <c r="AA131" s="299" t="s">
        <v>14</v>
      </c>
      <c r="AB131" s="299" t="s">
        <v>14</v>
      </c>
      <c r="AC131" s="299"/>
    </row>
    <row r="132" spans="1:29" s="304" customFormat="1">
      <c r="A132" s="298">
        <v>44572</v>
      </c>
      <c r="B132" s="299" t="s">
        <v>994</v>
      </c>
      <c r="C132" s="299" t="s">
        <v>1094</v>
      </c>
      <c r="D132" s="299" t="s">
        <v>226</v>
      </c>
      <c r="E132" s="299" t="s">
        <v>1095</v>
      </c>
      <c r="F132" s="299"/>
      <c r="G132" s="299">
        <v>2</v>
      </c>
      <c r="H132" s="299">
        <v>1</v>
      </c>
      <c r="I132" s="299" t="s">
        <v>14</v>
      </c>
      <c r="J132" s="300" t="s">
        <v>1096</v>
      </c>
      <c r="K132" s="301" t="s">
        <v>274</v>
      </c>
      <c r="L132" s="302">
        <v>42154</v>
      </c>
      <c r="M132" s="299" t="s">
        <v>14</v>
      </c>
      <c r="N132" s="299">
        <v>18</v>
      </c>
      <c r="O132" s="299">
        <v>80</v>
      </c>
      <c r="P132" s="299" t="s">
        <v>14</v>
      </c>
      <c r="Q132" s="299" t="s">
        <v>13</v>
      </c>
      <c r="R132" s="303"/>
      <c r="S132" s="303"/>
      <c r="T132" s="303"/>
      <c r="U132" s="173" t="str">
        <f t="shared" si="4"/>
        <v/>
      </c>
      <c r="V132" s="299" t="s">
        <v>14</v>
      </c>
      <c r="W132" s="299" t="s">
        <v>14</v>
      </c>
      <c r="X132" s="299" t="s">
        <v>14</v>
      </c>
      <c r="Y132" s="299" t="s">
        <v>14</v>
      </c>
      <c r="Z132" s="299" t="s">
        <v>14</v>
      </c>
      <c r="AA132" s="299" t="s">
        <v>14</v>
      </c>
      <c r="AB132" s="299" t="s">
        <v>14</v>
      </c>
      <c r="AC132" s="299"/>
    </row>
    <row r="133" spans="1:29" s="304" customFormat="1">
      <c r="A133" s="298">
        <v>44572</v>
      </c>
      <c r="B133" s="299" t="s">
        <v>1251</v>
      </c>
      <c r="C133" s="299" t="s">
        <v>1252</v>
      </c>
      <c r="D133" s="299" t="s">
        <v>226</v>
      </c>
      <c r="E133" s="299" t="s">
        <v>1253</v>
      </c>
      <c r="F133" s="299"/>
      <c r="G133" s="299">
        <v>2</v>
      </c>
      <c r="H133" s="299">
        <v>0</v>
      </c>
      <c r="I133" s="299" t="s">
        <v>14</v>
      </c>
      <c r="J133" s="300" t="s">
        <v>1254</v>
      </c>
      <c r="K133" s="301" t="s">
        <v>274</v>
      </c>
      <c r="L133" s="302">
        <v>42117</v>
      </c>
      <c r="M133" s="299" t="s">
        <v>14</v>
      </c>
      <c r="N133" s="299">
        <v>14</v>
      </c>
      <c r="O133" s="299">
        <v>60</v>
      </c>
      <c r="P133" s="299" t="s">
        <v>14</v>
      </c>
      <c r="Q133" s="299" t="s">
        <v>13</v>
      </c>
      <c r="R133" s="303"/>
      <c r="S133" s="303"/>
      <c r="T133" s="303"/>
      <c r="U133" s="173" t="str">
        <f t="shared" si="4"/>
        <v/>
      </c>
      <c r="V133" s="299" t="s">
        <v>14</v>
      </c>
      <c r="W133" s="299" t="s">
        <v>14</v>
      </c>
      <c r="X133" s="299" t="s">
        <v>14</v>
      </c>
      <c r="Y133" s="299" t="s">
        <v>14</v>
      </c>
      <c r="Z133" s="299" t="s">
        <v>14</v>
      </c>
      <c r="AA133" s="299" t="s">
        <v>14</v>
      </c>
      <c r="AB133" s="299" t="s">
        <v>14</v>
      </c>
      <c r="AC133" s="299"/>
    </row>
    <row r="134" spans="1:29" s="304" customFormat="1">
      <c r="A134" s="298">
        <v>44567</v>
      </c>
      <c r="B134" s="299" t="s">
        <v>1551</v>
      </c>
      <c r="C134" s="299" t="s">
        <v>1450</v>
      </c>
      <c r="D134" s="299" t="s">
        <v>226</v>
      </c>
      <c r="E134" s="299" t="s">
        <v>1573</v>
      </c>
      <c r="F134" s="299"/>
      <c r="G134" s="299">
        <v>2</v>
      </c>
      <c r="H134" s="299">
        <v>1</v>
      </c>
      <c r="I134" s="299" t="s">
        <v>14</v>
      </c>
      <c r="J134" s="306" t="s">
        <v>1451</v>
      </c>
      <c r="K134" s="301" t="s">
        <v>274</v>
      </c>
      <c r="L134" s="302">
        <v>42068</v>
      </c>
      <c r="M134" s="299" t="s">
        <v>13</v>
      </c>
      <c r="N134" s="299"/>
      <c r="O134" s="299"/>
      <c r="P134" s="299"/>
      <c r="Q134" s="299"/>
      <c r="R134" s="299"/>
      <c r="S134" s="299"/>
      <c r="T134" s="299"/>
      <c r="U134" s="173" t="str">
        <f t="shared" si="4"/>
        <v/>
      </c>
      <c r="V134" s="299"/>
      <c r="W134" s="299"/>
      <c r="X134" s="299"/>
      <c r="Y134" s="299"/>
      <c r="Z134" s="299"/>
      <c r="AA134" s="299"/>
      <c r="AB134" s="299"/>
      <c r="AC134" s="299"/>
    </row>
    <row r="135" spans="1:29" s="304" customFormat="1">
      <c r="A135" s="298">
        <v>44566</v>
      </c>
      <c r="B135" s="299" t="s">
        <v>247</v>
      </c>
      <c r="C135" s="299" t="s">
        <v>1065</v>
      </c>
      <c r="D135" s="299" t="s">
        <v>225</v>
      </c>
      <c r="E135" s="299" t="s">
        <v>1066</v>
      </c>
      <c r="F135" s="299"/>
      <c r="G135" s="299">
        <v>2</v>
      </c>
      <c r="H135" s="299">
        <v>3</v>
      </c>
      <c r="I135" s="299" t="s">
        <v>14</v>
      </c>
      <c r="J135" s="300" t="s">
        <v>1067</v>
      </c>
      <c r="K135" s="301" t="s">
        <v>952</v>
      </c>
      <c r="L135" s="302">
        <v>41988</v>
      </c>
      <c r="M135" s="299" t="s">
        <v>14</v>
      </c>
      <c r="N135" s="299">
        <v>17</v>
      </c>
      <c r="O135" s="299">
        <v>70</v>
      </c>
      <c r="P135" s="299" t="s">
        <v>14</v>
      </c>
      <c r="Q135" s="299" t="s">
        <v>13</v>
      </c>
      <c r="R135" s="303"/>
      <c r="S135" s="303"/>
      <c r="T135" s="303"/>
      <c r="U135" s="173" t="str">
        <f t="shared" si="4"/>
        <v/>
      </c>
      <c r="V135" s="299" t="s">
        <v>14</v>
      </c>
      <c r="W135" s="299" t="s">
        <v>14</v>
      </c>
      <c r="X135" s="299" t="s">
        <v>14</v>
      </c>
      <c r="Y135" s="299" t="s">
        <v>14</v>
      </c>
      <c r="Z135" s="299" t="s">
        <v>14</v>
      </c>
      <c r="AA135" s="299" t="s">
        <v>14</v>
      </c>
      <c r="AB135" s="299" t="s">
        <v>14</v>
      </c>
      <c r="AC135" s="299"/>
    </row>
    <row r="136" spans="1:29" s="304" customFormat="1">
      <c r="A136" s="298">
        <v>44567</v>
      </c>
      <c r="B136" s="299" t="s">
        <v>1005</v>
      </c>
      <c r="C136" s="299" t="s">
        <v>33</v>
      </c>
      <c r="D136" s="299" t="s">
        <v>226</v>
      </c>
      <c r="E136" s="299" t="s">
        <v>1006</v>
      </c>
      <c r="F136" s="299"/>
      <c r="G136" s="299">
        <v>3</v>
      </c>
      <c r="H136" s="299">
        <v>2</v>
      </c>
      <c r="I136" s="299" t="s">
        <v>14</v>
      </c>
      <c r="J136" s="300" t="s">
        <v>1007</v>
      </c>
      <c r="K136" s="301" t="s">
        <v>952</v>
      </c>
      <c r="L136" s="302">
        <v>41866</v>
      </c>
      <c r="M136" s="299" t="s">
        <v>14</v>
      </c>
      <c r="N136" s="299">
        <v>21</v>
      </c>
      <c r="O136" s="299">
        <v>90</v>
      </c>
      <c r="P136" s="299" t="s">
        <v>14</v>
      </c>
      <c r="Q136" s="299" t="s">
        <v>13</v>
      </c>
      <c r="R136" s="303"/>
      <c r="S136" s="303"/>
      <c r="T136" s="303"/>
      <c r="U136" s="173" t="str">
        <f t="shared" si="4"/>
        <v/>
      </c>
      <c r="V136" s="299" t="s">
        <v>14</v>
      </c>
      <c r="W136" s="299" t="s">
        <v>14</v>
      </c>
      <c r="X136" s="299" t="s">
        <v>14</v>
      </c>
      <c r="Y136" s="299" t="s">
        <v>14</v>
      </c>
      <c r="Z136" s="299" t="s">
        <v>14</v>
      </c>
      <c r="AA136" s="299" t="s">
        <v>14</v>
      </c>
      <c r="AB136" s="299" t="s">
        <v>14</v>
      </c>
      <c r="AC136" s="299"/>
    </row>
    <row r="137" spans="1:29" s="304" customFormat="1">
      <c r="A137" s="298">
        <v>44567</v>
      </c>
      <c r="B137" s="299" t="s">
        <v>1005</v>
      </c>
      <c r="C137" s="299" t="s">
        <v>1285</v>
      </c>
      <c r="D137" s="299" t="s">
        <v>225</v>
      </c>
      <c r="E137" s="299" t="s">
        <v>1286</v>
      </c>
      <c r="F137" s="299"/>
      <c r="G137" s="299">
        <v>2</v>
      </c>
      <c r="H137" s="299">
        <v>1</v>
      </c>
      <c r="I137" s="299" t="s">
        <v>14</v>
      </c>
      <c r="J137" s="300" t="s">
        <v>1287</v>
      </c>
      <c r="K137" s="301" t="s">
        <v>952</v>
      </c>
      <c r="L137" s="302">
        <v>41927</v>
      </c>
      <c r="M137" s="299" t="s">
        <v>14</v>
      </c>
      <c r="N137" s="299">
        <v>18</v>
      </c>
      <c r="O137" s="299">
        <v>75</v>
      </c>
      <c r="P137" s="299" t="s">
        <v>14</v>
      </c>
      <c r="Q137" s="299" t="s">
        <v>13</v>
      </c>
      <c r="R137" s="303"/>
      <c r="S137" s="303"/>
      <c r="T137" s="303"/>
      <c r="U137" s="173" t="str">
        <f t="shared" si="4"/>
        <v/>
      </c>
      <c r="V137" s="299" t="s">
        <v>14</v>
      </c>
      <c r="W137" s="299" t="s">
        <v>14</v>
      </c>
      <c r="X137" s="299" t="s">
        <v>14</v>
      </c>
      <c r="Y137" s="299" t="s">
        <v>14</v>
      </c>
      <c r="Z137" s="299" t="s">
        <v>14</v>
      </c>
      <c r="AA137" s="299" t="s">
        <v>14</v>
      </c>
      <c r="AB137" s="299" t="s">
        <v>14</v>
      </c>
      <c r="AC137" s="299"/>
    </row>
    <row r="138" spans="1:29" s="304" customFormat="1">
      <c r="A138" s="298">
        <v>44571</v>
      </c>
      <c r="B138" s="299" t="s">
        <v>129</v>
      </c>
      <c r="C138" s="299" t="s">
        <v>971</v>
      </c>
      <c r="D138" s="299" t="s">
        <v>226</v>
      </c>
      <c r="E138" s="299" t="s">
        <v>972</v>
      </c>
      <c r="F138" s="299"/>
      <c r="G138" s="299">
        <v>2</v>
      </c>
      <c r="H138" s="299">
        <v>0</v>
      </c>
      <c r="I138" s="299" t="s">
        <v>14</v>
      </c>
      <c r="J138" s="300" t="s">
        <v>973</v>
      </c>
      <c r="K138" s="301" t="s">
        <v>952</v>
      </c>
      <c r="L138" s="302">
        <v>41958</v>
      </c>
      <c r="M138" s="299" t="s">
        <v>14</v>
      </c>
      <c r="N138" s="299">
        <v>14</v>
      </c>
      <c r="O138" s="299">
        <v>60</v>
      </c>
      <c r="P138" s="299" t="s">
        <v>14</v>
      </c>
      <c r="Q138" s="299" t="s">
        <v>13</v>
      </c>
      <c r="R138" s="303"/>
      <c r="S138" s="303"/>
      <c r="T138" s="303"/>
      <c r="U138" s="173" t="str">
        <f t="shared" si="4"/>
        <v/>
      </c>
      <c r="V138" s="299" t="s">
        <v>14</v>
      </c>
      <c r="W138" s="299" t="s">
        <v>14</v>
      </c>
      <c r="X138" s="299" t="s">
        <v>14</v>
      </c>
      <c r="Y138" s="299" t="s">
        <v>14</v>
      </c>
      <c r="Z138" s="299" t="s">
        <v>14</v>
      </c>
      <c r="AA138" s="299" t="s">
        <v>14</v>
      </c>
      <c r="AB138" s="299" t="s">
        <v>14</v>
      </c>
      <c r="AC138" s="299"/>
    </row>
    <row r="139" spans="1:29" s="304" customFormat="1">
      <c r="A139" s="298">
        <v>44567</v>
      </c>
      <c r="B139" s="299" t="s">
        <v>1081</v>
      </c>
      <c r="C139" s="299" t="s">
        <v>1082</v>
      </c>
      <c r="D139" s="299" t="s">
        <v>225</v>
      </c>
      <c r="E139" s="299" t="s">
        <v>1083</v>
      </c>
      <c r="F139" s="299"/>
      <c r="G139" s="299">
        <v>3</v>
      </c>
      <c r="H139" s="299">
        <v>2</v>
      </c>
      <c r="I139" s="299" t="s">
        <v>14</v>
      </c>
      <c r="J139" s="300" t="s">
        <v>1084</v>
      </c>
      <c r="K139" s="301" t="s">
        <v>952</v>
      </c>
      <c r="L139" s="302">
        <v>41902</v>
      </c>
      <c r="M139" s="299" t="s">
        <v>14</v>
      </c>
      <c r="N139" s="299">
        <v>21</v>
      </c>
      <c r="O139" s="299">
        <v>90</v>
      </c>
      <c r="P139" s="299" t="s">
        <v>14</v>
      </c>
      <c r="Q139" s="299" t="s">
        <v>13</v>
      </c>
      <c r="R139" s="303"/>
      <c r="S139" s="303"/>
      <c r="T139" s="303"/>
      <c r="U139" s="173" t="str">
        <f t="shared" si="4"/>
        <v/>
      </c>
      <c r="V139" s="299" t="s">
        <v>14</v>
      </c>
      <c r="W139" s="299" t="s">
        <v>14</v>
      </c>
      <c r="X139" s="299" t="s">
        <v>14</v>
      </c>
      <c r="Y139" s="299" t="s">
        <v>14</v>
      </c>
      <c r="Z139" s="299" t="s">
        <v>14</v>
      </c>
      <c r="AA139" s="299" t="s">
        <v>14</v>
      </c>
      <c r="AB139" s="299" t="s">
        <v>14</v>
      </c>
      <c r="AC139" s="299"/>
    </row>
    <row r="140" spans="1:29" s="304" customFormat="1">
      <c r="A140" s="298">
        <v>44572</v>
      </c>
      <c r="B140" s="299" t="s">
        <v>1549</v>
      </c>
      <c r="C140" s="299" t="s">
        <v>1493</v>
      </c>
      <c r="D140" s="299" t="s">
        <v>225</v>
      </c>
      <c r="E140" s="299" t="s">
        <v>1593</v>
      </c>
      <c r="F140" s="299"/>
      <c r="G140" s="299">
        <v>3</v>
      </c>
      <c r="H140" s="299">
        <v>2</v>
      </c>
      <c r="I140" s="299" t="s">
        <v>13</v>
      </c>
      <c r="J140" s="306" t="s">
        <v>1494</v>
      </c>
      <c r="K140" s="301" t="s">
        <v>952</v>
      </c>
      <c r="L140" s="302">
        <v>42024</v>
      </c>
      <c r="M140" s="299"/>
      <c r="N140" s="299"/>
      <c r="O140" s="299"/>
      <c r="P140" s="299"/>
      <c r="Q140" s="299"/>
      <c r="R140" s="299"/>
      <c r="S140" s="299"/>
      <c r="T140" s="299"/>
      <c r="U140" s="173" t="str">
        <f t="shared" si="4"/>
        <v/>
      </c>
      <c r="V140" s="299"/>
      <c r="W140" s="299"/>
      <c r="X140" s="299"/>
      <c r="Y140" s="299"/>
      <c r="Z140" s="299"/>
      <c r="AA140" s="299"/>
      <c r="AB140" s="299"/>
      <c r="AC140" s="299"/>
    </row>
    <row r="141" spans="1:29" s="304" customFormat="1">
      <c r="A141" s="298">
        <v>44577</v>
      </c>
      <c r="B141" s="299" t="s">
        <v>1545</v>
      </c>
      <c r="C141" s="299" t="s">
        <v>1448</v>
      </c>
      <c r="D141" s="299" t="s">
        <v>225</v>
      </c>
      <c r="E141" s="299" t="s">
        <v>1564</v>
      </c>
      <c r="F141" s="299"/>
      <c r="G141" s="299">
        <v>3</v>
      </c>
      <c r="H141" s="299">
        <v>1</v>
      </c>
      <c r="I141" s="299" t="s">
        <v>14</v>
      </c>
      <c r="J141" s="306" t="s">
        <v>1449</v>
      </c>
      <c r="K141" s="301" t="s">
        <v>274</v>
      </c>
      <c r="L141" s="302">
        <v>42106</v>
      </c>
      <c r="M141" s="299" t="s">
        <v>13</v>
      </c>
      <c r="N141" s="299"/>
      <c r="O141" s="299"/>
      <c r="P141" s="299"/>
      <c r="Q141" s="299"/>
      <c r="R141" s="299"/>
      <c r="S141" s="299"/>
      <c r="T141" s="299"/>
      <c r="U141" s="173" t="str">
        <f t="shared" si="4"/>
        <v/>
      </c>
      <c r="V141" s="299"/>
      <c r="W141" s="299"/>
      <c r="X141" s="299"/>
      <c r="Y141" s="299"/>
      <c r="Z141" s="299"/>
      <c r="AA141" s="299"/>
      <c r="AB141" s="299"/>
      <c r="AC141" s="299"/>
    </row>
    <row r="142" spans="1:29" s="304" customFormat="1">
      <c r="A142" s="298">
        <v>44574</v>
      </c>
      <c r="B142" s="299" t="s">
        <v>998</v>
      </c>
      <c r="C142" s="299" t="s">
        <v>999</v>
      </c>
      <c r="D142" s="299" t="s">
        <v>225</v>
      </c>
      <c r="E142" s="299" t="s">
        <v>1000</v>
      </c>
      <c r="F142" s="299"/>
      <c r="G142" s="299">
        <v>3</v>
      </c>
      <c r="H142" s="299">
        <v>2</v>
      </c>
      <c r="I142" s="299" t="s">
        <v>14</v>
      </c>
      <c r="J142" s="300" t="s">
        <v>1001</v>
      </c>
      <c r="K142" s="301" t="s">
        <v>952</v>
      </c>
      <c r="L142" s="302">
        <v>42017</v>
      </c>
      <c r="M142" s="299" t="s">
        <v>14</v>
      </c>
      <c r="N142" s="299">
        <v>21</v>
      </c>
      <c r="O142" s="299">
        <v>80</v>
      </c>
      <c r="P142" s="299" t="s">
        <v>14</v>
      </c>
      <c r="Q142" s="299" t="s">
        <v>13</v>
      </c>
      <c r="R142" s="303"/>
      <c r="S142" s="303"/>
      <c r="T142" s="303"/>
      <c r="U142" s="173" t="str">
        <f t="shared" si="4"/>
        <v/>
      </c>
      <c r="V142" s="299" t="s">
        <v>14</v>
      </c>
      <c r="W142" s="299" t="s">
        <v>14</v>
      </c>
      <c r="X142" s="299" t="s">
        <v>14</v>
      </c>
      <c r="Y142" s="299" t="s">
        <v>14</v>
      </c>
      <c r="Z142" s="299" t="s">
        <v>14</v>
      </c>
      <c r="AA142" s="299" t="s">
        <v>14</v>
      </c>
      <c r="AB142" s="299" t="s">
        <v>14</v>
      </c>
      <c r="AC142" s="299"/>
    </row>
    <row r="143" spans="1:29" s="304" customFormat="1" ht="30">
      <c r="A143" s="298">
        <v>44564</v>
      </c>
      <c r="B143" s="299" t="s">
        <v>1023</v>
      </c>
      <c r="C143" s="299" t="s">
        <v>1072</v>
      </c>
      <c r="D143" s="299" t="s">
        <v>225</v>
      </c>
      <c r="E143" s="299" t="s">
        <v>1073</v>
      </c>
      <c r="F143" s="299"/>
      <c r="G143" s="299">
        <v>3</v>
      </c>
      <c r="H143" s="299">
        <v>0</v>
      </c>
      <c r="I143" s="299" t="s">
        <v>14</v>
      </c>
      <c r="J143" s="300" t="s">
        <v>1074</v>
      </c>
      <c r="K143" s="301" t="s">
        <v>952</v>
      </c>
      <c r="L143" s="302">
        <v>41899</v>
      </c>
      <c r="M143" s="299" t="s">
        <v>14</v>
      </c>
      <c r="N143" s="299">
        <v>14</v>
      </c>
      <c r="O143" s="299">
        <v>60</v>
      </c>
      <c r="P143" s="299" t="s">
        <v>14</v>
      </c>
      <c r="Q143" s="299" t="s">
        <v>13</v>
      </c>
      <c r="R143" s="303"/>
      <c r="S143" s="303"/>
      <c r="T143" s="303"/>
      <c r="U143" s="173" t="str">
        <f t="shared" si="4"/>
        <v/>
      </c>
      <c r="V143" s="299" t="s">
        <v>14</v>
      </c>
      <c r="W143" s="299" t="s">
        <v>14</v>
      </c>
      <c r="X143" s="299" t="s">
        <v>14</v>
      </c>
      <c r="Y143" s="299" t="s">
        <v>14</v>
      </c>
      <c r="Z143" s="299" t="s">
        <v>14</v>
      </c>
      <c r="AA143" s="299" t="s">
        <v>14</v>
      </c>
      <c r="AB143" s="299" t="s">
        <v>14</v>
      </c>
      <c r="AC143" s="299"/>
    </row>
    <row r="144" spans="1:29" s="304" customFormat="1">
      <c r="A144" s="298">
        <v>44564</v>
      </c>
      <c r="B144" s="299" t="s">
        <v>1116</v>
      </c>
      <c r="C144" s="299" t="s">
        <v>1117</v>
      </c>
      <c r="D144" s="299" t="s">
        <v>225</v>
      </c>
      <c r="E144" s="299" t="s">
        <v>1118</v>
      </c>
      <c r="F144" s="299"/>
      <c r="G144" s="299">
        <v>4</v>
      </c>
      <c r="H144" s="299">
        <v>0</v>
      </c>
      <c r="I144" s="299" t="s">
        <v>14</v>
      </c>
      <c r="J144" s="300" t="s">
        <v>1119</v>
      </c>
      <c r="K144" s="301" t="s">
        <v>274</v>
      </c>
      <c r="L144" s="302">
        <v>42106</v>
      </c>
      <c r="M144" s="299" t="s">
        <v>14</v>
      </c>
      <c r="N144" s="299">
        <v>21</v>
      </c>
      <c r="O144" s="299">
        <v>90</v>
      </c>
      <c r="P144" s="299" t="s">
        <v>14</v>
      </c>
      <c r="Q144" s="299" t="s">
        <v>13</v>
      </c>
      <c r="R144" s="303"/>
      <c r="S144" s="303"/>
      <c r="T144" s="303"/>
      <c r="U144" s="173" t="str">
        <f t="shared" si="4"/>
        <v/>
      </c>
      <c r="V144" s="299" t="s">
        <v>14</v>
      </c>
      <c r="W144" s="299" t="s">
        <v>14</v>
      </c>
      <c r="X144" s="299" t="s">
        <v>14</v>
      </c>
      <c r="Y144" s="299" t="s">
        <v>14</v>
      </c>
      <c r="Z144" s="299" t="s">
        <v>14</v>
      </c>
      <c r="AA144" s="299" t="s">
        <v>14</v>
      </c>
      <c r="AB144" s="299" t="s">
        <v>14</v>
      </c>
      <c r="AC144" s="299"/>
    </row>
    <row r="145" spans="1:29" s="304" customFormat="1">
      <c r="A145" s="298">
        <v>44574</v>
      </c>
      <c r="B145" s="299" t="s">
        <v>1020</v>
      </c>
      <c r="C145" s="299" t="s">
        <v>1054</v>
      </c>
      <c r="D145" s="299" t="s">
        <v>226</v>
      </c>
      <c r="E145" s="299" t="s">
        <v>1055</v>
      </c>
      <c r="F145" s="299"/>
      <c r="G145" s="299">
        <v>3</v>
      </c>
      <c r="H145" s="299">
        <v>2</v>
      </c>
      <c r="I145" s="299" t="s">
        <v>14</v>
      </c>
      <c r="J145" s="300" t="s">
        <v>1056</v>
      </c>
      <c r="K145" s="301" t="s">
        <v>952</v>
      </c>
      <c r="L145" s="302">
        <v>41867</v>
      </c>
      <c r="M145" s="299" t="s">
        <v>14</v>
      </c>
      <c r="N145" s="299">
        <v>18</v>
      </c>
      <c r="O145" s="299">
        <v>75</v>
      </c>
      <c r="P145" s="299" t="s">
        <v>14</v>
      </c>
      <c r="Q145" s="299" t="s">
        <v>13</v>
      </c>
      <c r="R145" s="303"/>
      <c r="S145" s="303"/>
      <c r="T145" s="303"/>
      <c r="U145" s="173" t="str">
        <f t="shared" si="4"/>
        <v/>
      </c>
      <c r="V145" s="299" t="s">
        <v>14</v>
      </c>
      <c r="W145" s="299" t="s">
        <v>14</v>
      </c>
      <c r="X145" s="299" t="s">
        <v>14</v>
      </c>
      <c r="Y145" s="299" t="s">
        <v>14</v>
      </c>
      <c r="Z145" s="299" t="s">
        <v>14</v>
      </c>
      <c r="AA145" s="299" t="s">
        <v>14</v>
      </c>
      <c r="AB145" s="299" t="s">
        <v>14</v>
      </c>
      <c r="AC145" s="299"/>
    </row>
    <row r="146" spans="1:29" s="304" customFormat="1">
      <c r="A146" s="298">
        <v>44571</v>
      </c>
      <c r="B146" s="299" t="s">
        <v>1559</v>
      </c>
      <c r="C146" s="299" t="s">
        <v>1487</v>
      </c>
      <c r="D146" s="299" t="s">
        <v>226</v>
      </c>
      <c r="E146" s="299" t="s">
        <v>1594</v>
      </c>
      <c r="F146" s="299"/>
      <c r="G146" s="299">
        <v>2</v>
      </c>
      <c r="H146" s="299">
        <v>3</v>
      </c>
      <c r="I146" s="299" t="s">
        <v>13</v>
      </c>
      <c r="J146" s="306" t="s">
        <v>1488</v>
      </c>
      <c r="K146" s="301" t="s">
        <v>952</v>
      </c>
      <c r="L146" s="302">
        <v>42033</v>
      </c>
      <c r="M146" s="299"/>
      <c r="N146" s="299"/>
      <c r="O146" s="299"/>
      <c r="P146" s="299"/>
      <c r="Q146" s="299"/>
      <c r="R146" s="299"/>
      <c r="S146" s="299"/>
      <c r="T146" s="299"/>
      <c r="U146" s="173" t="str">
        <f t="shared" si="4"/>
        <v/>
      </c>
      <c r="V146" s="299"/>
      <c r="W146" s="299"/>
      <c r="X146" s="299"/>
      <c r="Y146" s="299"/>
      <c r="Z146" s="299"/>
      <c r="AA146" s="299"/>
      <c r="AB146" s="299"/>
      <c r="AC146" s="299"/>
    </row>
    <row r="147" spans="1:29" s="304" customFormat="1">
      <c r="A147" s="298">
        <v>44565</v>
      </c>
      <c r="B147" s="299" t="s">
        <v>1085</v>
      </c>
      <c r="C147" s="299" t="s">
        <v>1393</v>
      </c>
      <c r="D147" s="299" t="s">
        <v>226</v>
      </c>
      <c r="E147" s="298" t="s">
        <v>1394</v>
      </c>
      <c r="F147" s="299"/>
      <c r="G147" s="299">
        <v>7</v>
      </c>
      <c r="H147" s="299">
        <v>4</v>
      </c>
      <c r="I147" s="299" t="s">
        <v>14</v>
      </c>
      <c r="J147" s="300" t="s">
        <v>1395</v>
      </c>
      <c r="K147" s="301" t="s">
        <v>274</v>
      </c>
      <c r="L147" s="302">
        <v>42169</v>
      </c>
      <c r="M147" s="299" t="s">
        <v>14</v>
      </c>
      <c r="N147" s="299">
        <v>16</v>
      </c>
      <c r="O147" s="299">
        <v>65</v>
      </c>
      <c r="P147" s="299" t="s">
        <v>14</v>
      </c>
      <c r="Q147" s="299" t="s">
        <v>13</v>
      </c>
      <c r="R147" s="303"/>
      <c r="S147" s="303"/>
      <c r="T147" s="303"/>
      <c r="U147" s="173" t="str">
        <f t="shared" si="4"/>
        <v/>
      </c>
      <c r="V147" s="299" t="s">
        <v>14</v>
      </c>
      <c r="W147" s="299" t="s">
        <v>14</v>
      </c>
      <c r="X147" s="299" t="s">
        <v>14</v>
      </c>
      <c r="Y147" s="299" t="s">
        <v>14</v>
      </c>
      <c r="Z147" s="299" t="s">
        <v>14</v>
      </c>
      <c r="AA147" s="299" t="s">
        <v>14</v>
      </c>
      <c r="AB147" s="299" t="s">
        <v>14</v>
      </c>
      <c r="AC147" s="299"/>
    </row>
    <row r="148" spans="1:29" s="304" customFormat="1">
      <c r="A148" s="298">
        <v>44564</v>
      </c>
      <c r="B148" s="299" t="s">
        <v>1057</v>
      </c>
      <c r="C148" s="299" t="s">
        <v>1526</v>
      </c>
      <c r="D148" s="299" t="s">
        <v>225</v>
      </c>
      <c r="E148" s="299" t="s">
        <v>1560</v>
      </c>
      <c r="F148" s="299"/>
      <c r="G148" s="299">
        <v>3</v>
      </c>
      <c r="H148" s="299">
        <v>1</v>
      </c>
      <c r="I148" s="299" t="s">
        <v>14</v>
      </c>
      <c r="J148" s="306" t="s">
        <v>1527</v>
      </c>
      <c r="K148" s="301" t="s">
        <v>952</v>
      </c>
      <c r="L148" s="302">
        <v>41940</v>
      </c>
      <c r="M148" s="299" t="s">
        <v>13</v>
      </c>
      <c r="N148" s="299"/>
      <c r="O148" s="299"/>
      <c r="P148" s="299"/>
      <c r="Q148" s="299"/>
      <c r="R148" s="299"/>
      <c r="S148" s="299"/>
      <c r="T148" s="299"/>
      <c r="U148" s="173" t="str">
        <f t="shared" si="4"/>
        <v/>
      </c>
      <c r="V148" s="299"/>
      <c r="W148" s="299"/>
      <c r="X148" s="299"/>
      <c r="Y148" s="299"/>
      <c r="Z148" s="299"/>
      <c r="AA148" s="299"/>
      <c r="AB148" s="299"/>
      <c r="AC148" s="299"/>
    </row>
    <row r="149" spans="1:29" s="304" customFormat="1">
      <c r="A149" s="298">
        <v>44564</v>
      </c>
      <c r="B149" s="299" t="s">
        <v>1057</v>
      </c>
      <c r="C149" s="299" t="s">
        <v>1347</v>
      </c>
      <c r="D149" s="299" t="s">
        <v>225</v>
      </c>
      <c r="E149" s="298" t="s">
        <v>1348</v>
      </c>
      <c r="F149" s="299"/>
      <c r="G149" s="299">
        <v>4</v>
      </c>
      <c r="H149" s="299">
        <v>2</v>
      </c>
      <c r="I149" s="299" t="s">
        <v>14</v>
      </c>
      <c r="J149" s="300" t="s">
        <v>1349</v>
      </c>
      <c r="K149" s="301" t="s">
        <v>952</v>
      </c>
      <c r="L149" s="302">
        <v>42001</v>
      </c>
      <c r="M149" s="299" t="s">
        <v>14</v>
      </c>
      <c r="N149" s="299">
        <v>18</v>
      </c>
      <c r="O149" s="299">
        <v>75</v>
      </c>
      <c r="P149" s="299" t="s">
        <v>14</v>
      </c>
      <c r="Q149" s="299" t="s">
        <v>13</v>
      </c>
      <c r="R149" s="303"/>
      <c r="S149" s="303"/>
      <c r="T149" s="303"/>
      <c r="U149" s="173" t="str">
        <f t="shared" si="4"/>
        <v/>
      </c>
      <c r="V149" s="299" t="s">
        <v>14</v>
      </c>
      <c r="W149" s="299" t="s">
        <v>14</v>
      </c>
      <c r="X149" s="299" t="s">
        <v>14</v>
      </c>
      <c r="Y149" s="299" t="s">
        <v>14</v>
      </c>
      <c r="Z149" s="299" t="s">
        <v>14</v>
      </c>
      <c r="AA149" s="299" t="s">
        <v>14</v>
      </c>
      <c r="AB149" s="299" t="s">
        <v>14</v>
      </c>
      <c r="AC149" s="299"/>
    </row>
    <row r="150" spans="1:29" s="304" customFormat="1">
      <c r="A150" s="298">
        <v>44565</v>
      </c>
      <c r="B150" s="299" t="s">
        <v>1057</v>
      </c>
      <c r="C150" s="299" t="s">
        <v>1491</v>
      </c>
      <c r="D150" s="299" t="s">
        <v>225</v>
      </c>
      <c r="E150" s="299" t="s">
        <v>1591</v>
      </c>
      <c r="F150" s="299"/>
      <c r="G150" s="299">
        <v>3</v>
      </c>
      <c r="H150" s="299">
        <v>1</v>
      </c>
      <c r="I150" s="299" t="s">
        <v>13</v>
      </c>
      <c r="J150" s="306" t="s">
        <v>1492</v>
      </c>
      <c r="K150" s="301" t="s">
        <v>952</v>
      </c>
      <c r="L150" s="302">
        <v>41966</v>
      </c>
      <c r="M150" s="299"/>
      <c r="N150" s="299"/>
      <c r="O150" s="299"/>
      <c r="P150" s="299"/>
      <c r="Q150" s="299"/>
      <c r="R150" s="299"/>
      <c r="S150" s="299"/>
      <c r="T150" s="299"/>
      <c r="U150" s="173" t="str">
        <f t="shared" si="4"/>
        <v/>
      </c>
      <c r="V150" s="299"/>
      <c r="W150" s="299"/>
      <c r="X150" s="299"/>
      <c r="Y150" s="299"/>
      <c r="Z150" s="299"/>
      <c r="AA150" s="299"/>
      <c r="AB150" s="299"/>
      <c r="AC150" s="299"/>
    </row>
    <row r="151" spans="1:29" s="304" customFormat="1">
      <c r="A151" s="298">
        <v>44574</v>
      </c>
      <c r="B151" s="299" t="s">
        <v>1144</v>
      </c>
      <c r="C151" s="299" t="s">
        <v>1338</v>
      </c>
      <c r="D151" s="299" t="s">
        <v>226</v>
      </c>
      <c r="E151" s="299" t="s">
        <v>1339</v>
      </c>
      <c r="F151" s="299"/>
      <c r="G151" s="299">
        <v>3</v>
      </c>
      <c r="H151" s="299">
        <v>2</v>
      </c>
      <c r="I151" s="299" t="s">
        <v>14</v>
      </c>
      <c r="J151" s="300" t="s">
        <v>1340</v>
      </c>
      <c r="K151" s="301" t="s">
        <v>952</v>
      </c>
      <c r="L151" s="302">
        <v>41897</v>
      </c>
      <c r="M151" s="299" t="s">
        <v>14</v>
      </c>
      <c r="N151" s="299">
        <v>14</v>
      </c>
      <c r="O151" s="299">
        <v>60</v>
      </c>
      <c r="P151" s="299" t="s">
        <v>14</v>
      </c>
      <c r="Q151" s="299" t="s">
        <v>13</v>
      </c>
      <c r="R151" s="299"/>
      <c r="S151" s="299"/>
      <c r="T151" s="299"/>
      <c r="U151" s="173" t="str">
        <f t="shared" si="4"/>
        <v/>
      </c>
      <c r="V151" s="299" t="s">
        <v>14</v>
      </c>
      <c r="W151" s="299" t="s">
        <v>14</v>
      </c>
      <c r="X151" s="299" t="s">
        <v>14</v>
      </c>
      <c r="Y151" s="299" t="s">
        <v>14</v>
      </c>
      <c r="Z151" s="299" t="s">
        <v>14</v>
      </c>
      <c r="AA151" s="299" t="s">
        <v>14</v>
      </c>
      <c r="AB151" s="299" t="s">
        <v>14</v>
      </c>
      <c r="AC151" s="299"/>
    </row>
    <row r="152" spans="1:29" s="304" customFormat="1">
      <c r="A152" s="298">
        <v>44572</v>
      </c>
      <c r="B152" s="299" t="s">
        <v>1144</v>
      </c>
      <c r="C152" s="299" t="s">
        <v>1411</v>
      </c>
      <c r="D152" s="299" t="s">
        <v>226</v>
      </c>
      <c r="E152" s="298" t="s">
        <v>1412</v>
      </c>
      <c r="F152" s="299"/>
      <c r="G152" s="299">
        <v>4</v>
      </c>
      <c r="H152" s="299">
        <v>0</v>
      </c>
      <c r="I152" s="299" t="s">
        <v>14</v>
      </c>
      <c r="J152" s="300" t="s">
        <v>1413</v>
      </c>
      <c r="K152" s="301" t="s">
        <v>952</v>
      </c>
      <c r="L152" s="302">
        <v>42019</v>
      </c>
      <c r="M152" s="299" t="s">
        <v>14</v>
      </c>
      <c r="N152" s="299">
        <v>7</v>
      </c>
      <c r="O152" s="299">
        <v>30</v>
      </c>
      <c r="P152" s="299" t="s">
        <v>14</v>
      </c>
      <c r="Q152" s="299" t="s">
        <v>14</v>
      </c>
      <c r="R152" s="299" t="s">
        <v>14</v>
      </c>
      <c r="S152" s="299">
        <v>7</v>
      </c>
      <c r="T152" s="299">
        <v>30</v>
      </c>
      <c r="U152" s="173">
        <f t="shared" si="4"/>
        <v>0.5</v>
      </c>
      <c r="V152" s="299" t="s">
        <v>14</v>
      </c>
      <c r="W152" s="299" t="s">
        <v>14</v>
      </c>
      <c r="X152" s="299" t="s">
        <v>14</v>
      </c>
      <c r="Y152" s="299" t="s">
        <v>14</v>
      </c>
      <c r="Z152" s="299" t="s">
        <v>14</v>
      </c>
      <c r="AA152" s="299" t="s">
        <v>14</v>
      </c>
      <c r="AB152" s="299" t="s">
        <v>14</v>
      </c>
      <c r="AC152" s="299"/>
    </row>
    <row r="153" spans="1:29" s="304" customFormat="1">
      <c r="A153" s="298">
        <v>44573</v>
      </c>
      <c r="B153" s="299" t="s">
        <v>105</v>
      </c>
      <c r="C153" s="299" t="s">
        <v>1194</v>
      </c>
      <c r="D153" s="299" t="s">
        <v>225</v>
      </c>
      <c r="E153" s="299" t="s">
        <v>1195</v>
      </c>
      <c r="F153" s="299"/>
      <c r="G153" s="299">
        <v>3</v>
      </c>
      <c r="H153" s="299">
        <v>0</v>
      </c>
      <c r="I153" s="299" t="s">
        <v>14</v>
      </c>
      <c r="J153" s="300" t="s">
        <v>1196</v>
      </c>
      <c r="K153" s="301" t="s">
        <v>952</v>
      </c>
      <c r="L153" s="302">
        <v>42063</v>
      </c>
      <c r="M153" s="299" t="s">
        <v>14</v>
      </c>
      <c r="N153" s="299">
        <v>14</v>
      </c>
      <c r="O153" s="299">
        <v>56</v>
      </c>
      <c r="P153" s="299" t="s">
        <v>14</v>
      </c>
      <c r="Q153" s="299" t="s">
        <v>13</v>
      </c>
      <c r="R153" s="303"/>
      <c r="S153" s="303"/>
      <c r="T153" s="303"/>
      <c r="U153" s="173" t="str">
        <f t="shared" si="4"/>
        <v/>
      </c>
      <c r="V153" s="299" t="s">
        <v>14</v>
      </c>
      <c r="W153" s="299" t="s">
        <v>14</v>
      </c>
      <c r="X153" s="299" t="s">
        <v>14</v>
      </c>
      <c r="Y153" s="299" t="s">
        <v>14</v>
      </c>
      <c r="Z153" s="299" t="s">
        <v>14</v>
      </c>
      <c r="AA153" s="299" t="s">
        <v>14</v>
      </c>
      <c r="AB153" s="299" t="s">
        <v>14</v>
      </c>
      <c r="AC153" s="299"/>
    </row>
    <row r="154" spans="1:29" s="304" customFormat="1">
      <c r="A154" s="298">
        <v>44574</v>
      </c>
      <c r="B154" s="299" t="s">
        <v>105</v>
      </c>
      <c r="C154" s="299" t="s">
        <v>1245</v>
      </c>
      <c r="D154" s="299" t="s">
        <v>225</v>
      </c>
      <c r="E154" s="299" t="s">
        <v>1246</v>
      </c>
      <c r="F154" s="299"/>
      <c r="G154" s="299">
        <v>3</v>
      </c>
      <c r="H154" s="299">
        <v>0</v>
      </c>
      <c r="I154" s="299" t="s">
        <v>14</v>
      </c>
      <c r="J154" s="300" t="s">
        <v>1247</v>
      </c>
      <c r="K154" s="301" t="s">
        <v>274</v>
      </c>
      <c r="L154" s="302">
        <v>42106</v>
      </c>
      <c r="M154" s="299" t="s">
        <v>14</v>
      </c>
      <c r="N154" s="299">
        <v>16</v>
      </c>
      <c r="O154" s="299">
        <v>64</v>
      </c>
      <c r="P154" s="299" t="s">
        <v>14</v>
      </c>
      <c r="Q154" s="299" t="s">
        <v>13</v>
      </c>
      <c r="R154" s="303"/>
      <c r="S154" s="303"/>
      <c r="T154" s="303"/>
      <c r="U154" s="173" t="str">
        <f t="shared" si="4"/>
        <v/>
      </c>
      <c r="V154" s="299" t="s">
        <v>14</v>
      </c>
      <c r="W154" s="299" t="s">
        <v>14</v>
      </c>
      <c r="X154" s="299" t="s">
        <v>14</v>
      </c>
      <c r="Y154" s="299" t="s">
        <v>14</v>
      </c>
      <c r="Z154" s="299" t="s">
        <v>14</v>
      </c>
      <c r="AA154" s="299" t="s">
        <v>14</v>
      </c>
      <c r="AB154" s="299" t="s">
        <v>14</v>
      </c>
      <c r="AC154" s="299"/>
    </row>
    <row r="155" spans="1:29" s="304" customFormat="1">
      <c r="A155" s="298">
        <v>44578</v>
      </c>
      <c r="B155" s="299" t="s">
        <v>1159</v>
      </c>
      <c r="C155" s="299" t="s">
        <v>1160</v>
      </c>
      <c r="D155" s="299" t="s">
        <v>226</v>
      </c>
      <c r="E155" s="299" t="s">
        <v>1161</v>
      </c>
      <c r="F155" s="299"/>
      <c r="G155" s="299">
        <v>5</v>
      </c>
      <c r="H155" s="299">
        <v>0</v>
      </c>
      <c r="I155" s="299" t="s">
        <v>14</v>
      </c>
      <c r="J155" s="300" t="s">
        <v>1162</v>
      </c>
      <c r="K155" s="301" t="s">
        <v>274</v>
      </c>
      <c r="L155" s="302">
        <v>42092</v>
      </c>
      <c r="M155" s="299" t="s">
        <v>14</v>
      </c>
      <c r="N155" s="299">
        <v>18</v>
      </c>
      <c r="O155" s="299">
        <v>72</v>
      </c>
      <c r="P155" s="299" t="s">
        <v>14</v>
      </c>
      <c r="Q155" s="299" t="s">
        <v>13</v>
      </c>
      <c r="R155" s="303"/>
      <c r="S155" s="303"/>
      <c r="T155" s="303"/>
      <c r="U155" s="173" t="str">
        <f t="shared" si="4"/>
        <v/>
      </c>
      <c r="V155" s="299" t="s">
        <v>14</v>
      </c>
      <c r="W155" s="299" t="s">
        <v>14</v>
      </c>
      <c r="X155" s="299" t="s">
        <v>14</v>
      </c>
      <c r="Y155" s="299" t="s">
        <v>14</v>
      </c>
      <c r="Z155" s="299" t="s">
        <v>14</v>
      </c>
      <c r="AA155" s="299" t="s">
        <v>14</v>
      </c>
      <c r="AB155" s="299" t="s">
        <v>14</v>
      </c>
      <c r="AC155" s="299"/>
    </row>
    <row r="156" spans="1:29" s="304" customFormat="1">
      <c r="A156" s="298">
        <v>44565</v>
      </c>
      <c r="B156" s="299" t="s">
        <v>1548</v>
      </c>
      <c r="C156" s="299" t="s">
        <v>1440</v>
      </c>
      <c r="D156" s="299" t="s">
        <v>225</v>
      </c>
      <c r="E156" s="299" t="s">
        <v>1586</v>
      </c>
      <c r="F156" s="299"/>
      <c r="G156" s="299">
        <v>2</v>
      </c>
      <c r="H156" s="299">
        <v>1</v>
      </c>
      <c r="I156" s="299" t="s">
        <v>13</v>
      </c>
      <c r="J156" s="306" t="s">
        <v>1441</v>
      </c>
      <c r="K156" s="301" t="s">
        <v>274</v>
      </c>
      <c r="L156" s="302">
        <v>42160</v>
      </c>
      <c r="M156" s="299"/>
      <c r="N156" s="299"/>
      <c r="O156" s="299"/>
      <c r="P156" s="299"/>
      <c r="Q156" s="299"/>
      <c r="R156" s="299"/>
      <c r="S156" s="299"/>
      <c r="T156" s="299"/>
      <c r="U156" s="173" t="str">
        <f t="shared" si="4"/>
        <v/>
      </c>
      <c r="V156" s="299"/>
      <c r="W156" s="299"/>
      <c r="X156" s="299"/>
      <c r="Y156" s="299"/>
      <c r="Z156" s="299"/>
      <c r="AA156" s="299"/>
      <c r="AB156" s="299"/>
      <c r="AC156" s="299"/>
    </row>
    <row r="157" spans="1:29" s="304" customFormat="1">
      <c r="A157" s="298">
        <v>44571</v>
      </c>
      <c r="B157" s="299" t="s">
        <v>1144</v>
      </c>
      <c r="C157" s="299" t="s">
        <v>1318</v>
      </c>
      <c r="D157" s="299" t="s">
        <v>226</v>
      </c>
      <c r="E157" s="299" t="s">
        <v>1319</v>
      </c>
      <c r="F157" s="299"/>
      <c r="G157" s="299">
        <v>3</v>
      </c>
      <c r="H157" s="299">
        <v>2</v>
      </c>
      <c r="I157" s="299" t="s">
        <v>14</v>
      </c>
      <c r="J157" s="300" t="s">
        <v>1320</v>
      </c>
      <c r="K157" s="301" t="s">
        <v>274</v>
      </c>
      <c r="L157" s="302">
        <v>42154</v>
      </c>
      <c r="M157" s="299" t="s">
        <v>14</v>
      </c>
      <c r="N157" s="299">
        <v>14</v>
      </c>
      <c r="O157" s="299">
        <v>60</v>
      </c>
      <c r="P157" s="299" t="s">
        <v>14</v>
      </c>
      <c r="Q157" s="299" t="s">
        <v>13</v>
      </c>
      <c r="R157" s="303"/>
      <c r="S157" s="303"/>
      <c r="T157" s="303"/>
      <c r="U157" s="173" t="str">
        <f t="shared" si="4"/>
        <v/>
      </c>
      <c r="V157" s="299" t="s">
        <v>14</v>
      </c>
      <c r="W157" s="299" t="s">
        <v>14</v>
      </c>
      <c r="X157" s="299" t="s">
        <v>14</v>
      </c>
      <c r="Y157" s="299" t="s">
        <v>14</v>
      </c>
      <c r="Z157" s="299" t="s">
        <v>14</v>
      </c>
      <c r="AA157" s="299" t="s">
        <v>14</v>
      </c>
      <c r="AB157" s="299" t="s">
        <v>14</v>
      </c>
      <c r="AC157" s="299"/>
    </row>
    <row r="158" spans="1:29" s="304" customFormat="1">
      <c r="A158" s="298">
        <v>44567</v>
      </c>
      <c r="B158" s="299" t="s">
        <v>1558</v>
      </c>
      <c r="C158" s="299" t="s">
        <v>1481</v>
      </c>
      <c r="D158" s="299" t="s">
        <v>226</v>
      </c>
      <c r="E158" s="299" t="s">
        <v>1590</v>
      </c>
      <c r="F158" s="299"/>
      <c r="G158" s="299">
        <v>3</v>
      </c>
      <c r="H158" s="299">
        <v>2</v>
      </c>
      <c r="I158" s="299" t="s">
        <v>13</v>
      </c>
      <c r="J158" s="301" t="s">
        <v>1482</v>
      </c>
      <c r="K158" s="301" t="s">
        <v>952</v>
      </c>
      <c r="L158" s="302">
        <v>41959</v>
      </c>
      <c r="M158" s="299"/>
      <c r="N158" s="299"/>
      <c r="O158" s="299"/>
      <c r="P158" s="299"/>
      <c r="Q158" s="299"/>
      <c r="R158" s="299"/>
      <c r="S158" s="299"/>
      <c r="T158" s="299"/>
      <c r="U158" s="173" t="str">
        <f t="shared" si="4"/>
        <v/>
      </c>
      <c r="V158" s="299"/>
      <c r="W158" s="299"/>
      <c r="X158" s="299"/>
      <c r="Y158" s="299"/>
      <c r="Z158" s="299"/>
      <c r="AA158" s="299"/>
      <c r="AB158" s="299"/>
      <c r="AC158" s="299"/>
    </row>
    <row r="159" spans="1:29" s="304" customFormat="1">
      <c r="A159" s="298">
        <v>44567</v>
      </c>
      <c r="B159" s="299" t="s">
        <v>1557</v>
      </c>
      <c r="C159" s="299" t="s">
        <v>1512</v>
      </c>
      <c r="D159" s="299" t="s">
        <v>225</v>
      </c>
      <c r="E159" s="299" t="s">
        <v>1597</v>
      </c>
      <c r="F159" s="299"/>
      <c r="G159" s="299">
        <v>2</v>
      </c>
      <c r="H159" s="299">
        <v>2</v>
      </c>
      <c r="I159" s="299" t="s">
        <v>13</v>
      </c>
      <c r="J159" s="301" t="s">
        <v>1513</v>
      </c>
      <c r="K159" s="301" t="s">
        <v>952</v>
      </c>
      <c r="L159" s="302">
        <v>42050</v>
      </c>
      <c r="M159" s="299"/>
      <c r="N159" s="299"/>
      <c r="O159" s="299"/>
      <c r="P159" s="299"/>
      <c r="Q159" s="299"/>
      <c r="R159" s="299"/>
      <c r="S159" s="299"/>
      <c r="T159" s="299"/>
      <c r="U159" s="173" t="str">
        <f t="shared" si="4"/>
        <v/>
      </c>
      <c r="V159" s="299"/>
      <c r="W159" s="299"/>
      <c r="X159" s="299"/>
      <c r="Y159" s="299"/>
      <c r="Z159" s="299"/>
      <c r="AA159" s="299"/>
      <c r="AB159" s="299"/>
      <c r="AC159" s="299"/>
    </row>
    <row r="160" spans="1:29" s="304" customFormat="1">
      <c r="A160" s="298">
        <v>44573</v>
      </c>
      <c r="B160" s="299" t="s">
        <v>1543</v>
      </c>
      <c r="C160" s="299" t="s">
        <v>1446</v>
      </c>
      <c r="D160" s="299" t="s">
        <v>225</v>
      </c>
      <c r="E160" s="299" t="s">
        <v>1572</v>
      </c>
      <c r="F160" s="299"/>
      <c r="G160" s="299">
        <v>2</v>
      </c>
      <c r="H160" s="299">
        <v>3</v>
      </c>
      <c r="I160" s="299" t="s">
        <v>14</v>
      </c>
      <c r="J160" s="301" t="s">
        <v>1447</v>
      </c>
      <c r="K160" s="301" t="s">
        <v>274</v>
      </c>
      <c r="L160" s="302">
        <v>42124</v>
      </c>
      <c r="M160" s="299" t="s">
        <v>13</v>
      </c>
      <c r="N160" s="299"/>
      <c r="O160" s="299"/>
      <c r="P160" s="299"/>
      <c r="Q160" s="299"/>
      <c r="R160" s="299"/>
      <c r="S160" s="299"/>
      <c r="T160" s="299"/>
      <c r="U160" s="173" t="str">
        <f t="shared" si="4"/>
        <v/>
      </c>
      <c r="V160" s="299"/>
      <c r="W160" s="299"/>
      <c r="X160" s="299"/>
      <c r="Y160" s="299"/>
      <c r="Z160" s="299"/>
      <c r="AA160" s="299"/>
      <c r="AB160" s="299"/>
      <c r="AC160" s="299"/>
    </row>
    <row r="161" spans="1:29" s="304" customFormat="1">
      <c r="A161" s="298">
        <v>44566</v>
      </c>
      <c r="B161" s="299" t="s">
        <v>1179</v>
      </c>
      <c r="C161" s="299" t="s">
        <v>1180</v>
      </c>
      <c r="D161" s="299" t="s">
        <v>226</v>
      </c>
      <c r="E161" s="299" t="s">
        <v>1181</v>
      </c>
      <c r="F161" s="299"/>
      <c r="G161" s="299">
        <v>3</v>
      </c>
      <c r="H161" s="299">
        <v>0</v>
      </c>
      <c r="I161" s="299" t="s">
        <v>14</v>
      </c>
      <c r="J161" s="308" t="s">
        <v>1182</v>
      </c>
      <c r="K161" s="301" t="s">
        <v>274</v>
      </c>
      <c r="L161" s="302">
        <v>42082</v>
      </c>
      <c r="M161" s="299" t="s">
        <v>14</v>
      </c>
      <c r="N161" s="299">
        <v>16</v>
      </c>
      <c r="O161" s="299">
        <v>64</v>
      </c>
      <c r="P161" s="299" t="s">
        <v>14</v>
      </c>
      <c r="Q161" s="299" t="s">
        <v>13</v>
      </c>
      <c r="R161" s="303"/>
      <c r="S161" s="303"/>
      <c r="T161" s="303"/>
      <c r="U161" s="173" t="str">
        <f t="shared" si="4"/>
        <v/>
      </c>
      <c r="V161" s="299" t="s">
        <v>14</v>
      </c>
      <c r="W161" s="299" t="s">
        <v>14</v>
      </c>
      <c r="X161" s="299" t="s">
        <v>14</v>
      </c>
      <c r="Y161" s="299" t="s">
        <v>14</v>
      </c>
      <c r="Z161" s="299" t="s">
        <v>14</v>
      </c>
      <c r="AA161" s="299" t="s">
        <v>14</v>
      </c>
      <c r="AB161" s="299" t="s">
        <v>14</v>
      </c>
      <c r="AC161" s="299"/>
    </row>
    <row r="162" spans="1:29" s="304" customFormat="1">
      <c r="A162" s="298">
        <v>44570</v>
      </c>
      <c r="B162" s="299" t="s">
        <v>1314</v>
      </c>
      <c r="C162" s="299" t="s">
        <v>1315</v>
      </c>
      <c r="D162" s="299" t="s">
        <v>225</v>
      </c>
      <c r="E162" s="299" t="s">
        <v>1316</v>
      </c>
      <c r="F162" s="299"/>
      <c r="G162" s="299">
        <v>3</v>
      </c>
      <c r="H162" s="299">
        <v>0</v>
      </c>
      <c r="I162" s="299" t="s">
        <v>14</v>
      </c>
      <c r="J162" s="308" t="s">
        <v>1317</v>
      </c>
      <c r="K162" s="301" t="s">
        <v>274</v>
      </c>
      <c r="L162" s="302">
        <v>42081</v>
      </c>
      <c r="M162" s="299" t="s">
        <v>14</v>
      </c>
      <c r="N162" s="299">
        <v>20</v>
      </c>
      <c r="O162" s="299">
        <v>80</v>
      </c>
      <c r="P162" s="299" t="s">
        <v>14</v>
      </c>
      <c r="Q162" s="299" t="s">
        <v>13</v>
      </c>
      <c r="R162" s="303"/>
      <c r="S162" s="303"/>
      <c r="T162" s="303"/>
      <c r="U162" s="173" t="str">
        <f t="shared" si="4"/>
        <v/>
      </c>
      <c r="V162" s="299" t="s">
        <v>14</v>
      </c>
      <c r="W162" s="299" t="s">
        <v>14</v>
      </c>
      <c r="X162" s="299" t="s">
        <v>14</v>
      </c>
      <c r="Y162" s="299" t="s">
        <v>14</v>
      </c>
      <c r="Z162" s="299" t="s">
        <v>14</v>
      </c>
      <c r="AA162" s="299" t="s">
        <v>14</v>
      </c>
      <c r="AB162" s="299" t="s">
        <v>14</v>
      </c>
      <c r="AC162" s="299"/>
    </row>
    <row r="163" spans="1:29" s="304" customFormat="1">
      <c r="A163" s="298">
        <v>44570</v>
      </c>
      <c r="B163" s="299" t="s">
        <v>105</v>
      </c>
      <c r="C163" s="299" t="s">
        <v>1219</v>
      </c>
      <c r="D163" s="299" t="s">
        <v>225</v>
      </c>
      <c r="E163" s="299" t="s">
        <v>1220</v>
      </c>
      <c r="F163" s="299"/>
      <c r="G163" s="299">
        <v>6</v>
      </c>
      <c r="H163" s="299">
        <v>2</v>
      </c>
      <c r="I163" s="299" t="s">
        <v>14</v>
      </c>
      <c r="J163" s="308" t="s">
        <v>1221</v>
      </c>
      <c r="K163" s="301" t="s">
        <v>274</v>
      </c>
      <c r="L163" s="302">
        <v>42114</v>
      </c>
      <c r="M163" s="299" t="s">
        <v>14</v>
      </c>
      <c r="N163" s="299">
        <v>18</v>
      </c>
      <c r="O163" s="299">
        <v>72</v>
      </c>
      <c r="P163" s="299" t="s">
        <v>14</v>
      </c>
      <c r="Q163" s="299" t="s">
        <v>13</v>
      </c>
      <c r="R163" s="303"/>
      <c r="S163" s="303"/>
      <c r="T163" s="303"/>
      <c r="U163" s="173" t="str">
        <f t="shared" ref="U163:U194" si="5">IF(R163="Yes",MAX(S163/(S163+N163),T163/(T163+O163)),"")</f>
        <v/>
      </c>
      <c r="V163" s="299" t="s">
        <v>14</v>
      </c>
      <c r="W163" s="299" t="s">
        <v>14</v>
      </c>
      <c r="X163" s="299" t="s">
        <v>14</v>
      </c>
      <c r="Y163" s="299" t="s">
        <v>14</v>
      </c>
      <c r="Z163" s="299" t="s">
        <v>14</v>
      </c>
      <c r="AA163" s="299" t="s">
        <v>14</v>
      </c>
      <c r="AB163" s="299" t="s">
        <v>14</v>
      </c>
      <c r="AC163" s="299"/>
    </row>
    <row r="164" spans="1:29" s="304" customFormat="1">
      <c r="A164" s="298">
        <v>44565</v>
      </c>
      <c r="B164" s="299" t="s">
        <v>1116</v>
      </c>
      <c r="C164" s="299" t="s">
        <v>1210</v>
      </c>
      <c r="D164" s="299" t="s">
        <v>226</v>
      </c>
      <c r="E164" s="299" t="s">
        <v>1211</v>
      </c>
      <c r="F164" s="299"/>
      <c r="G164" s="299">
        <v>2</v>
      </c>
      <c r="H164" s="299">
        <v>2</v>
      </c>
      <c r="I164" s="299" t="s">
        <v>14</v>
      </c>
      <c r="J164" s="308" t="s">
        <v>1212</v>
      </c>
      <c r="K164" s="301" t="s">
        <v>274</v>
      </c>
      <c r="L164" s="302">
        <v>42099</v>
      </c>
      <c r="M164" s="299" t="s">
        <v>14</v>
      </c>
      <c r="N164" s="299">
        <v>21</v>
      </c>
      <c r="O164" s="299">
        <v>90</v>
      </c>
      <c r="P164" s="299" t="s">
        <v>14</v>
      </c>
      <c r="Q164" s="299" t="s">
        <v>13</v>
      </c>
      <c r="R164" s="303"/>
      <c r="S164" s="303"/>
      <c r="T164" s="303"/>
      <c r="U164" s="173" t="str">
        <f t="shared" si="5"/>
        <v/>
      </c>
      <c r="V164" s="299" t="s">
        <v>14</v>
      </c>
      <c r="W164" s="299" t="s">
        <v>14</v>
      </c>
      <c r="X164" s="299" t="s">
        <v>14</v>
      </c>
      <c r="Y164" s="299" t="s">
        <v>14</v>
      </c>
      <c r="Z164" s="299" t="s">
        <v>14</v>
      </c>
      <c r="AA164" s="299" t="s">
        <v>14</v>
      </c>
      <c r="AB164" s="299" t="s">
        <v>14</v>
      </c>
      <c r="AC164" s="299"/>
    </row>
    <row r="165" spans="1:29" s="304" customFormat="1">
      <c r="A165" s="298">
        <v>44567</v>
      </c>
      <c r="B165" s="299" t="s">
        <v>1120</v>
      </c>
      <c r="C165" s="299" t="s">
        <v>1466</v>
      </c>
      <c r="D165" s="299" t="s">
        <v>226</v>
      </c>
      <c r="E165" s="299" t="s">
        <v>1588</v>
      </c>
      <c r="F165" s="299"/>
      <c r="G165" s="299">
        <v>5</v>
      </c>
      <c r="H165" s="299">
        <v>1</v>
      </c>
      <c r="I165" s="299" t="s">
        <v>13</v>
      </c>
      <c r="J165" s="301" t="s">
        <v>1467</v>
      </c>
      <c r="K165" s="301" t="s">
        <v>274</v>
      </c>
      <c r="L165" s="302">
        <v>42130</v>
      </c>
      <c r="M165" s="299"/>
      <c r="N165" s="299"/>
      <c r="O165" s="299"/>
      <c r="P165" s="299"/>
      <c r="Q165" s="299"/>
      <c r="R165" s="299"/>
      <c r="S165" s="299"/>
      <c r="T165" s="299"/>
      <c r="U165" s="173" t="str">
        <f t="shared" si="5"/>
        <v/>
      </c>
      <c r="V165" s="299"/>
      <c r="W165" s="299"/>
      <c r="X165" s="299"/>
      <c r="Y165" s="299"/>
      <c r="Z165" s="299"/>
      <c r="AA165" s="299"/>
      <c r="AB165" s="299"/>
      <c r="AC165" s="299"/>
    </row>
    <row r="166" spans="1:29" s="304" customFormat="1">
      <c r="A166" s="298">
        <v>44570</v>
      </c>
      <c r="B166" s="299" t="s">
        <v>1120</v>
      </c>
      <c r="C166" s="299" t="s">
        <v>1121</v>
      </c>
      <c r="D166" s="299" t="s">
        <v>226</v>
      </c>
      <c r="E166" s="299" t="s">
        <v>1122</v>
      </c>
      <c r="F166" s="299"/>
      <c r="G166" s="299">
        <v>3</v>
      </c>
      <c r="H166" s="299">
        <v>0</v>
      </c>
      <c r="I166" s="299" t="s">
        <v>14</v>
      </c>
      <c r="J166" s="308" t="s">
        <v>1123</v>
      </c>
      <c r="K166" s="301" t="s">
        <v>274</v>
      </c>
      <c r="L166" s="302">
        <v>42090</v>
      </c>
      <c r="M166" s="299" t="s">
        <v>14</v>
      </c>
      <c r="N166" s="299">
        <v>17</v>
      </c>
      <c r="O166" s="299">
        <v>68</v>
      </c>
      <c r="P166" s="299" t="s">
        <v>14</v>
      </c>
      <c r="Q166" s="299" t="s">
        <v>13</v>
      </c>
      <c r="R166" s="303"/>
      <c r="S166" s="303"/>
      <c r="T166" s="303"/>
      <c r="U166" s="173" t="str">
        <f t="shared" si="5"/>
        <v/>
      </c>
      <c r="V166" s="299" t="s">
        <v>14</v>
      </c>
      <c r="W166" s="299" t="s">
        <v>14</v>
      </c>
      <c r="X166" s="299" t="s">
        <v>14</v>
      </c>
      <c r="Y166" s="299" t="s">
        <v>14</v>
      </c>
      <c r="Z166" s="299" t="s">
        <v>14</v>
      </c>
      <c r="AA166" s="299" t="s">
        <v>14</v>
      </c>
      <c r="AB166" s="299" t="s">
        <v>14</v>
      </c>
      <c r="AC166" s="299"/>
    </row>
    <row r="167" spans="1:29" s="304" customFormat="1">
      <c r="A167" s="298">
        <v>44572</v>
      </c>
      <c r="B167" s="299" t="s">
        <v>140</v>
      </c>
      <c r="C167" s="299" t="s">
        <v>1282</v>
      </c>
      <c r="D167" s="299" t="s">
        <v>225</v>
      </c>
      <c r="E167" s="299" t="s">
        <v>1283</v>
      </c>
      <c r="F167" s="299"/>
      <c r="G167" s="299">
        <v>4</v>
      </c>
      <c r="H167" s="299">
        <v>3</v>
      </c>
      <c r="I167" s="299" t="s">
        <v>14</v>
      </c>
      <c r="J167" s="308" t="s">
        <v>1284</v>
      </c>
      <c r="K167" s="301" t="s">
        <v>274</v>
      </c>
      <c r="L167" s="302">
        <v>42069</v>
      </c>
      <c r="M167" s="299" t="s">
        <v>14</v>
      </c>
      <c r="N167" s="299">
        <v>21</v>
      </c>
      <c r="O167" s="299">
        <v>90</v>
      </c>
      <c r="P167" s="299" t="s">
        <v>14</v>
      </c>
      <c r="Q167" s="299" t="s">
        <v>13</v>
      </c>
      <c r="R167" s="303"/>
      <c r="S167" s="303"/>
      <c r="T167" s="303"/>
      <c r="U167" s="173" t="str">
        <f t="shared" si="5"/>
        <v/>
      </c>
      <c r="V167" s="299" t="s">
        <v>14</v>
      </c>
      <c r="W167" s="299" t="s">
        <v>14</v>
      </c>
      <c r="X167" s="299" t="s">
        <v>14</v>
      </c>
      <c r="Y167" s="299" t="s">
        <v>14</v>
      </c>
      <c r="Z167" s="299" t="s">
        <v>14</v>
      </c>
      <c r="AA167" s="299" t="s">
        <v>14</v>
      </c>
      <c r="AB167" s="299" t="s">
        <v>14</v>
      </c>
      <c r="AC167" s="299"/>
    </row>
    <row r="168" spans="1:29" s="304" customFormat="1">
      <c r="A168" s="298">
        <v>44565</v>
      </c>
      <c r="B168" s="299" t="s">
        <v>123</v>
      </c>
      <c r="C168" s="299" t="s">
        <v>978</v>
      </c>
      <c r="D168" s="299" t="s">
        <v>225</v>
      </c>
      <c r="E168" s="299" t="s">
        <v>979</v>
      </c>
      <c r="F168" s="299"/>
      <c r="G168" s="299">
        <v>4</v>
      </c>
      <c r="H168" s="299">
        <v>0</v>
      </c>
      <c r="I168" s="299" t="s">
        <v>14</v>
      </c>
      <c r="J168" s="308" t="s">
        <v>980</v>
      </c>
      <c r="K168" s="301" t="s">
        <v>952</v>
      </c>
      <c r="L168" s="302">
        <v>41933</v>
      </c>
      <c r="M168" s="299" t="s">
        <v>14</v>
      </c>
      <c r="N168" s="299">
        <v>18</v>
      </c>
      <c r="O168" s="299">
        <v>75</v>
      </c>
      <c r="P168" s="299" t="s">
        <v>14</v>
      </c>
      <c r="Q168" s="299" t="s">
        <v>13</v>
      </c>
      <c r="R168" s="303"/>
      <c r="S168" s="303"/>
      <c r="T168" s="303"/>
      <c r="U168" s="173" t="str">
        <f t="shared" si="5"/>
        <v/>
      </c>
      <c r="V168" s="299" t="s">
        <v>14</v>
      </c>
      <c r="W168" s="299" t="s">
        <v>14</v>
      </c>
      <c r="X168" s="299" t="s">
        <v>14</v>
      </c>
      <c r="Y168" s="299" t="s">
        <v>14</v>
      </c>
      <c r="Z168" s="299" t="s">
        <v>14</v>
      </c>
      <c r="AA168" s="299" t="s">
        <v>14</v>
      </c>
      <c r="AB168" s="299" t="s">
        <v>14</v>
      </c>
      <c r="AC168" s="299"/>
    </row>
    <row r="169" spans="1:29" s="304" customFormat="1">
      <c r="A169" s="298">
        <v>44567</v>
      </c>
      <c r="B169" s="299" t="s">
        <v>1140</v>
      </c>
      <c r="C169" s="299" t="s">
        <v>1294</v>
      </c>
      <c r="D169" s="299" t="s">
        <v>226</v>
      </c>
      <c r="E169" s="299" t="s">
        <v>1295</v>
      </c>
      <c r="F169" s="299"/>
      <c r="G169" s="299">
        <v>5</v>
      </c>
      <c r="H169" s="299">
        <v>3</v>
      </c>
      <c r="I169" s="299" t="s">
        <v>14</v>
      </c>
      <c r="J169" s="308" t="s">
        <v>1296</v>
      </c>
      <c r="K169" s="301" t="s">
        <v>952</v>
      </c>
      <c r="L169" s="302">
        <v>41900</v>
      </c>
      <c r="M169" s="299" t="s">
        <v>14</v>
      </c>
      <c r="N169" s="299">
        <v>21</v>
      </c>
      <c r="O169" s="299">
        <v>90</v>
      </c>
      <c r="P169" s="299" t="s">
        <v>14</v>
      </c>
      <c r="Q169" s="299" t="s">
        <v>13</v>
      </c>
      <c r="R169" s="303"/>
      <c r="S169" s="303"/>
      <c r="T169" s="303"/>
      <c r="U169" s="173" t="str">
        <f t="shared" si="5"/>
        <v/>
      </c>
      <c r="V169" s="299" t="s">
        <v>14</v>
      </c>
      <c r="W169" s="299" t="s">
        <v>14</v>
      </c>
      <c r="X169" s="299" t="s">
        <v>14</v>
      </c>
      <c r="Y169" s="299" t="s">
        <v>14</v>
      </c>
      <c r="Z169" s="299" t="s">
        <v>14</v>
      </c>
      <c r="AA169" s="299" t="s">
        <v>14</v>
      </c>
      <c r="AB169" s="299" t="s">
        <v>14</v>
      </c>
      <c r="AC169" s="299"/>
    </row>
    <row r="170" spans="1:29" s="304" customFormat="1">
      <c r="A170" s="298">
        <v>44571</v>
      </c>
      <c r="B170" s="299" t="s">
        <v>108</v>
      </c>
      <c r="C170" s="299" t="s">
        <v>1197</v>
      </c>
      <c r="D170" s="299" t="s">
        <v>226</v>
      </c>
      <c r="E170" s="299" t="s">
        <v>1198</v>
      </c>
      <c r="F170" s="299"/>
      <c r="G170" s="299">
        <v>5</v>
      </c>
      <c r="H170" s="299">
        <v>1</v>
      </c>
      <c r="I170" s="299" t="s">
        <v>14</v>
      </c>
      <c r="J170" s="308" t="s">
        <v>1199</v>
      </c>
      <c r="K170" s="301" t="s">
        <v>952</v>
      </c>
      <c r="L170" s="302">
        <v>41941</v>
      </c>
      <c r="M170" s="299" t="s">
        <v>14</v>
      </c>
      <c r="N170" s="299">
        <v>20</v>
      </c>
      <c r="O170" s="299">
        <v>80</v>
      </c>
      <c r="P170" s="299" t="s">
        <v>14</v>
      </c>
      <c r="Q170" s="299" t="s">
        <v>13</v>
      </c>
      <c r="R170" s="303"/>
      <c r="S170" s="303"/>
      <c r="T170" s="303"/>
      <c r="U170" s="173" t="str">
        <f t="shared" si="5"/>
        <v/>
      </c>
      <c r="V170" s="299" t="s">
        <v>14</v>
      </c>
      <c r="W170" s="299" t="s">
        <v>14</v>
      </c>
      <c r="X170" s="299" t="s">
        <v>14</v>
      </c>
      <c r="Y170" s="299" t="s">
        <v>14</v>
      </c>
      <c r="Z170" s="299" t="s">
        <v>14</v>
      </c>
      <c r="AA170" s="299" t="s">
        <v>14</v>
      </c>
      <c r="AB170" s="299" t="s">
        <v>14</v>
      </c>
      <c r="AC170" s="299"/>
    </row>
    <row r="171" spans="1:29" s="304" customFormat="1">
      <c r="A171" s="298">
        <v>44570</v>
      </c>
      <c r="B171" s="299" t="s">
        <v>994</v>
      </c>
      <c r="C171" s="299" t="s">
        <v>995</v>
      </c>
      <c r="D171" s="299" t="s">
        <v>226</v>
      </c>
      <c r="E171" s="299" t="s">
        <v>996</v>
      </c>
      <c r="F171" s="299"/>
      <c r="G171" s="299">
        <v>4</v>
      </c>
      <c r="H171" s="299">
        <v>1</v>
      </c>
      <c r="I171" s="299" t="s">
        <v>14</v>
      </c>
      <c r="J171" s="308" t="s">
        <v>997</v>
      </c>
      <c r="K171" s="301" t="s">
        <v>274</v>
      </c>
      <c r="L171" s="302">
        <v>42138</v>
      </c>
      <c r="M171" s="299" t="s">
        <v>14</v>
      </c>
      <c r="N171" s="299">
        <v>10</v>
      </c>
      <c r="O171" s="299">
        <v>45</v>
      </c>
      <c r="P171" s="299" t="s">
        <v>14</v>
      </c>
      <c r="Q171" s="299" t="s">
        <v>14</v>
      </c>
      <c r="R171" s="299" t="s">
        <v>14</v>
      </c>
      <c r="S171" s="299">
        <v>10</v>
      </c>
      <c r="T171" s="299">
        <v>45</v>
      </c>
      <c r="U171" s="173">
        <f t="shared" si="5"/>
        <v>0.5</v>
      </c>
      <c r="V171" s="299" t="s">
        <v>14</v>
      </c>
      <c r="W171" s="299" t="s">
        <v>14</v>
      </c>
      <c r="X171" s="299" t="s">
        <v>14</v>
      </c>
      <c r="Y171" s="299" t="s">
        <v>14</v>
      </c>
      <c r="Z171" s="299" t="s">
        <v>14</v>
      </c>
      <c r="AA171" s="299" t="s">
        <v>14</v>
      </c>
      <c r="AB171" s="299" t="s">
        <v>14</v>
      </c>
      <c r="AC171" s="299"/>
    </row>
    <row r="172" spans="1:29" s="304" customFormat="1">
      <c r="A172" s="298">
        <v>44572</v>
      </c>
      <c r="B172" s="299" t="s">
        <v>1549</v>
      </c>
      <c r="C172" s="299" t="s">
        <v>1479</v>
      </c>
      <c r="D172" s="299" t="s">
        <v>226</v>
      </c>
      <c r="E172" s="299" t="s">
        <v>1578</v>
      </c>
      <c r="F172" s="299"/>
      <c r="G172" s="299">
        <v>2</v>
      </c>
      <c r="H172" s="299">
        <v>2</v>
      </c>
      <c r="I172" s="299" t="s">
        <v>14</v>
      </c>
      <c r="J172" s="301" t="s">
        <v>1480</v>
      </c>
      <c r="K172" s="301" t="s">
        <v>952</v>
      </c>
      <c r="L172" s="302">
        <v>41921</v>
      </c>
      <c r="M172" s="299" t="s">
        <v>13</v>
      </c>
      <c r="N172" s="299"/>
      <c r="O172" s="299"/>
      <c r="P172" s="299"/>
      <c r="Q172" s="299"/>
      <c r="R172" s="299"/>
      <c r="S172" s="299"/>
      <c r="T172" s="299"/>
      <c r="U172" s="173" t="str">
        <f t="shared" si="5"/>
        <v/>
      </c>
      <c r="V172" s="299"/>
      <c r="W172" s="299"/>
      <c r="X172" s="299"/>
      <c r="Y172" s="299"/>
      <c r="Z172" s="299"/>
      <c r="AA172" s="299"/>
      <c r="AB172" s="299"/>
      <c r="AC172" s="299"/>
    </row>
    <row r="173" spans="1:29" s="304" customFormat="1">
      <c r="A173" s="298">
        <v>44567</v>
      </c>
      <c r="B173" s="299" t="s">
        <v>108</v>
      </c>
      <c r="C173" s="299" t="s">
        <v>1384</v>
      </c>
      <c r="D173" s="299" t="s">
        <v>226</v>
      </c>
      <c r="E173" s="298" t="s">
        <v>1385</v>
      </c>
      <c r="F173" s="299"/>
      <c r="G173" s="299">
        <v>4</v>
      </c>
      <c r="H173" s="299">
        <v>0</v>
      </c>
      <c r="I173" s="299" t="s">
        <v>14</v>
      </c>
      <c r="J173" s="308" t="s">
        <v>1386</v>
      </c>
      <c r="K173" s="301" t="s">
        <v>274</v>
      </c>
      <c r="L173" s="302">
        <v>42134</v>
      </c>
      <c r="M173" s="299" t="s">
        <v>14</v>
      </c>
      <c r="N173" s="299">
        <v>20</v>
      </c>
      <c r="O173" s="299">
        <v>85</v>
      </c>
      <c r="P173" s="299" t="s">
        <v>14</v>
      </c>
      <c r="Q173" s="299" t="s">
        <v>13</v>
      </c>
      <c r="R173" s="303"/>
      <c r="S173" s="303"/>
      <c r="T173" s="303"/>
      <c r="U173" s="173" t="str">
        <f t="shared" si="5"/>
        <v/>
      </c>
      <c r="V173" s="299" t="s">
        <v>14</v>
      </c>
      <c r="W173" s="299" t="s">
        <v>14</v>
      </c>
      <c r="X173" s="299" t="s">
        <v>14</v>
      </c>
      <c r="Y173" s="299" t="s">
        <v>14</v>
      </c>
      <c r="Z173" s="299" t="s">
        <v>14</v>
      </c>
      <c r="AA173" s="299" t="s">
        <v>14</v>
      </c>
      <c r="AB173" s="299" t="s">
        <v>14</v>
      </c>
      <c r="AC173" s="299"/>
    </row>
    <row r="174" spans="1:29" s="304" customFormat="1">
      <c r="A174" s="298">
        <v>44572</v>
      </c>
      <c r="B174" s="299" t="s">
        <v>126</v>
      </c>
      <c r="C174" s="299" t="s">
        <v>1114</v>
      </c>
      <c r="D174" s="299" t="s">
        <v>226</v>
      </c>
      <c r="E174" s="299" t="s">
        <v>1604</v>
      </c>
      <c r="F174" s="299"/>
      <c r="G174" s="299">
        <v>2</v>
      </c>
      <c r="H174" s="299">
        <v>3</v>
      </c>
      <c r="I174" s="299" t="s">
        <v>14</v>
      </c>
      <c r="J174" s="308" t="s">
        <v>1115</v>
      </c>
      <c r="K174" s="301" t="s">
        <v>274</v>
      </c>
      <c r="L174" s="302">
        <v>42174</v>
      </c>
      <c r="M174" s="299" t="s">
        <v>14</v>
      </c>
      <c r="N174" s="299">
        <v>16</v>
      </c>
      <c r="O174" s="299">
        <v>75</v>
      </c>
      <c r="P174" s="299" t="s">
        <v>14</v>
      </c>
      <c r="Q174" s="299" t="s">
        <v>13</v>
      </c>
      <c r="R174" s="303"/>
      <c r="S174" s="303"/>
      <c r="T174" s="303"/>
      <c r="U174" s="173" t="str">
        <f t="shared" si="5"/>
        <v/>
      </c>
      <c r="V174" s="299" t="s">
        <v>14</v>
      </c>
      <c r="W174" s="299" t="s">
        <v>14</v>
      </c>
      <c r="X174" s="299" t="s">
        <v>14</v>
      </c>
      <c r="Y174" s="299" t="s">
        <v>14</v>
      </c>
      <c r="Z174" s="299" t="s">
        <v>14</v>
      </c>
      <c r="AA174" s="299" t="s">
        <v>14</v>
      </c>
      <c r="AB174" s="299" t="s">
        <v>14</v>
      </c>
      <c r="AC174" s="299"/>
    </row>
    <row r="175" spans="1:29" s="304" customFormat="1">
      <c r="A175" s="298">
        <v>44566</v>
      </c>
      <c r="B175" s="299" t="s">
        <v>1144</v>
      </c>
      <c r="C175" s="299" t="s">
        <v>1166</v>
      </c>
      <c r="D175" s="299" t="s">
        <v>226</v>
      </c>
      <c r="E175" s="299" t="s">
        <v>1167</v>
      </c>
      <c r="F175" s="299"/>
      <c r="G175" s="299">
        <v>2</v>
      </c>
      <c r="H175" s="299">
        <v>2</v>
      </c>
      <c r="I175" s="299" t="s">
        <v>14</v>
      </c>
      <c r="J175" s="308" t="s">
        <v>1168</v>
      </c>
      <c r="K175" s="301" t="s">
        <v>952</v>
      </c>
      <c r="L175" s="302">
        <v>41991</v>
      </c>
      <c r="M175" s="299" t="s">
        <v>14</v>
      </c>
      <c r="N175" s="299">
        <v>14</v>
      </c>
      <c r="O175" s="299">
        <v>60</v>
      </c>
      <c r="P175" s="299" t="s">
        <v>14</v>
      </c>
      <c r="Q175" s="299" t="s">
        <v>13</v>
      </c>
      <c r="R175" s="299"/>
      <c r="S175" s="299"/>
      <c r="T175" s="299"/>
      <c r="U175" s="173" t="str">
        <f t="shared" si="5"/>
        <v/>
      </c>
      <c r="V175" s="299" t="s">
        <v>14</v>
      </c>
      <c r="W175" s="299" t="s">
        <v>14</v>
      </c>
      <c r="X175" s="299" t="s">
        <v>14</v>
      </c>
      <c r="Y175" s="299" t="s">
        <v>14</v>
      </c>
      <c r="Z175" s="299" t="s">
        <v>14</v>
      </c>
      <c r="AA175" s="299" t="s">
        <v>14</v>
      </c>
      <c r="AB175" s="299" t="s">
        <v>14</v>
      </c>
      <c r="AC175" s="299"/>
    </row>
    <row r="176" spans="1:29" s="304" customFormat="1">
      <c r="A176" s="298">
        <v>44570</v>
      </c>
      <c r="B176" s="299" t="s">
        <v>105</v>
      </c>
      <c r="C176" s="299" t="s">
        <v>1248</v>
      </c>
      <c r="D176" s="299" t="s">
        <v>226</v>
      </c>
      <c r="E176" s="299" t="s">
        <v>1249</v>
      </c>
      <c r="F176" s="299"/>
      <c r="G176" s="299">
        <v>4</v>
      </c>
      <c r="H176" s="299">
        <v>1</v>
      </c>
      <c r="I176" s="299" t="s">
        <v>14</v>
      </c>
      <c r="J176" s="308" t="s">
        <v>1250</v>
      </c>
      <c r="K176" s="301" t="s">
        <v>274</v>
      </c>
      <c r="L176" s="302">
        <v>42146</v>
      </c>
      <c r="M176" s="299" t="s">
        <v>14</v>
      </c>
      <c r="N176" s="299">
        <v>16</v>
      </c>
      <c r="O176" s="299">
        <v>64</v>
      </c>
      <c r="P176" s="299" t="s">
        <v>14</v>
      </c>
      <c r="Q176" s="299" t="s">
        <v>13</v>
      </c>
      <c r="R176" s="303"/>
      <c r="S176" s="303"/>
      <c r="T176" s="303"/>
      <c r="U176" s="173" t="str">
        <f t="shared" si="5"/>
        <v/>
      </c>
      <c r="V176" s="299" t="s">
        <v>14</v>
      </c>
      <c r="W176" s="299" t="s">
        <v>14</v>
      </c>
      <c r="X176" s="299" t="s">
        <v>14</v>
      </c>
      <c r="Y176" s="299" t="s">
        <v>14</v>
      </c>
      <c r="Z176" s="299" t="s">
        <v>14</v>
      </c>
      <c r="AA176" s="299" t="s">
        <v>14</v>
      </c>
      <c r="AB176" s="299" t="s">
        <v>14</v>
      </c>
      <c r="AC176" s="299"/>
    </row>
    <row r="177" spans="1:29" s="304" customFormat="1">
      <c r="A177" s="298">
        <v>44564</v>
      </c>
      <c r="B177" s="299" t="s">
        <v>105</v>
      </c>
      <c r="C177" s="299" t="s">
        <v>1456</v>
      </c>
      <c r="D177" s="299" t="s">
        <v>225</v>
      </c>
      <c r="E177" s="299" t="s">
        <v>1587</v>
      </c>
      <c r="F177" s="299"/>
      <c r="G177" s="299">
        <v>3</v>
      </c>
      <c r="H177" s="299">
        <v>1</v>
      </c>
      <c r="I177" s="299" t="s">
        <v>13</v>
      </c>
      <c r="J177" s="301" t="s">
        <v>1457</v>
      </c>
      <c r="K177" s="301" t="s">
        <v>274</v>
      </c>
      <c r="L177" s="302">
        <v>42115</v>
      </c>
      <c r="M177" s="299"/>
      <c r="N177" s="299"/>
      <c r="O177" s="299"/>
      <c r="P177" s="299"/>
      <c r="Q177" s="299"/>
      <c r="R177" s="299"/>
      <c r="S177" s="299"/>
      <c r="T177" s="299"/>
      <c r="U177" s="173" t="str">
        <f t="shared" si="5"/>
        <v/>
      </c>
      <c r="V177" s="299"/>
      <c r="W177" s="299"/>
      <c r="X177" s="299"/>
      <c r="Y177" s="299"/>
      <c r="Z177" s="299"/>
      <c r="AA177" s="299"/>
      <c r="AB177" s="299"/>
      <c r="AC177" s="299"/>
    </row>
    <row r="178" spans="1:29" s="304" customFormat="1">
      <c r="A178" s="298">
        <v>44577</v>
      </c>
      <c r="B178" s="299" t="s">
        <v>1553</v>
      </c>
      <c r="C178" s="299" t="s">
        <v>1508</v>
      </c>
      <c r="D178" s="299" t="s">
        <v>225</v>
      </c>
      <c r="E178" s="299" t="s">
        <v>1574</v>
      </c>
      <c r="F178" s="299"/>
      <c r="G178" s="299">
        <v>3</v>
      </c>
      <c r="H178" s="299">
        <v>3</v>
      </c>
      <c r="I178" s="299" t="s">
        <v>14</v>
      </c>
      <c r="J178" s="301" t="s">
        <v>1509</v>
      </c>
      <c r="K178" s="301" t="s">
        <v>952</v>
      </c>
      <c r="L178" s="302">
        <v>41876</v>
      </c>
      <c r="M178" s="299" t="s">
        <v>13</v>
      </c>
      <c r="N178" s="299"/>
      <c r="O178" s="299"/>
      <c r="P178" s="299"/>
      <c r="Q178" s="299"/>
      <c r="R178" s="299"/>
      <c r="S178" s="299"/>
      <c r="T178" s="299"/>
      <c r="U178" s="173" t="str">
        <f t="shared" si="5"/>
        <v/>
      </c>
      <c r="V178" s="299"/>
      <c r="W178" s="299"/>
      <c r="X178" s="299"/>
      <c r="Y178" s="299"/>
      <c r="Z178" s="299"/>
      <c r="AA178" s="299"/>
      <c r="AB178" s="299"/>
      <c r="AC178" s="299"/>
    </row>
    <row r="179" spans="1:29" s="304" customFormat="1">
      <c r="A179" s="298">
        <v>44573</v>
      </c>
      <c r="B179" s="299" t="s">
        <v>1039</v>
      </c>
      <c r="C179" s="299" t="s">
        <v>1040</v>
      </c>
      <c r="D179" s="299" t="s">
        <v>226</v>
      </c>
      <c r="E179" s="299" t="s">
        <v>1041</v>
      </c>
      <c r="F179" s="299"/>
      <c r="G179" s="299">
        <v>4</v>
      </c>
      <c r="H179" s="299">
        <v>2</v>
      </c>
      <c r="I179" s="299" t="s">
        <v>14</v>
      </c>
      <c r="J179" s="308" t="s">
        <v>1042</v>
      </c>
      <c r="K179" s="301" t="s">
        <v>274</v>
      </c>
      <c r="L179" s="302">
        <v>42137</v>
      </c>
      <c r="M179" s="299" t="s">
        <v>14</v>
      </c>
      <c r="N179" s="299">
        <v>17</v>
      </c>
      <c r="O179" s="299">
        <v>80</v>
      </c>
      <c r="P179" s="299" t="s">
        <v>14</v>
      </c>
      <c r="Q179" s="299" t="s">
        <v>13</v>
      </c>
      <c r="R179" s="303"/>
      <c r="S179" s="303"/>
      <c r="T179" s="303"/>
      <c r="U179" s="173" t="str">
        <f t="shared" si="5"/>
        <v/>
      </c>
      <c r="V179" s="299" t="s">
        <v>14</v>
      </c>
      <c r="W179" s="299" t="s">
        <v>14</v>
      </c>
      <c r="X179" s="299" t="s">
        <v>14</v>
      </c>
      <c r="Y179" s="299" t="s">
        <v>14</v>
      </c>
      <c r="Z179" s="299" t="s">
        <v>14</v>
      </c>
      <c r="AA179" s="299" t="s">
        <v>14</v>
      </c>
      <c r="AB179" s="299" t="s">
        <v>14</v>
      </c>
      <c r="AC179" s="299"/>
    </row>
    <row r="180" spans="1:29" s="304" customFormat="1">
      <c r="A180" s="298">
        <v>44570</v>
      </c>
      <c r="B180" s="299" t="s">
        <v>1068</v>
      </c>
      <c r="C180" s="299" t="s">
        <v>1069</v>
      </c>
      <c r="D180" s="299" t="s">
        <v>226</v>
      </c>
      <c r="E180" s="299" t="s">
        <v>1070</v>
      </c>
      <c r="F180" s="299"/>
      <c r="G180" s="299">
        <v>4</v>
      </c>
      <c r="H180" s="299">
        <v>0</v>
      </c>
      <c r="I180" s="299" t="s">
        <v>14</v>
      </c>
      <c r="J180" s="308" t="s">
        <v>1071</v>
      </c>
      <c r="K180" s="301" t="s">
        <v>274</v>
      </c>
      <c r="L180" s="302">
        <v>42119</v>
      </c>
      <c r="M180" s="299" t="s">
        <v>14</v>
      </c>
      <c r="N180" s="299">
        <v>21</v>
      </c>
      <c r="O180" s="299">
        <v>90</v>
      </c>
      <c r="P180" s="299" t="s">
        <v>14</v>
      </c>
      <c r="Q180" s="299" t="s">
        <v>13</v>
      </c>
      <c r="R180" s="303"/>
      <c r="S180" s="303"/>
      <c r="T180" s="303"/>
      <c r="U180" s="173" t="str">
        <f t="shared" si="5"/>
        <v/>
      </c>
      <c r="V180" s="299" t="s">
        <v>14</v>
      </c>
      <c r="W180" s="299" t="s">
        <v>14</v>
      </c>
      <c r="X180" s="299" t="s">
        <v>14</v>
      </c>
      <c r="Y180" s="299" t="s">
        <v>14</v>
      </c>
      <c r="Z180" s="299" t="s">
        <v>14</v>
      </c>
      <c r="AA180" s="299" t="s">
        <v>14</v>
      </c>
      <c r="AB180" s="299" t="s">
        <v>14</v>
      </c>
      <c r="AC180" s="299"/>
    </row>
    <row r="181" spans="1:29" s="304" customFormat="1">
      <c r="A181" s="298">
        <v>44571</v>
      </c>
      <c r="B181" s="299" t="s">
        <v>141</v>
      </c>
      <c r="C181" s="299" t="s">
        <v>1536</v>
      </c>
      <c r="D181" s="299" t="s">
        <v>226</v>
      </c>
      <c r="E181" s="298" t="s">
        <v>1375</v>
      </c>
      <c r="F181" s="299"/>
      <c r="G181" s="299">
        <v>6</v>
      </c>
      <c r="H181" s="299">
        <v>2</v>
      </c>
      <c r="I181" s="299" t="s">
        <v>14</v>
      </c>
      <c r="J181" s="308" t="s">
        <v>1376</v>
      </c>
      <c r="K181" s="301" t="s">
        <v>274</v>
      </c>
      <c r="L181" s="302">
        <v>42116</v>
      </c>
      <c r="M181" s="299" t="s">
        <v>14</v>
      </c>
      <c r="N181" s="299">
        <v>14</v>
      </c>
      <c r="O181" s="299">
        <v>60</v>
      </c>
      <c r="P181" s="299" t="s">
        <v>14</v>
      </c>
      <c r="Q181" s="299" t="s">
        <v>14</v>
      </c>
      <c r="R181" s="299" t="s">
        <v>14</v>
      </c>
      <c r="S181" s="299">
        <v>7</v>
      </c>
      <c r="T181" s="299">
        <v>30</v>
      </c>
      <c r="U181" s="173">
        <f t="shared" si="5"/>
        <v>0.33333333333333331</v>
      </c>
      <c r="V181" s="299" t="s">
        <v>14</v>
      </c>
      <c r="W181" s="299" t="s">
        <v>14</v>
      </c>
      <c r="X181" s="299" t="s">
        <v>14</v>
      </c>
      <c r="Y181" s="299" t="s">
        <v>14</v>
      </c>
      <c r="Z181" s="299" t="s">
        <v>14</v>
      </c>
      <c r="AA181" s="299" t="s">
        <v>14</v>
      </c>
      <c r="AB181" s="299" t="s">
        <v>14</v>
      </c>
      <c r="AC181" s="299"/>
    </row>
    <row r="182" spans="1:29" s="304" customFormat="1">
      <c r="A182" s="298">
        <v>44574</v>
      </c>
      <c r="B182" s="299" t="s">
        <v>1228</v>
      </c>
      <c r="C182" s="299" t="s">
        <v>1499</v>
      </c>
      <c r="D182" s="299" t="s">
        <v>225</v>
      </c>
      <c r="E182" s="299" t="s">
        <v>1592</v>
      </c>
      <c r="F182" s="299"/>
      <c r="G182" s="299">
        <v>2</v>
      </c>
      <c r="H182" s="299">
        <v>2</v>
      </c>
      <c r="I182" s="299" t="s">
        <v>13</v>
      </c>
      <c r="J182" s="301" t="s">
        <v>1500</v>
      </c>
      <c r="K182" s="301" t="s">
        <v>952</v>
      </c>
      <c r="L182" s="302">
        <v>41976</v>
      </c>
      <c r="M182" s="299"/>
      <c r="N182" s="299"/>
      <c r="O182" s="299"/>
      <c r="P182" s="299"/>
      <c r="Q182" s="299"/>
      <c r="R182" s="299"/>
      <c r="S182" s="299"/>
      <c r="T182" s="299"/>
      <c r="U182" s="173" t="str">
        <f t="shared" si="5"/>
        <v/>
      </c>
      <c r="V182" s="299"/>
      <c r="W182" s="299"/>
      <c r="X182" s="299"/>
      <c r="Y182" s="299"/>
      <c r="Z182" s="299"/>
      <c r="AA182" s="299"/>
      <c r="AB182" s="299"/>
      <c r="AC182" s="299"/>
    </row>
    <row r="183" spans="1:29" s="304" customFormat="1">
      <c r="A183" s="298">
        <v>44572</v>
      </c>
      <c r="B183" s="299" t="s">
        <v>124</v>
      </c>
      <c r="C183" s="299" t="s">
        <v>981</v>
      </c>
      <c r="D183" s="299" t="s">
        <v>225</v>
      </c>
      <c r="E183" s="299" t="s">
        <v>982</v>
      </c>
      <c r="F183" s="299"/>
      <c r="G183" s="299">
        <v>2</v>
      </c>
      <c r="H183" s="299">
        <v>2</v>
      </c>
      <c r="I183" s="299" t="s">
        <v>14</v>
      </c>
      <c r="J183" s="308" t="s">
        <v>983</v>
      </c>
      <c r="K183" s="301" t="s">
        <v>952</v>
      </c>
      <c r="L183" s="302">
        <v>41938</v>
      </c>
      <c r="M183" s="299" t="s">
        <v>14</v>
      </c>
      <c r="N183" s="299">
        <v>14</v>
      </c>
      <c r="O183" s="299">
        <v>56</v>
      </c>
      <c r="P183" s="299" t="s">
        <v>14</v>
      </c>
      <c r="Q183" s="299" t="s">
        <v>13</v>
      </c>
      <c r="R183" s="303"/>
      <c r="S183" s="303"/>
      <c r="T183" s="303"/>
      <c r="U183" s="173" t="str">
        <f t="shared" si="5"/>
        <v/>
      </c>
      <c r="V183" s="299" t="s">
        <v>14</v>
      </c>
      <c r="W183" s="299" t="s">
        <v>14</v>
      </c>
      <c r="X183" s="299" t="s">
        <v>14</v>
      </c>
      <c r="Y183" s="299" t="s">
        <v>14</v>
      </c>
      <c r="Z183" s="299" t="s">
        <v>14</v>
      </c>
      <c r="AA183" s="299" t="s">
        <v>14</v>
      </c>
      <c r="AB183" s="299" t="s">
        <v>14</v>
      </c>
      <c r="AC183" s="299"/>
    </row>
    <row r="184" spans="1:29" s="304" customFormat="1">
      <c r="A184" s="298">
        <v>44573</v>
      </c>
      <c r="B184" s="299" t="s">
        <v>121</v>
      </c>
      <c r="C184" s="299" t="s">
        <v>961</v>
      </c>
      <c r="D184" s="299" t="s">
        <v>225</v>
      </c>
      <c r="E184" s="299" t="s">
        <v>962</v>
      </c>
      <c r="F184" s="299"/>
      <c r="G184" s="299">
        <v>4</v>
      </c>
      <c r="H184" s="299">
        <v>1</v>
      </c>
      <c r="I184" s="299" t="s">
        <v>14</v>
      </c>
      <c r="J184" s="308" t="s">
        <v>963</v>
      </c>
      <c r="K184" s="301" t="s">
        <v>274</v>
      </c>
      <c r="L184" s="302">
        <v>42178</v>
      </c>
      <c r="M184" s="299" t="s">
        <v>14</v>
      </c>
      <c r="N184" s="299">
        <v>20</v>
      </c>
      <c r="O184" s="299">
        <v>80</v>
      </c>
      <c r="P184" s="299" t="s">
        <v>14</v>
      </c>
      <c r="Q184" s="299" t="s">
        <v>13</v>
      </c>
      <c r="R184" s="303"/>
      <c r="S184" s="303"/>
      <c r="T184" s="303"/>
      <c r="U184" s="173" t="str">
        <f t="shared" si="5"/>
        <v/>
      </c>
      <c r="V184" s="299" t="s">
        <v>14</v>
      </c>
      <c r="W184" s="299" t="s">
        <v>14</v>
      </c>
      <c r="X184" s="299" t="s">
        <v>14</v>
      </c>
      <c r="Y184" s="299" t="s">
        <v>14</v>
      </c>
      <c r="Z184" s="299" t="s">
        <v>14</v>
      </c>
      <c r="AA184" s="299" t="s">
        <v>14</v>
      </c>
      <c r="AB184" s="299" t="s">
        <v>14</v>
      </c>
      <c r="AC184" s="299"/>
    </row>
    <row r="185" spans="1:29" s="304" customFormat="1">
      <c r="A185" s="298">
        <v>44571</v>
      </c>
      <c r="B185" s="299" t="s">
        <v>1546</v>
      </c>
      <c r="C185" s="299" t="s">
        <v>1522</v>
      </c>
      <c r="D185" s="299" t="s">
        <v>225</v>
      </c>
      <c r="E185" s="299" t="s">
        <v>1598</v>
      </c>
      <c r="F185" s="299"/>
      <c r="G185" s="299">
        <v>3</v>
      </c>
      <c r="H185" s="299">
        <v>1</v>
      </c>
      <c r="I185" s="299" t="s">
        <v>13</v>
      </c>
      <c r="J185" s="301" t="s">
        <v>1523</v>
      </c>
      <c r="K185" s="301" t="s">
        <v>952</v>
      </c>
      <c r="L185" s="302">
        <v>42063</v>
      </c>
      <c r="M185" s="299"/>
      <c r="N185" s="299"/>
      <c r="O185" s="299"/>
      <c r="P185" s="299"/>
      <c r="Q185" s="299"/>
      <c r="R185" s="299"/>
      <c r="S185" s="299"/>
      <c r="T185" s="299"/>
      <c r="U185" s="173" t="str">
        <f t="shared" si="5"/>
        <v/>
      </c>
      <c r="V185" s="299"/>
      <c r="W185" s="299"/>
      <c r="X185" s="299"/>
      <c r="Y185" s="299"/>
      <c r="Z185" s="299"/>
      <c r="AA185" s="299"/>
      <c r="AB185" s="299"/>
      <c r="AC185" s="299"/>
    </row>
    <row r="186" spans="1:29" s="304" customFormat="1">
      <c r="A186" s="298">
        <v>44570</v>
      </c>
      <c r="B186" s="299" t="s">
        <v>124</v>
      </c>
      <c r="C186" s="299" t="s">
        <v>1420</v>
      </c>
      <c r="D186" s="299" t="s">
        <v>225</v>
      </c>
      <c r="E186" s="298" t="s">
        <v>1421</v>
      </c>
      <c r="F186" s="299"/>
      <c r="G186" s="299">
        <v>4</v>
      </c>
      <c r="H186" s="299">
        <v>1</v>
      </c>
      <c r="I186" s="299" t="s">
        <v>14</v>
      </c>
      <c r="J186" s="308" t="s">
        <v>1422</v>
      </c>
      <c r="K186" s="301" t="s">
        <v>952</v>
      </c>
      <c r="L186" s="302">
        <v>41909</v>
      </c>
      <c r="M186" s="299" t="s">
        <v>14</v>
      </c>
      <c r="N186" s="299">
        <v>14</v>
      </c>
      <c r="O186" s="299">
        <v>56</v>
      </c>
      <c r="P186" s="299" t="s">
        <v>14</v>
      </c>
      <c r="Q186" s="299" t="s">
        <v>13</v>
      </c>
      <c r="R186" s="303"/>
      <c r="S186" s="303"/>
      <c r="T186" s="303"/>
      <c r="U186" s="173" t="str">
        <f t="shared" si="5"/>
        <v/>
      </c>
      <c r="V186" s="299" t="s">
        <v>14</v>
      </c>
      <c r="W186" s="299" t="s">
        <v>14</v>
      </c>
      <c r="X186" s="299" t="s">
        <v>14</v>
      </c>
      <c r="Y186" s="299" t="s">
        <v>14</v>
      </c>
      <c r="Z186" s="299" t="s">
        <v>14</v>
      </c>
      <c r="AA186" s="299" t="s">
        <v>14</v>
      </c>
      <c r="AB186" s="299" t="s">
        <v>14</v>
      </c>
      <c r="AC186" s="299"/>
    </row>
    <row r="187" spans="1:29" s="304" customFormat="1">
      <c r="A187" s="298">
        <v>44574</v>
      </c>
      <c r="B187" s="299" t="s">
        <v>265</v>
      </c>
      <c r="C187" s="299" t="s">
        <v>1163</v>
      </c>
      <c r="D187" s="299" t="s">
        <v>226</v>
      </c>
      <c r="E187" s="299" t="s">
        <v>1164</v>
      </c>
      <c r="F187" s="299"/>
      <c r="G187" s="299">
        <v>2</v>
      </c>
      <c r="H187" s="299">
        <v>2</v>
      </c>
      <c r="I187" s="299" t="s">
        <v>14</v>
      </c>
      <c r="J187" s="308" t="s">
        <v>1165</v>
      </c>
      <c r="K187" s="301" t="s">
        <v>274</v>
      </c>
      <c r="L187" s="302">
        <v>42176</v>
      </c>
      <c r="M187" s="299" t="s">
        <v>14</v>
      </c>
      <c r="N187" s="299">
        <v>14</v>
      </c>
      <c r="O187" s="299">
        <v>56</v>
      </c>
      <c r="P187" s="299" t="s">
        <v>14</v>
      </c>
      <c r="Q187" s="299" t="s">
        <v>13</v>
      </c>
      <c r="R187" s="303"/>
      <c r="S187" s="303"/>
      <c r="T187" s="303"/>
      <c r="U187" s="173" t="str">
        <f t="shared" si="5"/>
        <v/>
      </c>
      <c r="V187" s="299" t="s">
        <v>14</v>
      </c>
      <c r="W187" s="299" t="s">
        <v>14</v>
      </c>
      <c r="X187" s="299" t="s">
        <v>14</v>
      </c>
      <c r="Y187" s="299" t="s">
        <v>14</v>
      </c>
      <c r="Z187" s="299" t="s">
        <v>14</v>
      </c>
      <c r="AA187" s="299" t="s">
        <v>14</v>
      </c>
      <c r="AB187" s="299" t="s">
        <v>14</v>
      </c>
      <c r="AC187" s="299"/>
    </row>
    <row r="188" spans="1:29" s="304" customFormat="1">
      <c r="A188" s="298">
        <v>44577</v>
      </c>
      <c r="B188" s="299" t="s">
        <v>1543</v>
      </c>
      <c r="C188" s="299" t="s">
        <v>1483</v>
      </c>
      <c r="D188" s="299" t="s">
        <v>225</v>
      </c>
      <c r="E188" s="299" t="s">
        <v>1561</v>
      </c>
      <c r="F188" s="299"/>
      <c r="G188" s="299">
        <v>3</v>
      </c>
      <c r="H188" s="299">
        <v>0</v>
      </c>
      <c r="I188" s="299" t="s">
        <v>14</v>
      </c>
      <c r="J188" s="301" t="s">
        <v>1484</v>
      </c>
      <c r="K188" s="301" t="s">
        <v>952</v>
      </c>
      <c r="L188" s="302">
        <v>41991</v>
      </c>
      <c r="M188" s="299" t="s">
        <v>13</v>
      </c>
      <c r="N188" s="299"/>
      <c r="O188" s="299"/>
      <c r="P188" s="299"/>
      <c r="Q188" s="299"/>
      <c r="R188" s="299"/>
      <c r="S188" s="299"/>
      <c r="T188" s="299"/>
      <c r="U188" s="173" t="str">
        <f t="shared" si="5"/>
        <v/>
      </c>
      <c r="V188" s="299"/>
      <c r="W188" s="299"/>
      <c r="X188" s="299"/>
      <c r="Y188" s="299"/>
      <c r="Z188" s="299"/>
      <c r="AA188" s="299"/>
      <c r="AB188" s="299"/>
      <c r="AC188" s="299"/>
    </row>
    <row r="189" spans="1:29" s="304" customFormat="1">
      <c r="A189" s="298">
        <v>44578</v>
      </c>
      <c r="B189" s="299" t="s">
        <v>1543</v>
      </c>
      <c r="C189" s="299" t="s">
        <v>1485</v>
      </c>
      <c r="D189" s="299" t="s">
        <v>225</v>
      </c>
      <c r="E189" s="299" t="s">
        <v>1579</v>
      </c>
      <c r="F189" s="299"/>
      <c r="G189" s="299">
        <v>2</v>
      </c>
      <c r="H189" s="299">
        <v>2</v>
      </c>
      <c r="I189" s="299" t="s">
        <v>14</v>
      </c>
      <c r="J189" s="301" t="s">
        <v>1486</v>
      </c>
      <c r="K189" s="301" t="s">
        <v>952</v>
      </c>
      <c r="L189" s="302">
        <v>41934</v>
      </c>
      <c r="M189" s="299" t="s">
        <v>13</v>
      </c>
      <c r="N189" s="299"/>
      <c r="O189" s="299"/>
      <c r="P189" s="299"/>
      <c r="Q189" s="299"/>
      <c r="R189" s="299"/>
      <c r="S189" s="299"/>
      <c r="T189" s="299"/>
      <c r="U189" s="173" t="str">
        <f t="shared" si="5"/>
        <v/>
      </c>
      <c r="V189" s="299"/>
      <c r="W189" s="299"/>
      <c r="X189" s="299"/>
      <c r="Y189" s="299"/>
      <c r="Z189" s="299"/>
      <c r="AA189" s="299"/>
      <c r="AB189" s="299"/>
      <c r="AC189" s="299"/>
    </row>
    <row r="190" spans="1:29" s="304" customFormat="1">
      <c r="A190" s="298">
        <v>44572</v>
      </c>
      <c r="B190" s="299" t="s">
        <v>1130</v>
      </c>
      <c r="C190" s="299" t="s">
        <v>1131</v>
      </c>
      <c r="D190" s="299" t="s">
        <v>226</v>
      </c>
      <c r="E190" s="299" t="s">
        <v>1132</v>
      </c>
      <c r="F190" s="299"/>
      <c r="G190" s="299">
        <v>2</v>
      </c>
      <c r="H190" s="299">
        <v>4</v>
      </c>
      <c r="I190" s="299" t="s">
        <v>14</v>
      </c>
      <c r="J190" s="309" t="s">
        <v>1133</v>
      </c>
      <c r="K190" s="301" t="s">
        <v>274</v>
      </c>
      <c r="L190" s="302">
        <v>42184</v>
      </c>
      <c r="M190" s="299" t="s">
        <v>14</v>
      </c>
      <c r="N190" s="299">
        <v>14</v>
      </c>
      <c r="O190" s="299">
        <v>60</v>
      </c>
      <c r="P190" s="299" t="s">
        <v>14</v>
      </c>
      <c r="Q190" s="299" t="s">
        <v>14</v>
      </c>
      <c r="R190" s="299" t="s">
        <v>14</v>
      </c>
      <c r="S190" s="299">
        <v>7</v>
      </c>
      <c r="T190" s="299">
        <v>30</v>
      </c>
      <c r="U190" s="173">
        <f t="shared" si="5"/>
        <v>0.33333333333333331</v>
      </c>
      <c r="V190" s="299" t="s">
        <v>14</v>
      </c>
      <c r="W190" s="299" t="s">
        <v>14</v>
      </c>
      <c r="X190" s="299" t="s">
        <v>14</v>
      </c>
      <c r="Y190" s="299" t="s">
        <v>14</v>
      </c>
      <c r="Z190" s="299" t="s">
        <v>14</v>
      </c>
      <c r="AA190" s="299" t="s">
        <v>14</v>
      </c>
      <c r="AB190" s="299" t="s">
        <v>14</v>
      </c>
      <c r="AC190" s="299"/>
    </row>
    <row r="191" spans="1:29" s="304" customFormat="1">
      <c r="A191" s="298">
        <v>44571</v>
      </c>
      <c r="B191" s="299" t="s">
        <v>964</v>
      </c>
      <c r="C191" s="299" t="s">
        <v>965</v>
      </c>
      <c r="D191" s="299" t="s">
        <v>225</v>
      </c>
      <c r="E191" s="299" t="s">
        <v>966</v>
      </c>
      <c r="F191" s="299"/>
      <c r="G191" s="299">
        <v>4</v>
      </c>
      <c r="H191" s="299">
        <v>0</v>
      </c>
      <c r="I191" s="299" t="s">
        <v>14</v>
      </c>
      <c r="J191" s="308" t="s">
        <v>967</v>
      </c>
      <c r="K191" s="301" t="s">
        <v>952</v>
      </c>
      <c r="L191" s="302">
        <v>41867</v>
      </c>
      <c r="M191" s="299" t="s">
        <v>14</v>
      </c>
      <c r="N191" s="299">
        <v>21</v>
      </c>
      <c r="O191" s="299">
        <v>90</v>
      </c>
      <c r="P191" s="299" t="s">
        <v>14</v>
      </c>
      <c r="Q191" s="299" t="s">
        <v>13</v>
      </c>
      <c r="R191" s="303"/>
      <c r="S191" s="303"/>
      <c r="T191" s="303"/>
      <c r="U191" s="173" t="str">
        <f t="shared" si="5"/>
        <v/>
      </c>
      <c r="V191" s="299" t="s">
        <v>14</v>
      </c>
      <c r="W191" s="299" t="s">
        <v>14</v>
      </c>
      <c r="X191" s="299" t="s">
        <v>14</v>
      </c>
      <c r="Y191" s="299" t="s">
        <v>14</v>
      </c>
      <c r="Z191" s="299" t="s">
        <v>14</v>
      </c>
      <c r="AA191" s="299" t="s">
        <v>14</v>
      </c>
      <c r="AB191" s="299" t="s">
        <v>14</v>
      </c>
      <c r="AC191" s="299"/>
    </row>
    <row r="192" spans="1:29" s="304" customFormat="1">
      <c r="A192" s="298">
        <v>44577</v>
      </c>
      <c r="B192" s="299" t="s">
        <v>1013</v>
      </c>
      <c r="C192" s="299" t="s">
        <v>1124</v>
      </c>
      <c r="D192" s="299" t="s">
        <v>225</v>
      </c>
      <c r="E192" s="299" t="s">
        <v>1125</v>
      </c>
      <c r="F192" s="299"/>
      <c r="G192" s="299">
        <v>2</v>
      </c>
      <c r="H192" s="299">
        <v>2</v>
      </c>
      <c r="I192" s="299" t="s">
        <v>14</v>
      </c>
      <c r="J192" s="308" t="s">
        <v>1126</v>
      </c>
      <c r="K192" s="301" t="s">
        <v>952</v>
      </c>
      <c r="L192" s="302">
        <v>42049</v>
      </c>
      <c r="M192" s="299" t="s">
        <v>14</v>
      </c>
      <c r="N192" s="299">
        <v>21</v>
      </c>
      <c r="O192" s="299">
        <v>90</v>
      </c>
      <c r="P192" s="299" t="s">
        <v>14</v>
      </c>
      <c r="Q192" s="299" t="s">
        <v>13</v>
      </c>
      <c r="R192" s="303"/>
      <c r="S192" s="303"/>
      <c r="T192" s="303"/>
      <c r="U192" s="173" t="str">
        <f t="shared" si="5"/>
        <v/>
      </c>
      <c r="V192" s="299" t="s">
        <v>14</v>
      </c>
      <c r="W192" s="299" t="s">
        <v>14</v>
      </c>
      <c r="X192" s="299" t="s">
        <v>14</v>
      </c>
      <c r="Y192" s="299" t="s">
        <v>14</v>
      </c>
      <c r="Z192" s="299" t="s">
        <v>14</v>
      </c>
      <c r="AA192" s="299" t="s">
        <v>14</v>
      </c>
      <c r="AB192" s="299" t="s">
        <v>14</v>
      </c>
      <c r="AC192" s="299"/>
    </row>
    <row r="193" spans="1:29" s="304" customFormat="1">
      <c r="A193" s="298">
        <v>44578</v>
      </c>
      <c r="B193" s="299" t="s">
        <v>105</v>
      </c>
      <c r="C193" s="299" t="s">
        <v>1353</v>
      </c>
      <c r="D193" s="299" t="s">
        <v>226</v>
      </c>
      <c r="E193" s="298" t="s">
        <v>1354</v>
      </c>
      <c r="F193" s="299"/>
      <c r="G193" s="299">
        <v>5</v>
      </c>
      <c r="H193" s="299">
        <v>0</v>
      </c>
      <c r="I193" s="299" t="s">
        <v>14</v>
      </c>
      <c r="J193" s="308" t="s">
        <v>1355</v>
      </c>
      <c r="K193" s="301" t="s">
        <v>952</v>
      </c>
      <c r="L193" s="302">
        <v>42023</v>
      </c>
      <c r="M193" s="299" t="s">
        <v>14</v>
      </c>
      <c r="N193" s="299">
        <v>14</v>
      </c>
      <c r="O193" s="299">
        <v>56</v>
      </c>
      <c r="P193" s="299" t="s">
        <v>14</v>
      </c>
      <c r="Q193" s="299" t="s">
        <v>13</v>
      </c>
      <c r="R193" s="303"/>
      <c r="S193" s="303"/>
      <c r="T193" s="303"/>
      <c r="U193" s="173" t="str">
        <f t="shared" si="5"/>
        <v/>
      </c>
      <c r="V193" s="299" t="s">
        <v>14</v>
      </c>
      <c r="W193" s="299" t="s">
        <v>14</v>
      </c>
      <c r="X193" s="299" t="s">
        <v>14</v>
      </c>
      <c r="Y193" s="299" t="s">
        <v>14</v>
      </c>
      <c r="Z193" s="299" t="s">
        <v>14</v>
      </c>
      <c r="AA193" s="299" t="s">
        <v>14</v>
      </c>
      <c r="AB193" s="299" t="s">
        <v>14</v>
      </c>
      <c r="AC193" s="299"/>
    </row>
    <row r="194" spans="1:29" s="304" customFormat="1">
      <c r="A194" s="298">
        <v>44578</v>
      </c>
      <c r="B194" s="299" t="s">
        <v>105</v>
      </c>
      <c r="C194" s="299" t="s">
        <v>1169</v>
      </c>
      <c r="D194" s="299" t="s">
        <v>226</v>
      </c>
      <c r="E194" s="299" t="s">
        <v>1170</v>
      </c>
      <c r="F194" s="299"/>
      <c r="G194" s="299">
        <v>4</v>
      </c>
      <c r="H194" s="299">
        <v>0</v>
      </c>
      <c r="I194" s="299" t="s">
        <v>14</v>
      </c>
      <c r="J194" s="310" t="s">
        <v>1171</v>
      </c>
      <c r="K194" s="301" t="s">
        <v>952</v>
      </c>
      <c r="L194" s="302">
        <v>41896</v>
      </c>
      <c r="M194" s="299" t="s">
        <v>14</v>
      </c>
      <c r="N194" s="299">
        <v>14</v>
      </c>
      <c r="O194" s="299">
        <v>56</v>
      </c>
      <c r="P194" s="299" t="s">
        <v>14</v>
      </c>
      <c r="Q194" s="299" t="s">
        <v>13</v>
      </c>
      <c r="R194" s="303"/>
      <c r="S194" s="303"/>
      <c r="T194" s="303"/>
      <c r="U194" s="173" t="str">
        <f t="shared" si="5"/>
        <v/>
      </c>
      <c r="V194" s="299" t="s">
        <v>14</v>
      </c>
      <c r="W194" s="299" t="s">
        <v>14</v>
      </c>
      <c r="X194" s="299" t="s">
        <v>14</v>
      </c>
      <c r="Y194" s="299" t="s">
        <v>14</v>
      </c>
      <c r="Z194" s="299" t="s">
        <v>14</v>
      </c>
      <c r="AA194" s="299" t="s">
        <v>14</v>
      </c>
      <c r="AB194" s="299" t="s">
        <v>14</v>
      </c>
      <c r="AC194" s="299"/>
    </row>
    <row r="195" spans="1:29" s="304" customFormat="1">
      <c r="A195" s="298">
        <v>44572</v>
      </c>
      <c r="B195" s="299" t="s">
        <v>1120</v>
      </c>
      <c r="C195" s="299" t="s">
        <v>1528</v>
      </c>
      <c r="D195" s="299" t="s">
        <v>226</v>
      </c>
      <c r="E195" s="299" t="s">
        <v>1529</v>
      </c>
      <c r="F195" s="299"/>
      <c r="G195" s="299">
        <v>3</v>
      </c>
      <c r="H195" s="299">
        <v>1</v>
      </c>
      <c r="I195" s="299" t="s">
        <v>14</v>
      </c>
      <c r="J195" s="301" t="s">
        <v>1530</v>
      </c>
      <c r="K195" s="301" t="s">
        <v>952</v>
      </c>
      <c r="L195" s="302">
        <v>41933</v>
      </c>
      <c r="M195" s="299" t="s">
        <v>13</v>
      </c>
      <c r="N195" s="299"/>
      <c r="O195" s="299"/>
      <c r="P195" s="299"/>
      <c r="Q195" s="299"/>
      <c r="R195" s="299"/>
      <c r="S195" s="299"/>
      <c r="T195" s="299"/>
      <c r="U195" s="173" t="str">
        <f t="shared" ref="U195:U202" si="6">IF(R195="Yes",MAX(S195/(S195+N195),T195/(T195+O195)),"")</f>
        <v/>
      </c>
      <c r="V195" s="299"/>
      <c r="W195" s="299"/>
      <c r="X195" s="299"/>
      <c r="Y195" s="299"/>
      <c r="Z195" s="299"/>
      <c r="AA195" s="299"/>
      <c r="AB195" s="299"/>
      <c r="AC195" s="299"/>
    </row>
    <row r="196" spans="1:29" s="304" customFormat="1">
      <c r="A196" s="298">
        <v>44566</v>
      </c>
      <c r="B196" s="299" t="s">
        <v>130</v>
      </c>
      <c r="C196" s="299" t="s">
        <v>1300</v>
      </c>
      <c r="D196" s="299" t="s">
        <v>226</v>
      </c>
      <c r="E196" s="299" t="s">
        <v>1602</v>
      </c>
      <c r="F196" s="299"/>
      <c r="G196" s="299">
        <v>2</v>
      </c>
      <c r="H196" s="299">
        <v>2</v>
      </c>
      <c r="I196" s="299" t="s">
        <v>14</v>
      </c>
      <c r="J196" s="308" t="s">
        <v>1301</v>
      </c>
      <c r="K196" s="301" t="s">
        <v>274</v>
      </c>
      <c r="L196" s="302">
        <v>42126</v>
      </c>
      <c r="M196" s="299" t="s">
        <v>14</v>
      </c>
      <c r="N196" s="299">
        <v>16</v>
      </c>
      <c r="O196" s="299">
        <v>70</v>
      </c>
      <c r="P196" s="299" t="s">
        <v>14</v>
      </c>
      <c r="Q196" s="299" t="s">
        <v>13</v>
      </c>
      <c r="R196" s="303"/>
      <c r="S196" s="303"/>
      <c r="T196" s="303"/>
      <c r="U196" s="173" t="str">
        <f t="shared" si="6"/>
        <v/>
      </c>
      <c r="V196" s="299" t="s">
        <v>14</v>
      </c>
      <c r="W196" s="299" t="s">
        <v>14</v>
      </c>
      <c r="X196" s="299" t="s">
        <v>14</v>
      </c>
      <c r="Y196" s="299" t="s">
        <v>14</v>
      </c>
      <c r="Z196" s="299" t="s">
        <v>14</v>
      </c>
      <c r="AA196" s="299" t="s">
        <v>14</v>
      </c>
      <c r="AB196" s="299" t="s">
        <v>14</v>
      </c>
      <c r="AC196" s="299"/>
    </row>
    <row r="197" spans="1:29" s="304" customFormat="1">
      <c r="A197" s="298">
        <v>44566</v>
      </c>
      <c r="B197" s="299" t="s">
        <v>1046</v>
      </c>
      <c r="C197" s="299" t="s">
        <v>1156</v>
      </c>
      <c r="D197" s="299" t="s">
        <v>225</v>
      </c>
      <c r="E197" s="299" t="s">
        <v>1157</v>
      </c>
      <c r="F197" s="299"/>
      <c r="G197" s="299">
        <v>4</v>
      </c>
      <c r="H197" s="299">
        <v>0</v>
      </c>
      <c r="I197" s="299" t="s">
        <v>14</v>
      </c>
      <c r="J197" s="308" t="s">
        <v>1158</v>
      </c>
      <c r="K197" s="301" t="s">
        <v>274</v>
      </c>
      <c r="L197" s="302">
        <v>42129</v>
      </c>
      <c r="M197" s="299" t="s">
        <v>14</v>
      </c>
      <c r="N197" s="299">
        <v>14</v>
      </c>
      <c r="O197" s="299">
        <v>60</v>
      </c>
      <c r="P197" s="299" t="s">
        <v>14</v>
      </c>
      <c r="Q197" s="299" t="s">
        <v>13</v>
      </c>
      <c r="R197" s="303"/>
      <c r="S197" s="303"/>
      <c r="T197" s="303"/>
      <c r="U197" s="173" t="str">
        <f t="shared" si="6"/>
        <v/>
      </c>
      <c r="V197" s="299" t="s">
        <v>14</v>
      </c>
      <c r="W197" s="299" t="s">
        <v>14</v>
      </c>
      <c r="X197" s="299" t="s">
        <v>14</v>
      </c>
      <c r="Y197" s="299" t="s">
        <v>14</v>
      </c>
      <c r="Z197" s="299" t="s">
        <v>14</v>
      </c>
      <c r="AA197" s="299" t="s">
        <v>14</v>
      </c>
      <c r="AB197" s="299" t="s">
        <v>14</v>
      </c>
      <c r="AC197" s="299"/>
    </row>
    <row r="198" spans="1:29" s="304" customFormat="1">
      <c r="A198" s="298">
        <v>44577</v>
      </c>
      <c r="B198" s="299" t="s">
        <v>105</v>
      </c>
      <c r="C198" s="299" t="s">
        <v>1192</v>
      </c>
      <c r="D198" s="299" t="s">
        <v>226</v>
      </c>
      <c r="E198" s="299" t="s">
        <v>1538</v>
      </c>
      <c r="F198" s="299"/>
      <c r="G198" s="299">
        <v>4</v>
      </c>
      <c r="H198" s="299">
        <v>1</v>
      </c>
      <c r="I198" s="299" t="s">
        <v>14</v>
      </c>
      <c r="J198" s="308" t="s">
        <v>1193</v>
      </c>
      <c r="K198" s="301" t="s">
        <v>274</v>
      </c>
      <c r="L198" s="302">
        <v>42117</v>
      </c>
      <c r="M198" s="299" t="s">
        <v>14</v>
      </c>
      <c r="N198" s="299">
        <v>14</v>
      </c>
      <c r="O198" s="299">
        <v>56</v>
      </c>
      <c r="P198" s="299" t="s">
        <v>14</v>
      </c>
      <c r="Q198" s="299" t="s">
        <v>13</v>
      </c>
      <c r="R198" s="303"/>
      <c r="S198" s="303"/>
      <c r="T198" s="303"/>
      <c r="U198" s="173" t="str">
        <f t="shared" si="6"/>
        <v/>
      </c>
      <c r="V198" s="299" t="s">
        <v>14</v>
      </c>
      <c r="W198" s="299" t="s">
        <v>14</v>
      </c>
      <c r="X198" s="299" t="s">
        <v>14</v>
      </c>
      <c r="Y198" s="299" t="s">
        <v>14</v>
      </c>
      <c r="Z198" s="299" t="s">
        <v>14</v>
      </c>
      <c r="AA198" s="299" t="s">
        <v>14</v>
      </c>
      <c r="AB198" s="299" t="s">
        <v>14</v>
      </c>
      <c r="AC198" s="299"/>
    </row>
    <row r="199" spans="1:29" s="304" customFormat="1">
      <c r="A199" s="298">
        <v>44564</v>
      </c>
      <c r="B199" s="299" t="s">
        <v>1556</v>
      </c>
      <c r="C199" s="299" t="s">
        <v>1501</v>
      </c>
      <c r="D199" s="299" t="s">
        <v>225</v>
      </c>
      <c r="E199" s="299" t="s">
        <v>1580</v>
      </c>
      <c r="F199" s="299"/>
      <c r="G199" s="299">
        <v>2</v>
      </c>
      <c r="H199" s="299">
        <v>2</v>
      </c>
      <c r="I199" s="299" t="s">
        <v>14</v>
      </c>
      <c r="J199" s="301" t="s">
        <v>1502</v>
      </c>
      <c r="K199" s="301" t="s">
        <v>952</v>
      </c>
      <c r="L199" s="302">
        <v>41923</v>
      </c>
      <c r="M199" s="299" t="s">
        <v>13</v>
      </c>
      <c r="N199" s="299"/>
      <c r="O199" s="299"/>
      <c r="P199" s="299"/>
      <c r="Q199" s="299"/>
      <c r="R199" s="299"/>
      <c r="S199" s="299"/>
      <c r="T199" s="299"/>
      <c r="U199" s="173" t="str">
        <f t="shared" si="6"/>
        <v/>
      </c>
      <c r="V199" s="299"/>
      <c r="W199" s="299"/>
      <c r="X199" s="299"/>
      <c r="Y199" s="299"/>
      <c r="Z199" s="299"/>
      <c r="AA199" s="299"/>
      <c r="AB199" s="299"/>
      <c r="AC199" s="299"/>
    </row>
    <row r="200" spans="1:29" s="304" customFormat="1">
      <c r="A200" s="298">
        <v>44566</v>
      </c>
      <c r="B200" s="299" t="s">
        <v>108</v>
      </c>
      <c r="C200" s="299" t="s">
        <v>1183</v>
      </c>
      <c r="D200" s="299" t="s">
        <v>226</v>
      </c>
      <c r="E200" s="299" t="s">
        <v>1184</v>
      </c>
      <c r="F200" s="299"/>
      <c r="G200" s="299">
        <v>7</v>
      </c>
      <c r="H200" s="299">
        <v>0</v>
      </c>
      <c r="I200" s="299" t="s">
        <v>14</v>
      </c>
      <c r="J200" s="308" t="s">
        <v>1185</v>
      </c>
      <c r="K200" s="301" t="s">
        <v>952</v>
      </c>
      <c r="L200" s="302">
        <v>41933</v>
      </c>
      <c r="M200" s="299" t="s">
        <v>14</v>
      </c>
      <c r="N200" s="299">
        <v>12</v>
      </c>
      <c r="O200" s="299">
        <v>50</v>
      </c>
      <c r="P200" s="299" t="s">
        <v>14</v>
      </c>
      <c r="Q200" s="299" t="s">
        <v>14</v>
      </c>
      <c r="R200" s="299" t="s">
        <v>14</v>
      </c>
      <c r="S200" s="299">
        <v>6</v>
      </c>
      <c r="T200" s="299">
        <v>25</v>
      </c>
      <c r="U200" s="173">
        <f t="shared" si="6"/>
        <v>0.33333333333333331</v>
      </c>
      <c r="V200" s="299" t="s">
        <v>14</v>
      </c>
      <c r="W200" s="299" t="s">
        <v>14</v>
      </c>
      <c r="X200" s="299" t="s">
        <v>14</v>
      </c>
      <c r="Y200" s="299" t="s">
        <v>14</v>
      </c>
      <c r="Z200" s="299" t="s">
        <v>14</v>
      </c>
      <c r="AA200" s="299" t="s">
        <v>14</v>
      </c>
      <c r="AB200" s="299" t="s">
        <v>14</v>
      </c>
      <c r="AC200" s="299"/>
    </row>
    <row r="201" spans="1:29" s="304" customFormat="1">
      <c r="A201" s="298">
        <v>44572</v>
      </c>
      <c r="B201" s="299" t="s">
        <v>141</v>
      </c>
      <c r="C201" s="299" t="s">
        <v>1542</v>
      </c>
      <c r="D201" s="299" t="s">
        <v>225</v>
      </c>
      <c r="E201" s="299" t="s">
        <v>1276</v>
      </c>
      <c r="F201" s="299"/>
      <c r="G201" s="299">
        <v>4</v>
      </c>
      <c r="H201" s="299">
        <v>1</v>
      </c>
      <c r="I201" s="299" t="s">
        <v>14</v>
      </c>
      <c r="J201" s="308" t="s">
        <v>1277</v>
      </c>
      <c r="K201" s="301" t="s">
        <v>952</v>
      </c>
      <c r="L201" s="302">
        <v>41978</v>
      </c>
      <c r="M201" s="299" t="s">
        <v>14</v>
      </c>
      <c r="N201" s="299">
        <v>15</v>
      </c>
      <c r="O201" s="299">
        <v>60</v>
      </c>
      <c r="P201" s="299" t="s">
        <v>14</v>
      </c>
      <c r="Q201" s="299" t="s">
        <v>14</v>
      </c>
      <c r="R201" s="299" t="s">
        <v>14</v>
      </c>
      <c r="S201" s="299">
        <v>5</v>
      </c>
      <c r="T201" s="299">
        <v>20</v>
      </c>
      <c r="U201" s="173">
        <f t="shared" si="6"/>
        <v>0.25</v>
      </c>
      <c r="V201" s="299" t="s">
        <v>14</v>
      </c>
      <c r="W201" s="299" t="s">
        <v>14</v>
      </c>
      <c r="X201" s="299" t="s">
        <v>14</v>
      </c>
      <c r="Y201" s="299" t="s">
        <v>14</v>
      </c>
      <c r="Z201" s="299" t="s">
        <v>14</v>
      </c>
      <c r="AA201" s="299" t="s">
        <v>14</v>
      </c>
      <c r="AB201" s="299" t="s">
        <v>14</v>
      </c>
      <c r="AC201" s="299"/>
    </row>
    <row r="202" spans="1:29" s="304" customFormat="1">
      <c r="A202" s="298">
        <v>44574</v>
      </c>
      <c r="B202" s="299" t="s">
        <v>105</v>
      </c>
      <c r="C202" s="299" t="s">
        <v>1257</v>
      </c>
      <c r="D202" s="299" t="s">
        <v>225</v>
      </c>
      <c r="E202" s="308" t="s">
        <v>1258</v>
      </c>
      <c r="F202" s="299"/>
      <c r="G202" s="299">
        <v>8</v>
      </c>
      <c r="H202" s="299">
        <v>1</v>
      </c>
      <c r="I202" s="299" t="s">
        <v>14</v>
      </c>
      <c r="J202" s="308" t="s">
        <v>1259</v>
      </c>
      <c r="K202" s="301" t="s">
        <v>274</v>
      </c>
      <c r="L202" s="302">
        <v>42160</v>
      </c>
      <c r="M202" s="299" t="s">
        <v>14</v>
      </c>
      <c r="N202" s="299">
        <v>14</v>
      </c>
      <c r="O202" s="299">
        <v>56</v>
      </c>
      <c r="P202" s="299" t="s">
        <v>14</v>
      </c>
      <c r="Q202" s="299" t="s">
        <v>13</v>
      </c>
      <c r="R202" s="303"/>
      <c r="S202" s="303"/>
      <c r="T202" s="303"/>
      <c r="U202" s="173" t="str">
        <f t="shared" si="6"/>
        <v/>
      </c>
      <c r="V202" s="299" t="s">
        <v>14</v>
      </c>
      <c r="W202" s="299" t="s">
        <v>14</v>
      </c>
      <c r="X202" s="299" t="s">
        <v>14</v>
      </c>
      <c r="Y202" s="299" t="s">
        <v>14</v>
      </c>
      <c r="Z202" s="299" t="s">
        <v>14</v>
      </c>
      <c r="AA202" s="299" t="s">
        <v>14</v>
      </c>
      <c r="AB202" s="299" t="s">
        <v>14</v>
      </c>
      <c r="AC202" s="299"/>
    </row>
  </sheetData>
  <autoFilter ref="A2:AD202" xr:uid="{00000000-0009-0000-0000-000006000000}"/>
  <mergeCells count="26">
    <mergeCell ref="AC1:AC2"/>
    <mergeCell ref="W1:W2"/>
    <mergeCell ref="X1:X2"/>
    <mergeCell ref="Y1:Y2"/>
    <mergeCell ref="Z1:Z2"/>
    <mergeCell ref="AA1:AA2"/>
    <mergeCell ref="AB1:AB2"/>
    <mergeCell ref="V1:V2"/>
    <mergeCell ref="F1:F2"/>
    <mergeCell ref="G1:H1"/>
    <mergeCell ref="I1:I2"/>
    <mergeCell ref="J1:J2"/>
    <mergeCell ref="L1:L2"/>
    <mergeCell ref="M1:M2"/>
    <mergeCell ref="N1:O1"/>
    <mergeCell ref="P1:P2"/>
    <mergeCell ref="Q1:Q2"/>
    <mergeCell ref="R1:R2"/>
    <mergeCell ref="S1:T1"/>
    <mergeCell ref="U1:U2"/>
    <mergeCell ref="K1:K2"/>
    <mergeCell ref="E1:E2"/>
    <mergeCell ref="A1:A2"/>
    <mergeCell ref="B1:B2"/>
    <mergeCell ref="C1:C2"/>
    <mergeCell ref="D1:D2"/>
  </mergeCells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2"/>
  <sheetViews>
    <sheetView zoomScale="115" zoomScaleNormal="115" workbookViewId="0">
      <selection activeCell="F18" sqref="F18"/>
    </sheetView>
  </sheetViews>
  <sheetFormatPr defaultColWidth="10" defaultRowHeight="15"/>
  <cols>
    <col min="1" max="2" width="30.875" style="54" customWidth="1"/>
    <col min="3" max="3" width="10" style="54"/>
    <col min="4" max="4" width="22.5" style="54" customWidth="1"/>
    <col min="5" max="5" width="16.5" style="54" customWidth="1"/>
    <col min="6" max="7" width="15.125" style="54" customWidth="1"/>
    <col min="8" max="16384" width="10" style="54"/>
  </cols>
  <sheetData>
    <row r="1" spans="1:8" ht="25.5">
      <c r="A1" s="63" t="s">
        <v>822</v>
      </c>
      <c r="B1" s="63" t="s">
        <v>851</v>
      </c>
      <c r="D1"/>
      <c r="E1"/>
      <c r="F1"/>
      <c r="G1"/>
      <c r="H1"/>
    </row>
    <row r="2" spans="1:8" ht="27" customHeight="1">
      <c r="A2" s="67" t="s">
        <v>828</v>
      </c>
      <c r="B2" s="59" t="s">
        <v>854</v>
      </c>
    </row>
    <row r="3" spans="1:8">
      <c r="A3" s="60" t="s">
        <v>88</v>
      </c>
      <c r="B3" s="59" t="s">
        <v>821</v>
      </c>
    </row>
    <row r="4" spans="1:8" ht="24.95" customHeight="1" thickBot="1">
      <c r="A4" s="60" t="s">
        <v>17</v>
      </c>
      <c r="B4" s="59" t="s">
        <v>853</v>
      </c>
    </row>
    <row r="5" spans="1:8">
      <c r="A5" s="60" t="s">
        <v>820</v>
      </c>
      <c r="B5" s="58" t="s">
        <v>852</v>
      </c>
      <c r="D5" s="288" t="s">
        <v>101</v>
      </c>
      <c r="E5" s="453" t="s">
        <v>802</v>
      </c>
      <c r="F5" s="453"/>
      <c r="G5" s="453" t="s">
        <v>102</v>
      </c>
      <c r="H5" s="454"/>
    </row>
    <row r="6" spans="1:8">
      <c r="A6" s="60" t="s">
        <v>855</v>
      </c>
      <c r="B6" s="58">
        <v>0</v>
      </c>
      <c r="D6" s="289" t="s">
        <v>1664</v>
      </c>
      <c r="E6" s="285" t="s">
        <v>255</v>
      </c>
      <c r="F6" s="285" t="s">
        <v>274</v>
      </c>
      <c r="G6" s="285" t="s">
        <v>274</v>
      </c>
      <c r="H6" s="286" t="s">
        <v>952</v>
      </c>
    </row>
    <row r="7" spans="1:8">
      <c r="A7" s="60" t="s">
        <v>856</v>
      </c>
      <c r="B7" s="58">
        <v>0</v>
      </c>
      <c r="D7" s="289" t="s">
        <v>1663</v>
      </c>
      <c r="E7" s="10">
        <f>'Inst summary and ER calculation'!T41</f>
        <v>59438</v>
      </c>
      <c r="F7" s="10">
        <f>'Inst summary and ER calculation'!U41</f>
        <v>124444</v>
      </c>
      <c r="G7" s="131">
        <f>'Inst summary and ER calculation'!W41</f>
        <v>59438</v>
      </c>
      <c r="H7" s="290">
        <f>'Inst summary and ER calculation'!X41</f>
        <v>124444</v>
      </c>
    </row>
    <row r="8" spans="1:8">
      <c r="A8" s="60" t="s">
        <v>857</v>
      </c>
      <c r="B8" s="73">
        <f>'Inst summary and ER calculation'!$T$41+'Inst summary and ER calculation'!$U$41</f>
        <v>183882</v>
      </c>
      <c r="D8" s="291" t="s">
        <v>1670</v>
      </c>
      <c r="E8" s="287">
        <f>COUNTIFS('Monitoring Summary MS1'!$K:$K,E6,'Monitoring Summary MS1'!$M:$M,"Yes",'Monitoring Summary MS1'!$AA:$AA,"Yes")/COUNTIF('Monitoring Summary MS1'!$K:$K,E6)</f>
        <v>0.93</v>
      </c>
      <c r="F8" s="287">
        <f>COUNTIFS('Monitoring Summary MS1'!$K:$K,F6,'Monitoring Summary MS1'!$M:$M,"Yes",'Monitoring Summary MS1'!$AA:$AA,"Yes")/COUNTIF('Monitoring Summary MS1'!$K:$K,F6)</f>
        <v>0.83168316831683164</v>
      </c>
      <c r="G8" s="287">
        <f>COUNTIFS('Monitoring Summary MS2'!$K:$K,G6,'Monitoring Summary MS2'!$M:$M,"Yes",'Monitoring Summary MS2'!$AA:$AA,"Yes")/COUNTIF('Monitoring Summary MS2'!$K:$K,G6)</f>
        <v>0.82</v>
      </c>
      <c r="H8" s="292">
        <f>COUNTIFS('Monitoring Summary MS2'!$K:$K,H6,'Monitoring Summary MS2'!$M:$M,"Yes",'Monitoring Summary MS2'!$AA:$AA,"Yes")/COUNTIF('Monitoring Summary MS2'!$K:$K,H6)</f>
        <v>0.74</v>
      </c>
    </row>
    <row r="9" spans="1:8">
      <c r="A9" s="60" t="s">
        <v>858</v>
      </c>
      <c r="B9" s="73">
        <f>'Inst summary and ER calculation'!$W$41+'Inst summary and ER calculation'!$X$41</f>
        <v>183882</v>
      </c>
      <c r="D9" s="293" t="s">
        <v>1668</v>
      </c>
      <c r="E9" s="287">
        <f>COUNTIFS('Monitoring Summary MS1'!$K:$K,E6,'Monitoring Summary MS1'!$M:$M,"Yes",'Monitoring Summary MS1'!$W:$W,"Yes")/COUNTIF('Monitoring Summary MS1'!$K:$K,E6)</f>
        <v>0.93</v>
      </c>
      <c r="F9" s="287">
        <f>COUNTIFS('Monitoring Summary MS1'!$K:$K,F6,'Monitoring Summary MS1'!$M:$M,"Yes",'Monitoring Summary MS1'!$W:$W,"Yes")/COUNTIF('Monitoring Summary MS1'!$K:$K,F6)</f>
        <v>0.83168316831683164</v>
      </c>
      <c r="G9" s="287">
        <f>COUNTIFS('Monitoring Summary MS2'!$K:$K,G6,'Monitoring Summary MS2'!$M:$M,"Yes",'Monitoring Summary MS2'!$W:$W,"Yes")/COUNTIF('Monitoring Summary MS2'!$K:$K,G6)</f>
        <v>0.82</v>
      </c>
      <c r="H9" s="292">
        <f>COUNTIFS('Monitoring Summary MS2'!$K:$K,H6,'Monitoring Summary MS2'!$M:$M,"Yes",'Monitoring Summary MS2'!$W:$W,"Yes")/COUNTIF('Monitoring Summary MS2'!$K:$K,H6)</f>
        <v>0.74</v>
      </c>
    </row>
    <row r="10" spans="1:8">
      <c r="A10" s="60" t="s">
        <v>859</v>
      </c>
      <c r="B10" s="73">
        <f>B8-B6</f>
        <v>183882</v>
      </c>
      <c r="D10" s="291" t="s">
        <v>1671</v>
      </c>
      <c r="E10" s="287">
        <f>COUNTIFS('Monitoring Summary MS1'!$K:$K,E6,'Monitoring Summary MS1'!$M:$M,"Yes",'Monitoring Summary MS1'!$Y:$Y,"Yes")/COUNTIF('Monitoring Summary MS1'!$K:$K,E6)</f>
        <v>0.93</v>
      </c>
      <c r="F10" s="287">
        <f>COUNTIFS('Monitoring Summary MS1'!$K:$K,F6,'Monitoring Summary MS1'!$M:$M,"Yes",'Monitoring Summary MS1'!$Y:$Y,"Yes")/COUNTIF('Monitoring Summary MS1'!$K:$K,F6)</f>
        <v>0.83168316831683164</v>
      </c>
      <c r="G10" s="287">
        <f>COUNTIFS('Monitoring Summary MS2'!$K:$K,G6,'Monitoring Summary MS2'!$M:$M,"Yes",'Monitoring Summary MS2'!$Y:$Y,"Yes")/COUNTIF('Monitoring Summary MS2'!$K:$K,G6)</f>
        <v>0.82</v>
      </c>
      <c r="H10" s="292">
        <f>COUNTIFS('Monitoring Summary MS2'!$K:$K,H6,'Monitoring Summary MS2'!$M:$M,"Yes",'Monitoring Summary MS2'!$Y:$Y,"Yes")/COUNTIF('Monitoring Summary MS2'!$K:$K,H6)</f>
        <v>0.74</v>
      </c>
    </row>
    <row r="11" spans="1:8" ht="15.75" thickBot="1">
      <c r="A11" s="60" t="s">
        <v>860</v>
      </c>
      <c r="B11" s="73">
        <f>B9-B7</f>
        <v>183882</v>
      </c>
      <c r="D11" s="294" t="s">
        <v>1669</v>
      </c>
      <c r="E11" s="295">
        <f>COUNTIFS('Monitoring Summary MS1'!$K:$K,E6,'Monitoring Summary MS1'!$M:$M,"Yes")/COUNTIF('Monitoring Summary MS1'!$K:$K,E6)</f>
        <v>0.93</v>
      </c>
      <c r="F11" s="295">
        <f>COUNTIFS('Monitoring Summary MS1'!$K:$K,F6,'Monitoring Summary MS1'!$M:$M,"Yes")/COUNTIF('Monitoring Summary MS1'!$K:$K,F6)</f>
        <v>0.83168316831683164</v>
      </c>
      <c r="G11" s="295">
        <f>COUNTIFS('Monitoring Summary MS2'!$K:$K,G6,'Monitoring Summary MS2'!$M:$M,"Yes")/COUNTIF('Monitoring Summary MS2'!$K:$K,G6)</f>
        <v>0.82</v>
      </c>
      <c r="H11" s="296">
        <f>COUNTIFS('Monitoring Summary MS2'!$K:$K,H6,'Monitoring Summary MS2'!$M:$M,"Yes")/COUNTIF('Monitoring Summary MS2'!$K:$K,H6)</f>
        <v>0.74</v>
      </c>
    </row>
    <row r="12" spans="1:8">
      <c r="A12" s="72"/>
      <c r="B12" s="71"/>
    </row>
    <row r="13" spans="1:8" ht="25.5">
      <c r="A13" s="63" t="s">
        <v>822</v>
      </c>
      <c r="B13" s="63" t="s">
        <v>851</v>
      </c>
    </row>
    <row r="14" spans="1:8">
      <c r="A14" s="67" t="s">
        <v>828</v>
      </c>
      <c r="B14" s="59" t="s">
        <v>850</v>
      </c>
    </row>
    <row r="15" spans="1:8">
      <c r="A15" s="60" t="s">
        <v>88</v>
      </c>
      <c r="B15" s="59" t="s">
        <v>849</v>
      </c>
    </row>
    <row r="16" spans="1:8" ht="25.5">
      <c r="A16" s="60" t="s">
        <v>17</v>
      </c>
      <c r="B16" s="59" t="s">
        <v>848</v>
      </c>
    </row>
    <row r="17" spans="1:11">
      <c r="A17" s="60" t="s">
        <v>820</v>
      </c>
      <c r="B17" s="58" t="s">
        <v>819</v>
      </c>
      <c r="I17" s="452"/>
    </row>
    <row r="18" spans="1:11">
      <c r="A18" s="60" t="s">
        <v>876</v>
      </c>
      <c r="B18" s="58">
        <v>0</v>
      </c>
      <c r="I18" s="452"/>
    </row>
    <row r="19" spans="1:11">
      <c r="A19" s="60" t="s">
        <v>847</v>
      </c>
      <c r="B19" s="58">
        <v>0</v>
      </c>
    </row>
    <row r="20" spans="1:11">
      <c r="A20" s="60" t="s">
        <v>877</v>
      </c>
      <c r="B20" s="66">
        <f>SUMPRODUCT('SDG Parameters Assessment'!E7:F7,'SDG Parameters Assessment'!E8:F8)/SUM('SDG Parameters Assessment'!E7:F7)</f>
        <v>0.86346309153707157</v>
      </c>
    </row>
    <row r="21" spans="1:11">
      <c r="A21" s="60" t="s">
        <v>846</v>
      </c>
      <c r="B21" s="66">
        <f>SUMPRODUCT('SDG Parameters Assessment'!G7:H7,'SDG Parameters Assessment'!G8:H8)/SUM('SDG Parameters Assessment'!G7:H7)</f>
        <v>0.76585919230811061</v>
      </c>
      <c r="I21" s="284"/>
      <c r="J21" s="284"/>
      <c r="K21" s="284"/>
    </row>
    <row r="22" spans="1:11" s="55" customFormat="1">
      <c r="A22" s="60" t="s">
        <v>878</v>
      </c>
      <c r="B22" s="66">
        <f>B20-B18</f>
        <v>0.86346309153707157</v>
      </c>
      <c r="J22" s="284"/>
    </row>
    <row r="23" spans="1:11" ht="15.75">
      <c r="A23" s="60" t="s">
        <v>845</v>
      </c>
      <c r="B23" s="66">
        <f>B21-B19</f>
        <v>0.76585919230811061</v>
      </c>
      <c r="D23"/>
      <c r="E23"/>
      <c r="F23"/>
      <c r="G23"/>
      <c r="H23"/>
    </row>
    <row r="24" spans="1:11">
      <c r="A24" s="55"/>
      <c r="B24" s="55"/>
    </row>
    <row r="25" spans="1:11" ht="25.5">
      <c r="A25" s="63" t="s">
        <v>822</v>
      </c>
      <c r="B25" s="63" t="s">
        <v>844</v>
      </c>
    </row>
    <row r="26" spans="1:11">
      <c r="A26" s="67" t="s">
        <v>828</v>
      </c>
      <c r="B26" s="70" t="s">
        <v>843</v>
      </c>
    </row>
    <row r="27" spans="1:11">
      <c r="A27" s="60" t="s">
        <v>88</v>
      </c>
      <c r="B27" s="59" t="s">
        <v>26</v>
      </c>
    </row>
    <row r="28" spans="1:11" ht="38.25">
      <c r="A28" s="60" t="s">
        <v>17</v>
      </c>
      <c r="B28" s="59" t="s">
        <v>842</v>
      </c>
    </row>
    <row r="29" spans="1:11">
      <c r="A29" s="57" t="s">
        <v>820</v>
      </c>
      <c r="B29" s="58" t="s">
        <v>819</v>
      </c>
    </row>
    <row r="30" spans="1:11">
      <c r="A30" s="68" t="s">
        <v>861</v>
      </c>
      <c r="B30" s="58">
        <v>0</v>
      </c>
    </row>
    <row r="31" spans="1:11">
      <c r="A31" s="68" t="s">
        <v>841</v>
      </c>
      <c r="B31" s="69">
        <v>0</v>
      </c>
    </row>
    <row r="32" spans="1:11">
      <c r="A32" s="68" t="s">
        <v>862</v>
      </c>
      <c r="B32" s="66">
        <f>SUMPRODUCT('SDG Parameters Assessment'!E7:F7,'SDG Parameters Assessment'!E9:F9)/SUM('SDG Parameters Assessment'!E7:F7)</f>
        <v>0.86346309153707157</v>
      </c>
    </row>
    <row r="33" spans="1:2">
      <c r="A33" s="68" t="s">
        <v>840</v>
      </c>
      <c r="B33" s="66">
        <f>SUMPRODUCT('SDG Parameters Assessment'!G7:H7,'SDG Parameters Assessment'!G9:H9)/SUM('SDG Parameters Assessment'!G7:H7)</f>
        <v>0.76585919230811061</v>
      </c>
    </row>
    <row r="34" spans="1:2">
      <c r="A34" s="68" t="s">
        <v>863</v>
      </c>
      <c r="B34" s="66">
        <f>B32-B30</f>
        <v>0.86346309153707157</v>
      </c>
    </row>
    <row r="35" spans="1:2">
      <c r="A35" s="68" t="s">
        <v>839</v>
      </c>
      <c r="B35" s="66">
        <f>B33-B31</f>
        <v>0.76585919230811061</v>
      </c>
    </row>
    <row r="37" spans="1:2" ht="38.25">
      <c r="A37" s="63" t="s">
        <v>822</v>
      </c>
      <c r="B37" s="63" t="s">
        <v>838</v>
      </c>
    </row>
    <row r="38" spans="1:2">
      <c r="A38" s="67" t="s">
        <v>828</v>
      </c>
      <c r="B38" s="59" t="s">
        <v>837</v>
      </c>
    </row>
    <row r="39" spans="1:2">
      <c r="A39" s="60" t="s">
        <v>88</v>
      </c>
      <c r="B39" s="59" t="s">
        <v>26</v>
      </c>
    </row>
    <row r="40" spans="1:2" s="55" customFormat="1" ht="25.5">
      <c r="A40" s="60" t="s">
        <v>17</v>
      </c>
      <c r="B40" s="59" t="s">
        <v>836</v>
      </c>
    </row>
    <row r="41" spans="1:2" s="55" customFormat="1">
      <c r="A41" s="57" t="s">
        <v>820</v>
      </c>
      <c r="B41" s="58" t="s">
        <v>819</v>
      </c>
    </row>
    <row r="42" spans="1:2" s="55" customFormat="1">
      <c r="A42" s="57" t="s">
        <v>864</v>
      </c>
      <c r="B42" s="58">
        <v>0</v>
      </c>
    </row>
    <row r="43" spans="1:2">
      <c r="A43" s="57" t="s">
        <v>835</v>
      </c>
      <c r="B43" s="58">
        <v>0</v>
      </c>
    </row>
    <row r="44" spans="1:2">
      <c r="A44" s="57" t="s">
        <v>865</v>
      </c>
      <c r="B44" s="297">
        <f>SUMPRODUCT('SDG Parameters Assessment'!E10:F10,'SDG Parameters Assessment'!E7:F7)/(SUM('SDG Parameters Assessment'!E7:F7))</f>
        <v>0.86346309153707157</v>
      </c>
    </row>
    <row r="45" spans="1:2">
      <c r="A45" s="57" t="s">
        <v>834</v>
      </c>
      <c r="B45" s="297">
        <f>SUMPRODUCT('SDG Parameters Assessment'!G10:H10,'SDG Parameters Assessment'!G7:H7)/(SUM('SDG Parameters Assessment'!G7:H7))</f>
        <v>0.76585919230811061</v>
      </c>
    </row>
    <row r="46" spans="1:2">
      <c r="A46" s="57" t="s">
        <v>866</v>
      </c>
      <c r="B46" s="65">
        <f>B44-B42</f>
        <v>0.86346309153707157</v>
      </c>
    </row>
    <row r="47" spans="1:2">
      <c r="A47" s="57" t="s">
        <v>833</v>
      </c>
      <c r="B47" s="65">
        <f>B45-B43</f>
        <v>0.76585919230811061</v>
      </c>
    </row>
    <row r="48" spans="1:2">
      <c r="A48" s="55"/>
      <c r="B48" s="55"/>
    </row>
    <row r="49" spans="1:2" ht="38.25">
      <c r="A49" s="63" t="s">
        <v>822</v>
      </c>
      <c r="B49" s="62" t="s">
        <v>832</v>
      </c>
    </row>
    <row r="50" spans="1:2">
      <c r="A50" s="64" t="s">
        <v>828</v>
      </c>
      <c r="B50" s="59" t="s">
        <v>831</v>
      </c>
    </row>
    <row r="51" spans="1:2">
      <c r="A51" s="61" t="s">
        <v>88</v>
      </c>
      <c r="B51" s="59" t="s">
        <v>26</v>
      </c>
    </row>
    <row r="52" spans="1:2" ht="25.5">
      <c r="A52" s="60" t="s">
        <v>17</v>
      </c>
      <c r="B52" s="59" t="s">
        <v>830</v>
      </c>
    </row>
    <row r="53" spans="1:2">
      <c r="A53" s="57" t="s">
        <v>820</v>
      </c>
      <c r="B53" s="58" t="s">
        <v>819</v>
      </c>
    </row>
    <row r="54" spans="1:2">
      <c r="A54" s="57" t="s">
        <v>867</v>
      </c>
      <c r="B54" s="58">
        <v>0</v>
      </c>
    </row>
    <row r="55" spans="1:2">
      <c r="A55" s="57" t="s">
        <v>868</v>
      </c>
      <c r="B55" s="58">
        <v>0</v>
      </c>
    </row>
    <row r="56" spans="1:2">
      <c r="A56" s="57" t="s">
        <v>869</v>
      </c>
      <c r="B56" s="297">
        <f>SUMPRODUCT('SDG Parameters Assessment'!E11:F11,'SDG Parameters Assessment'!E7:F7)/(SUM('SDG Parameters Assessment'!E7:F7))</f>
        <v>0.86346309153707157</v>
      </c>
    </row>
    <row r="57" spans="1:2">
      <c r="A57" s="57" t="s">
        <v>870</v>
      </c>
      <c r="B57" s="297">
        <f>SUMPRODUCT('SDG Parameters Assessment'!G11:H11,'SDG Parameters Assessment'!G7:H7)/(SUM('SDG Parameters Assessment'!G7:H7))</f>
        <v>0.76585919230811061</v>
      </c>
    </row>
    <row r="58" spans="1:2">
      <c r="A58" s="57" t="s">
        <v>871</v>
      </c>
      <c r="B58" s="65">
        <f>B56-B54</f>
        <v>0.86346309153707157</v>
      </c>
    </row>
    <row r="59" spans="1:2">
      <c r="A59" s="57" t="s">
        <v>872</v>
      </c>
      <c r="B59" s="65">
        <f>B57-B55</f>
        <v>0.76585919230811061</v>
      </c>
    </row>
    <row r="60" spans="1:2">
      <c r="A60" s="55"/>
      <c r="B60" s="55"/>
    </row>
    <row r="61" spans="1:2" ht="38.25">
      <c r="A61" s="63" t="s">
        <v>822</v>
      </c>
      <c r="B61" s="62" t="s">
        <v>829</v>
      </c>
    </row>
    <row r="62" spans="1:2">
      <c r="A62" s="64" t="s">
        <v>828</v>
      </c>
      <c r="B62" s="59" t="s">
        <v>827</v>
      </c>
    </row>
    <row r="63" spans="1:2">
      <c r="A63" s="61" t="s">
        <v>88</v>
      </c>
      <c r="B63" s="59" t="s">
        <v>821</v>
      </c>
    </row>
    <row r="64" spans="1:2" ht="30" customHeight="1">
      <c r="A64" s="60" t="s">
        <v>17</v>
      </c>
      <c r="B64" s="59" t="s">
        <v>826</v>
      </c>
    </row>
    <row r="65" spans="1:2">
      <c r="A65" s="57" t="s">
        <v>820</v>
      </c>
      <c r="B65" s="58" t="s">
        <v>825</v>
      </c>
    </row>
    <row r="66" spans="1:2" ht="15.75">
      <c r="A66" s="57" t="s">
        <v>946</v>
      </c>
      <c r="B66" s="58">
        <v>0</v>
      </c>
    </row>
    <row r="67" spans="1:2" ht="15.75">
      <c r="A67" s="57" t="s">
        <v>947</v>
      </c>
      <c r="B67" s="58">
        <v>0</v>
      </c>
    </row>
    <row r="68" spans="1:2" ht="15.75">
      <c r="A68" s="57" t="s">
        <v>948</v>
      </c>
      <c r="B68" s="58">
        <v>807</v>
      </c>
    </row>
    <row r="69" spans="1:2" ht="15.75">
      <c r="A69" s="57" t="s">
        <v>949</v>
      </c>
      <c r="B69" s="59">
        <v>1500</v>
      </c>
    </row>
    <row r="70" spans="1:2">
      <c r="A70" s="57" t="s">
        <v>950</v>
      </c>
      <c r="B70" s="58">
        <f>B68-B66</f>
        <v>807</v>
      </c>
    </row>
    <row r="71" spans="1:2">
      <c r="A71" s="57" t="s">
        <v>951</v>
      </c>
      <c r="B71" s="58">
        <f>B69-B67</f>
        <v>1500</v>
      </c>
    </row>
    <row r="73" spans="1:2" ht="27" customHeight="1">
      <c r="A73" s="455" t="s">
        <v>824</v>
      </c>
      <c r="B73" s="456"/>
    </row>
    <row r="74" spans="1:2" ht="15.75">
      <c r="A74" s="57" t="s">
        <v>873</v>
      </c>
      <c r="B74" s="56">
        <f>'Default Parameters'!$F$2</f>
        <v>1.06484</v>
      </c>
    </row>
    <row r="75" spans="1:2" ht="15.75">
      <c r="A75" s="57" t="s">
        <v>941</v>
      </c>
      <c r="B75" s="56">
        <f>('Sample Size cal and results'!$C$10*'Sample Size cal and results'!$D$24*('Default Parameters'!$F$2*'Default Parameters'!$F$3/'Sample Size cal and results'!$F$24)+'Sample Size cal and results'!$C$11*'Sample Size cal and results'!$D$25*('Default Parameters'!$F$2*'Default Parameters'!$F$3/'Sample Size cal and results'!$F$25))/('Sample Size cal and results'!$C$10*'Sample Size cal and results'!$D$24+'Sample Size cal and results'!$C$11*'Sample Size cal and results'!$D$25)</f>
        <v>0.51549089483573896</v>
      </c>
    </row>
    <row r="76" spans="1:2" ht="15.75">
      <c r="A76" s="57" t="s">
        <v>942</v>
      </c>
      <c r="B76" s="56">
        <f>('Sample Size cal and results'!$C$13*'Sample Size cal and results'!$D$26*('Default Parameters'!$F$2*'Default Parameters'!$F$3/'Sample Size cal and results'!$F$26)+'Sample Size cal and results'!$C$14*'Sample Size cal and results'!$D$27*('Default Parameters'!$F$2*'Default Parameters'!$F$3/'Sample Size cal and results'!$F$27))/('Sample Size cal and results'!$C$13*'Sample Size cal and results'!$D$26+'Sample Size cal and results'!$C$14*'Sample Size cal and results'!$D$27)</f>
        <v>0.52056001333010893</v>
      </c>
    </row>
    <row r="77" spans="1:2">
      <c r="A77" s="57"/>
      <c r="B77" s="122"/>
    </row>
    <row r="78" spans="1:2" ht="51">
      <c r="A78" s="63" t="s">
        <v>822</v>
      </c>
      <c r="B78" s="62" t="s">
        <v>823</v>
      </c>
    </row>
    <row r="79" spans="1:2">
      <c r="A79" s="61" t="s">
        <v>88</v>
      </c>
      <c r="B79" s="59" t="s">
        <v>1599</v>
      </c>
    </row>
    <row r="80" spans="1:2" ht="25.5">
      <c r="A80" s="60" t="s">
        <v>17</v>
      </c>
      <c r="B80" s="58" t="s">
        <v>879</v>
      </c>
    </row>
    <row r="81" spans="1:3">
      <c r="A81" s="57" t="s">
        <v>820</v>
      </c>
      <c r="B81" s="58" t="s">
        <v>819</v>
      </c>
    </row>
    <row r="82" spans="1:3" ht="15.75">
      <c r="A82" s="57" t="s">
        <v>875</v>
      </c>
      <c r="B82" s="74">
        <f>B74-B$75</f>
        <v>0.54934910516426105</v>
      </c>
    </row>
    <row r="83" spans="1:3" ht="15.75">
      <c r="A83" s="57" t="s">
        <v>874</v>
      </c>
      <c r="B83" s="121">
        <f>B74-B$76</f>
        <v>0.54427998666989108</v>
      </c>
    </row>
    <row r="84" spans="1:3" ht="15.75">
      <c r="A84"/>
      <c r="B84"/>
    </row>
    <row r="85" spans="1:3">
      <c r="A85" s="55"/>
      <c r="B85" s="55"/>
    </row>
    <row r="89" spans="1:3">
      <c r="C89" s="55"/>
    </row>
    <row r="90" spans="1:3" s="55" customFormat="1">
      <c r="A90" s="54"/>
      <c r="B90" s="54"/>
    </row>
    <row r="91" spans="1:3" s="55" customFormat="1">
      <c r="A91" s="54"/>
      <c r="B91" s="54"/>
    </row>
    <row r="92" spans="1:3" s="55" customFormat="1">
      <c r="A92" s="54"/>
      <c r="B92" s="54"/>
      <c r="C92" s="54"/>
    </row>
  </sheetData>
  <mergeCells count="4">
    <mergeCell ref="I17:I18"/>
    <mergeCell ref="G5:H5"/>
    <mergeCell ref="E5:F5"/>
    <mergeCell ref="A73:B73"/>
  </mergeCells>
  <phoneticPr fontId="3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D0D523F302484F892F723420D71428" ma:contentTypeVersion="10" ma:contentTypeDescription="Create a new document." ma:contentTypeScope="" ma:versionID="58106a2e5ebbcfa9c9085bb3cbf96430">
  <xsd:schema xmlns:xsd="http://www.w3.org/2001/XMLSchema" xmlns:xs="http://www.w3.org/2001/XMLSchema" xmlns:p="http://schemas.microsoft.com/office/2006/metadata/properties" xmlns:ns1="http://schemas.microsoft.com/sharepoint/v3" xmlns:ns2="ea430ab3-9117-4245-8ec8-f243c25dcc3c" xmlns:ns3="http://schemas.microsoft.com/sharepoint/v4" xmlns:ns4="c6308f3e-e754-4cfa-8051-4e420c5d6977" targetNamespace="http://schemas.microsoft.com/office/2006/metadata/properties" ma:root="true" ma:fieldsID="1fa74876b05bdc62b1977cda6f5fa5bc" ns1:_="" ns2:_="" ns3:_="" ns4:_="">
    <xsd:import namespace="http://schemas.microsoft.com/sharepoint/v3"/>
    <xsd:import namespace="ea430ab3-9117-4245-8ec8-f243c25dcc3c"/>
    <xsd:import namespace="http://schemas.microsoft.com/sharepoint/v4"/>
    <xsd:import namespace="c6308f3e-e754-4cfa-8051-4e420c5d6977"/>
    <xsd:element name="properties">
      <xsd:complexType>
        <xsd:sequence>
          <xsd:element name="documentManagement">
            <xsd:complexType>
              <xsd:all>
                <xsd:element ref="ns2:Managing_x0020_Entity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3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4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5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6" nillable="true" ma:displayName="E-Mail From" ma:hidden="true" ma:internalName="EmailFrom">
      <xsd:simpleType>
        <xsd:restriction base="dms:Text"/>
      </xsd:simpleType>
    </xsd:element>
    <xsd:element name="EmailSubject" ma:index="7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30ab3-9117-4245-8ec8-f243c25dcc3c" elementFormDefault="qualified">
    <xsd:import namespace="http://schemas.microsoft.com/office/2006/documentManagement/types"/>
    <xsd:import namespace="http://schemas.microsoft.com/office/infopath/2007/PartnerControls"/>
    <xsd:element name="Managing_x0020_Entity" ma:index="2" nillable="true" ma:displayName="Managing Entity" ma:format="Dropdown" ma:internalName="Managing_x0020_Entity">
      <xsd:simpleType>
        <xsd:restriction base="dms:Choice">
          <xsd:enumeration value="BRTUV"/>
          <xsd:enumeration value="TN CERT"/>
          <xsd:enumeration value="TN India"/>
          <xsd:enumeration value="TN Mexico"/>
          <xsd:enumeration value="TN Malaysia"/>
          <xsd:enumeration value="CH"/>
          <xsd:enumeration value="AFR"/>
          <xsd:enumeration value="IN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8" nillable="true" ma:displayName="E-Mail Headers" ma:hidden="true" ma:internalName="EmailHeader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08f3e-e754-4cfa-8051-4e420c5d6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Managing_x0020_Entity xmlns="ea430ab3-9117-4245-8ec8-f243c25dcc3c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E53BB2-19D8-4D25-A030-7B5F719E9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430ab3-9117-4245-8ec8-f243c25dcc3c"/>
    <ds:schemaRef ds:uri="http://schemas.microsoft.com/sharepoint/v4"/>
    <ds:schemaRef ds:uri="c6308f3e-e754-4cfa-8051-4e420c5d6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8AEED4-F5F6-4741-B56C-62B46BBB6C48}">
  <ds:schemaRefs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6308f3e-e754-4cfa-8051-4e420c5d6977"/>
    <ds:schemaRef ds:uri="http://schemas.microsoft.com/office/2006/documentManagement/types"/>
    <ds:schemaRef ds:uri="ea430ab3-9117-4245-8ec8-f243c25dcc3c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5110CB-9433-4FCF-AD45-9F513AEB20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Introduction</vt:lpstr>
      <vt:lpstr>Default Parameters</vt:lpstr>
      <vt:lpstr>Inst summary and ER calculation</vt:lpstr>
      <vt:lpstr>Monitoring Report Tables</vt:lpstr>
      <vt:lpstr>Sample Size cal and results</vt:lpstr>
      <vt:lpstr>Monitoring Summary MS1</vt:lpstr>
      <vt:lpstr>Monitoring Summary MS2</vt:lpstr>
      <vt:lpstr>SDG Parameters Assessment</vt:lpstr>
      <vt:lpstr>'Sample Size cal and 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CSIPL-S</cp:lastModifiedBy>
  <cp:lastPrinted>2023-01-17T10:38:32Z</cp:lastPrinted>
  <dcterms:created xsi:type="dcterms:W3CDTF">2016-01-23T09:47:55Z</dcterms:created>
  <dcterms:modified xsi:type="dcterms:W3CDTF">2023-10-19T08:55:55Z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0x010100E9D0D523F302484F892F723420D71428</vt:lpwstr>
  </property>
</Properties>
</file>