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Shared with Me\Ops Carbon Projects Folder\VCS Ver\VVER126_Mahindra W2E(3rd)\4. Final\PRR R-III\"/>
    </mc:Choice>
  </mc:AlternateContent>
  <xr:revisionPtr revIDLastSave="0" documentId="13_ncr:1_{1F326FCA-919C-4A89-A652-07699B0DF063}" xr6:coauthVersionLast="47" xr6:coauthVersionMax="47" xr10:uidLastSave="{00000000-0000-0000-0000-000000000000}"/>
  <bookViews>
    <workbookView xWindow="-108" yWindow="-108" windowWidth="23256" windowHeight="12456" tabRatio="836" activeTab="8" xr2:uid="{00000000-000D-0000-FFFF-FFFF00000000}"/>
  </bookViews>
  <sheets>
    <sheet name="Title" sheetId="29" r:id="rId1"/>
    <sheet name="Actual ER" sheetId="1" r:id="rId2"/>
    <sheet name="Baseline Emissions" sheetId="3" r:id="rId3"/>
    <sheet name="Project Emissions" sheetId="4" r:id="rId4"/>
    <sheet name="Default Values" sheetId="2" r:id="rId5"/>
    <sheet name="Data Sheet" sheetId="23" r:id="rId6"/>
    <sheet name="Previous verification data" sheetId="30" r:id="rId7"/>
    <sheet name="Leakage Emissions" sheetId="32" r:id="rId8"/>
    <sheet name="Error Adjustments" sheetId="31" r:id="rId9"/>
    <sheet name="Error Adjustments of MP1" sheetId="33" r:id="rId10"/>
  </sheets>
  <definedNames>
    <definedName name="_ftn1" localSheetId="8">'Error Adjustments'!$B$97</definedName>
    <definedName name="_ftnref1" localSheetId="8">'Error Adjustments'!$B$94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3" i="31" l="1"/>
  <c r="C112" i="31"/>
  <c r="D103" i="31"/>
  <c r="E103" i="31" s="1"/>
  <c r="D80" i="31" l="1"/>
  <c r="D70" i="31"/>
  <c r="D62" i="31"/>
  <c r="D55" i="31"/>
  <c r="E54" i="31"/>
  <c r="E55" i="31"/>
  <c r="D45" i="31"/>
  <c r="D54" i="31" s="1"/>
  <c r="E34" i="23"/>
  <c r="E35" i="23"/>
  <c r="E36" i="23"/>
  <c r="E37" i="23"/>
  <c r="E38" i="23"/>
  <c r="E39" i="23"/>
  <c r="E40" i="23"/>
  <c r="E41" i="23"/>
  <c r="E42" i="23"/>
  <c r="E43" i="23"/>
  <c r="E44" i="23"/>
  <c r="E45" i="23"/>
  <c r="E46" i="23"/>
  <c r="E47" i="23"/>
  <c r="E48" i="23"/>
  <c r="E49" i="23"/>
  <c r="E50" i="23"/>
  <c r="E51" i="23"/>
  <c r="E52" i="23"/>
  <c r="E53" i="23"/>
  <c r="E54" i="23"/>
  <c r="E55" i="23"/>
  <c r="E56" i="23"/>
  <c r="D72" i="4"/>
  <c r="D94" i="4"/>
  <c r="D93" i="4"/>
  <c r="D92" i="4"/>
  <c r="D91" i="4"/>
  <c r="D90" i="4"/>
  <c r="D89" i="4"/>
  <c r="D87" i="4"/>
  <c r="D78" i="4"/>
  <c r="D77" i="4"/>
  <c r="D76" i="4"/>
  <c r="D75" i="4"/>
  <c r="D74" i="4"/>
  <c r="D73" i="4"/>
  <c r="D71" i="4"/>
  <c r="D65" i="4"/>
  <c r="D64" i="4"/>
  <c r="D63" i="4"/>
  <c r="D62" i="4"/>
  <c r="D61" i="4"/>
  <c r="D60" i="4"/>
  <c r="D58" i="4"/>
  <c r="D48" i="4"/>
  <c r="D46" i="4"/>
  <c r="D53" i="4"/>
  <c r="D52" i="4"/>
  <c r="D51" i="4"/>
  <c r="D50" i="4"/>
  <c r="D49" i="4"/>
  <c r="H87" i="23"/>
  <c r="G87" i="23"/>
  <c r="F87" i="23"/>
  <c r="E87" i="23"/>
  <c r="F30" i="32"/>
  <c r="F29" i="32"/>
  <c r="D30" i="32"/>
  <c r="D29" i="32"/>
  <c r="C37" i="31"/>
  <c r="C36" i="31"/>
  <c r="C35" i="31"/>
  <c r="D24" i="32"/>
  <c r="D25" i="32"/>
  <c r="D20" i="32"/>
  <c r="D19" i="32"/>
  <c r="D15" i="32"/>
  <c r="D14" i="32"/>
  <c r="D10" i="32"/>
  <c r="D9" i="32"/>
  <c r="D37" i="31"/>
  <c r="D36" i="31"/>
  <c r="D35" i="31"/>
  <c r="E36" i="31"/>
  <c r="E37" i="31"/>
  <c r="E35" i="31"/>
  <c r="D79" i="31" l="1"/>
  <c r="D81" i="31" s="1"/>
  <c r="D61" i="31"/>
  <c r="D63" i="31" s="1"/>
  <c r="D69" i="31"/>
  <c r="D71" i="31" s="1"/>
  <c r="F54" i="31"/>
  <c r="F55" i="31"/>
  <c r="D47" i="4"/>
  <c r="D88" i="4"/>
  <c r="D59" i="4"/>
  <c r="J92" i="23"/>
  <c r="F36" i="31"/>
  <c r="F37" i="31"/>
  <c r="F35" i="31"/>
  <c r="F56" i="31" l="1"/>
  <c r="D86" i="31" s="1"/>
  <c r="C111" i="31" s="1"/>
  <c r="D40" i="31"/>
  <c r="C110" i="31" s="1"/>
  <c r="F25" i="32"/>
  <c r="F24" i="32"/>
  <c r="F20" i="32"/>
  <c r="F19" i="32"/>
  <c r="F15" i="32"/>
  <c r="F14" i="32"/>
  <c r="F10" i="32"/>
  <c r="F9" i="32"/>
  <c r="I22" i="31" l="1"/>
  <c r="G22" i="31"/>
  <c r="E22" i="31"/>
  <c r="C22" i="31"/>
  <c r="I12" i="31"/>
  <c r="I11" i="31"/>
  <c r="G12" i="31"/>
  <c r="G11" i="31"/>
  <c r="E12" i="31"/>
  <c r="E11" i="31"/>
  <c r="C12" i="31"/>
  <c r="C11" i="31"/>
  <c r="E53" i="4"/>
  <c r="E51" i="4"/>
  <c r="E49" i="4"/>
  <c r="E47" i="4"/>
  <c r="E52" i="4"/>
  <c r="E50" i="4"/>
  <c r="E48" i="4"/>
  <c r="E46" i="4"/>
  <c r="O12" i="23"/>
  <c r="O11" i="23"/>
  <c r="O10" i="23"/>
  <c r="O8" i="23"/>
  <c r="O7" i="23"/>
  <c r="O6" i="23"/>
  <c r="O16" i="23"/>
  <c r="O15" i="23"/>
  <c r="O14" i="23"/>
  <c r="O13" i="23"/>
  <c r="O9" i="23"/>
  <c r="O5" i="23"/>
  <c r="K88" i="3"/>
  <c r="K62" i="3"/>
  <c r="K43" i="3"/>
  <c r="K36" i="3"/>
  <c r="K10" i="3"/>
  <c r="J22" i="31" l="1"/>
  <c r="D92" i="23"/>
  <c r="J11" i="31"/>
  <c r="J12" i="31"/>
  <c r="F46" i="4"/>
  <c r="I12" i="4" s="1"/>
  <c r="F53" i="4"/>
  <c r="T19" i="4" s="1"/>
  <c r="F52" i="4"/>
  <c r="F47" i="4"/>
  <c r="F48" i="4"/>
  <c r="I18" i="4" s="1"/>
  <c r="F49" i="4"/>
  <c r="I19" i="4" s="1"/>
  <c r="F50" i="4"/>
  <c r="T12" i="4" s="1"/>
  <c r="F51" i="4"/>
  <c r="T13" i="4" s="1"/>
  <c r="I7" i="1"/>
  <c r="H17" i="1"/>
  <c r="H16" i="1"/>
  <c r="J13" i="31" l="1"/>
  <c r="D25" i="31" s="1"/>
  <c r="I13" i="4"/>
  <c r="I14" i="4" s="1"/>
  <c r="T18" i="4"/>
  <c r="T20" i="4" s="1"/>
  <c r="I20" i="4"/>
  <c r="T14" i="4"/>
  <c r="E21" i="30"/>
  <c r="K69" i="3" s="1"/>
  <c r="E20" i="30"/>
  <c r="K65" i="3" s="1"/>
  <c r="E13" i="30"/>
  <c r="K39" i="3" s="1"/>
  <c r="E28" i="30"/>
  <c r="K95" i="3" s="1"/>
  <c r="E27" i="30"/>
  <c r="K91" i="3" s="1"/>
  <c r="E5" i="30"/>
  <c r="K13" i="3" s="1"/>
  <c r="E6" i="30"/>
  <c r="K17" i="3" s="1"/>
  <c r="C109" i="31" l="1"/>
  <c r="J16" i="1"/>
  <c r="J18" i="1" s="1"/>
  <c r="P28" i="23"/>
  <c r="O30" i="3"/>
  <c r="O29" i="3"/>
  <c r="O28" i="3"/>
  <c r="O27" i="3"/>
  <c r="O26" i="3"/>
  <c r="O24" i="3"/>
  <c r="O23" i="3"/>
  <c r="O22" i="3"/>
  <c r="O21" i="3"/>
  <c r="O20" i="3"/>
  <c r="O18" i="3"/>
  <c r="O17" i="3"/>
  <c r="O16" i="3"/>
  <c r="O15" i="3"/>
  <c r="O13" i="3"/>
  <c r="O12" i="3"/>
  <c r="N19" i="4" l="1"/>
  <c r="E25" i="32" s="1"/>
  <c r="N18" i="4"/>
  <c r="E24" i="32" s="1"/>
  <c r="E26" i="32" s="1"/>
  <c r="N13" i="4"/>
  <c r="E15" i="32" s="1"/>
  <c r="G15" i="32" s="1"/>
  <c r="M25" i="1" s="1"/>
  <c r="N12" i="4"/>
  <c r="E14" i="32" s="1"/>
  <c r="C19" i="4"/>
  <c r="E20" i="32" s="1"/>
  <c r="G20" i="32" s="1"/>
  <c r="F33" i="1" s="1"/>
  <c r="C18" i="4"/>
  <c r="E19" i="32" s="1"/>
  <c r="E16" i="32" l="1"/>
  <c r="E21" i="32"/>
  <c r="M33" i="1"/>
  <c r="G25" i="32"/>
  <c r="G19" i="32"/>
  <c r="G21" i="32" s="1"/>
  <c r="G14" i="32"/>
  <c r="G16" i="32" s="1"/>
  <c r="G24" i="32"/>
  <c r="G26" i="32" s="1"/>
  <c r="F19" i="4"/>
  <c r="Q13" i="4"/>
  <c r="O18" i="4"/>
  <c r="O12" i="4"/>
  <c r="Q19" i="4"/>
  <c r="F18" i="4"/>
  <c r="D18" i="4"/>
  <c r="O13" i="4"/>
  <c r="O19" i="4"/>
  <c r="D19" i="4"/>
  <c r="Q12" i="4"/>
  <c r="Q18" i="4"/>
  <c r="C12" i="4"/>
  <c r="E9" i="32" s="1"/>
  <c r="C13" i="4"/>
  <c r="E10" i="32" s="1"/>
  <c r="H92" i="23"/>
  <c r="C92" i="23"/>
  <c r="B92" i="23"/>
  <c r="G10" i="32" l="1"/>
  <c r="E30" i="32"/>
  <c r="E11" i="32"/>
  <c r="E29" i="32"/>
  <c r="G9" i="32"/>
  <c r="F32" i="1"/>
  <c r="F34" i="1" s="1"/>
  <c r="M32" i="1"/>
  <c r="M34" i="1" s="1"/>
  <c r="M24" i="1"/>
  <c r="M26" i="1" s="1"/>
  <c r="F13" i="4"/>
  <c r="D13" i="4"/>
  <c r="D12" i="4"/>
  <c r="F12" i="4"/>
  <c r="J7" i="1"/>
  <c r="G11" i="32" l="1"/>
  <c r="G31" i="32" s="1"/>
  <c r="G29" i="32"/>
  <c r="F25" i="1"/>
  <c r="F17" i="1" s="1"/>
  <c r="G30" i="32"/>
  <c r="F24" i="1"/>
  <c r="H18" i="1"/>
  <c r="G20" i="4"/>
  <c r="R20" i="4"/>
  <c r="R14" i="4"/>
  <c r="G14" i="4"/>
  <c r="K108" i="3"/>
  <c r="K105" i="3"/>
  <c r="K104" i="3"/>
  <c r="K102" i="3"/>
  <c r="D108" i="3"/>
  <c r="E108" i="3"/>
  <c r="F108" i="3"/>
  <c r="G108" i="3"/>
  <c r="H108" i="3"/>
  <c r="I108" i="3"/>
  <c r="J108" i="3"/>
  <c r="L108" i="3"/>
  <c r="M108" i="3"/>
  <c r="N108" i="3"/>
  <c r="O108" i="3"/>
  <c r="O107" i="3"/>
  <c r="N107" i="3"/>
  <c r="M107" i="3"/>
  <c r="L107" i="3"/>
  <c r="J107" i="3"/>
  <c r="I107" i="3"/>
  <c r="H107" i="3"/>
  <c r="G107" i="3"/>
  <c r="F107" i="3"/>
  <c r="E107" i="3"/>
  <c r="D107" i="3"/>
  <c r="O106" i="3"/>
  <c r="N106" i="3"/>
  <c r="M106" i="3"/>
  <c r="L106" i="3"/>
  <c r="J106" i="3"/>
  <c r="I106" i="3"/>
  <c r="H106" i="3"/>
  <c r="G106" i="3"/>
  <c r="F106" i="3"/>
  <c r="E106" i="3"/>
  <c r="D106" i="3"/>
  <c r="O105" i="3"/>
  <c r="N105" i="3"/>
  <c r="M105" i="3"/>
  <c r="L105" i="3"/>
  <c r="J105" i="3"/>
  <c r="I105" i="3"/>
  <c r="H105" i="3"/>
  <c r="G105" i="3"/>
  <c r="F105" i="3"/>
  <c r="E105" i="3"/>
  <c r="D105" i="3"/>
  <c r="O104" i="3"/>
  <c r="N104" i="3"/>
  <c r="M104" i="3"/>
  <c r="L104" i="3"/>
  <c r="J104" i="3"/>
  <c r="I104" i="3"/>
  <c r="H104" i="3"/>
  <c r="G104" i="3"/>
  <c r="F104" i="3"/>
  <c r="E104" i="3"/>
  <c r="D104" i="3"/>
  <c r="K82" i="3"/>
  <c r="K79" i="3"/>
  <c r="K78" i="3"/>
  <c r="K76" i="3"/>
  <c r="D79" i="3"/>
  <c r="E79" i="3"/>
  <c r="F79" i="3"/>
  <c r="G79" i="3"/>
  <c r="H79" i="3"/>
  <c r="I79" i="3"/>
  <c r="J79" i="3"/>
  <c r="L79" i="3"/>
  <c r="M79" i="3"/>
  <c r="N79" i="3"/>
  <c r="O79" i="3"/>
  <c r="D80" i="3"/>
  <c r="E80" i="3"/>
  <c r="F80" i="3"/>
  <c r="G80" i="3"/>
  <c r="H80" i="3"/>
  <c r="I80" i="3"/>
  <c r="J80" i="3"/>
  <c r="L80" i="3"/>
  <c r="M80" i="3"/>
  <c r="N80" i="3"/>
  <c r="O80" i="3"/>
  <c r="D81" i="3"/>
  <c r="E81" i="3"/>
  <c r="F81" i="3"/>
  <c r="G81" i="3"/>
  <c r="H81" i="3"/>
  <c r="I81" i="3"/>
  <c r="J81" i="3"/>
  <c r="L81" i="3"/>
  <c r="M81" i="3"/>
  <c r="N81" i="3"/>
  <c r="O81" i="3"/>
  <c r="D82" i="3"/>
  <c r="E82" i="3"/>
  <c r="F82" i="3"/>
  <c r="G82" i="3"/>
  <c r="H82" i="3"/>
  <c r="I82" i="3"/>
  <c r="J82" i="3"/>
  <c r="L82" i="3"/>
  <c r="M82" i="3"/>
  <c r="N82" i="3"/>
  <c r="O82" i="3"/>
  <c r="O78" i="3"/>
  <c r="N78" i="3"/>
  <c r="M78" i="3"/>
  <c r="L78" i="3"/>
  <c r="J78" i="3"/>
  <c r="I78" i="3"/>
  <c r="H78" i="3"/>
  <c r="G78" i="3"/>
  <c r="F78" i="3"/>
  <c r="E78" i="3"/>
  <c r="D78" i="3"/>
  <c r="K56" i="3"/>
  <c r="K53" i="3"/>
  <c r="K52" i="3"/>
  <c r="D52" i="3"/>
  <c r="E52" i="3"/>
  <c r="F52" i="3"/>
  <c r="G52" i="3"/>
  <c r="H52" i="3"/>
  <c r="I52" i="3"/>
  <c r="J52" i="3"/>
  <c r="L52" i="3"/>
  <c r="M52" i="3"/>
  <c r="N52" i="3"/>
  <c r="O52" i="3"/>
  <c r="D53" i="3"/>
  <c r="E53" i="3"/>
  <c r="F53" i="3"/>
  <c r="G53" i="3"/>
  <c r="H53" i="3"/>
  <c r="I53" i="3"/>
  <c r="J53" i="3"/>
  <c r="L53" i="3"/>
  <c r="M53" i="3"/>
  <c r="N53" i="3"/>
  <c r="O53" i="3"/>
  <c r="D54" i="3"/>
  <c r="E54" i="3"/>
  <c r="F54" i="3"/>
  <c r="G54" i="3"/>
  <c r="H54" i="3"/>
  <c r="I54" i="3"/>
  <c r="J54" i="3"/>
  <c r="L54" i="3"/>
  <c r="M54" i="3"/>
  <c r="N54" i="3"/>
  <c r="O54" i="3"/>
  <c r="D55" i="3"/>
  <c r="E55" i="3"/>
  <c r="F55" i="3"/>
  <c r="G55" i="3"/>
  <c r="H55" i="3"/>
  <c r="I55" i="3"/>
  <c r="J55" i="3"/>
  <c r="L55" i="3"/>
  <c r="M55" i="3"/>
  <c r="N55" i="3"/>
  <c r="O55" i="3"/>
  <c r="D56" i="3"/>
  <c r="E56" i="3"/>
  <c r="F56" i="3"/>
  <c r="G56" i="3"/>
  <c r="H56" i="3"/>
  <c r="I56" i="3"/>
  <c r="J56" i="3"/>
  <c r="L56" i="3"/>
  <c r="M56" i="3"/>
  <c r="N56" i="3"/>
  <c r="O56" i="3"/>
  <c r="K50" i="3"/>
  <c r="K49" i="3"/>
  <c r="K30" i="3"/>
  <c r="K24" i="3"/>
  <c r="K27" i="3"/>
  <c r="K26" i="3"/>
  <c r="N30" i="3"/>
  <c r="M30" i="3"/>
  <c r="L30" i="3"/>
  <c r="J30" i="3"/>
  <c r="I30" i="3"/>
  <c r="H30" i="3"/>
  <c r="G30" i="3"/>
  <c r="F30" i="3"/>
  <c r="E30" i="3"/>
  <c r="D30" i="3"/>
  <c r="N29" i="3"/>
  <c r="M29" i="3"/>
  <c r="L29" i="3"/>
  <c r="J29" i="3"/>
  <c r="I29" i="3"/>
  <c r="H29" i="3"/>
  <c r="G29" i="3"/>
  <c r="F29" i="3"/>
  <c r="E29" i="3"/>
  <c r="D29" i="3"/>
  <c r="N28" i="3"/>
  <c r="M28" i="3"/>
  <c r="L28" i="3"/>
  <c r="J28" i="3"/>
  <c r="I28" i="3"/>
  <c r="H28" i="3"/>
  <c r="G28" i="3"/>
  <c r="F28" i="3"/>
  <c r="E28" i="3"/>
  <c r="D28" i="3"/>
  <c r="N27" i="3"/>
  <c r="M27" i="3"/>
  <c r="L27" i="3"/>
  <c r="J27" i="3"/>
  <c r="I27" i="3"/>
  <c r="H27" i="3"/>
  <c r="G27" i="3"/>
  <c r="F27" i="3"/>
  <c r="E27" i="3"/>
  <c r="D27" i="3"/>
  <c r="N26" i="3"/>
  <c r="M26" i="3"/>
  <c r="L26" i="3"/>
  <c r="J26" i="3"/>
  <c r="I26" i="3"/>
  <c r="H26" i="3"/>
  <c r="G26" i="3"/>
  <c r="F26" i="3"/>
  <c r="E26" i="3"/>
  <c r="D26" i="3"/>
  <c r="F16" i="1" l="1"/>
  <c r="F18" i="1" s="1"/>
  <c r="F26" i="1"/>
  <c r="P78" i="3"/>
  <c r="P79" i="3"/>
  <c r="P105" i="3"/>
  <c r="P104" i="3"/>
  <c r="P108" i="3"/>
  <c r="P82" i="3"/>
  <c r="K55" i="3"/>
  <c r="P55" i="3" s="1"/>
  <c r="P52" i="3"/>
  <c r="P53" i="3"/>
  <c r="P56" i="3"/>
  <c r="P26" i="3"/>
  <c r="P27" i="3"/>
  <c r="P30" i="3"/>
  <c r="G57" i="23"/>
  <c r="H57" i="23"/>
  <c r="I57" i="23"/>
  <c r="J57" i="23"/>
  <c r="O57" i="23"/>
  <c r="Q57" i="23"/>
  <c r="R57" i="23"/>
  <c r="S57" i="23"/>
  <c r="T57" i="23"/>
  <c r="E57" i="23"/>
  <c r="H28" i="23"/>
  <c r="I28" i="23"/>
  <c r="J28" i="23"/>
  <c r="O28" i="23"/>
  <c r="Q28" i="23"/>
  <c r="R28" i="23"/>
  <c r="S28" i="23"/>
  <c r="T28" i="23"/>
  <c r="E28" i="23"/>
  <c r="G19" i="23"/>
  <c r="G18" i="23"/>
  <c r="G17" i="23"/>
  <c r="G28" i="23" l="1"/>
  <c r="P57" i="23"/>
  <c r="F57" i="23"/>
  <c r="F28" i="23"/>
  <c r="E92" i="23"/>
  <c r="F92" i="23"/>
  <c r="G92" i="23"/>
  <c r="O36" i="3" l="1"/>
  <c r="Q20" i="4" l="1"/>
  <c r="O20" i="4"/>
  <c r="F20" i="4"/>
  <c r="D20" i="4"/>
  <c r="Q14" i="4"/>
  <c r="O14" i="4"/>
  <c r="F14" i="4"/>
  <c r="D14" i="4" l="1"/>
  <c r="D6" i="1" l="1"/>
  <c r="D8" i="1" s="1"/>
  <c r="K101" i="3" l="1"/>
  <c r="K107" i="3" s="1"/>
  <c r="P107" i="3" s="1"/>
  <c r="K96" i="3"/>
  <c r="D102" i="3"/>
  <c r="E102" i="3"/>
  <c r="F102" i="3"/>
  <c r="G102" i="3"/>
  <c r="H102" i="3"/>
  <c r="I102" i="3"/>
  <c r="J102" i="3"/>
  <c r="L102" i="3"/>
  <c r="M102" i="3"/>
  <c r="N102" i="3"/>
  <c r="O102" i="3"/>
  <c r="D96" i="3"/>
  <c r="E96" i="3"/>
  <c r="F96" i="3"/>
  <c r="G96" i="3"/>
  <c r="H96" i="3"/>
  <c r="I96" i="3"/>
  <c r="J96" i="3"/>
  <c r="L96" i="3"/>
  <c r="M96" i="3"/>
  <c r="N96" i="3"/>
  <c r="O96" i="3"/>
  <c r="D76" i="3"/>
  <c r="E76" i="3"/>
  <c r="F76" i="3"/>
  <c r="G76" i="3"/>
  <c r="H76" i="3"/>
  <c r="I76" i="3"/>
  <c r="J76" i="3"/>
  <c r="L76" i="3"/>
  <c r="M76" i="3"/>
  <c r="N76" i="3"/>
  <c r="O76" i="3"/>
  <c r="K75" i="3"/>
  <c r="K81" i="3" s="1"/>
  <c r="P81" i="3" s="1"/>
  <c r="K70" i="3"/>
  <c r="D70" i="3"/>
  <c r="E70" i="3"/>
  <c r="F70" i="3"/>
  <c r="G70" i="3"/>
  <c r="H70" i="3"/>
  <c r="I70" i="3"/>
  <c r="J70" i="3"/>
  <c r="L70" i="3"/>
  <c r="M70" i="3"/>
  <c r="N70" i="3"/>
  <c r="O70" i="3"/>
  <c r="K44" i="3"/>
  <c r="K23" i="3"/>
  <c r="K29" i="3" s="1"/>
  <c r="P29" i="3" s="1"/>
  <c r="K18" i="3"/>
  <c r="K28" i="3" s="1"/>
  <c r="P28" i="3" s="1"/>
  <c r="D50" i="3"/>
  <c r="E50" i="3"/>
  <c r="F50" i="3"/>
  <c r="G50" i="3"/>
  <c r="H50" i="3"/>
  <c r="I50" i="3"/>
  <c r="J50" i="3"/>
  <c r="L50" i="3"/>
  <c r="M50" i="3"/>
  <c r="N50" i="3"/>
  <c r="O50" i="3"/>
  <c r="D44" i="3"/>
  <c r="E44" i="3"/>
  <c r="F44" i="3"/>
  <c r="G44" i="3"/>
  <c r="H44" i="3"/>
  <c r="I44" i="3"/>
  <c r="J44" i="3"/>
  <c r="L44" i="3"/>
  <c r="M44" i="3"/>
  <c r="N44" i="3"/>
  <c r="O44" i="3"/>
  <c r="D24" i="3"/>
  <c r="E24" i="3"/>
  <c r="F24" i="3"/>
  <c r="G24" i="3"/>
  <c r="H24" i="3"/>
  <c r="I24" i="3"/>
  <c r="J24" i="3"/>
  <c r="L24" i="3"/>
  <c r="M24" i="3"/>
  <c r="N24" i="3"/>
  <c r="D18" i="3"/>
  <c r="E18" i="3"/>
  <c r="F18" i="3"/>
  <c r="G18" i="3"/>
  <c r="H18" i="3"/>
  <c r="I18" i="3"/>
  <c r="J18" i="3"/>
  <c r="L18" i="3"/>
  <c r="M18" i="3"/>
  <c r="N18" i="3"/>
  <c r="P31" i="3" l="1"/>
  <c r="K74" i="3"/>
  <c r="K80" i="3" s="1"/>
  <c r="P80" i="3" s="1"/>
  <c r="P83" i="3" s="1"/>
  <c r="K100" i="3"/>
  <c r="K106" i="3" s="1"/>
  <c r="P106" i="3" s="1"/>
  <c r="P109" i="3" s="1"/>
  <c r="P96" i="3"/>
  <c r="P102" i="3"/>
  <c r="P76" i="3"/>
  <c r="P70" i="3"/>
  <c r="P44" i="3"/>
  <c r="P50" i="3"/>
  <c r="P24" i="3"/>
  <c r="P18" i="3"/>
  <c r="D25" i="1" l="1"/>
  <c r="K33" i="1"/>
  <c r="D33" i="1"/>
  <c r="K90" i="3"/>
  <c r="K73" i="3"/>
  <c r="K72" i="3"/>
  <c r="K42" i="3"/>
  <c r="K46" i="3"/>
  <c r="K21" i="3"/>
  <c r="K20" i="3"/>
  <c r="O101" i="3"/>
  <c r="N101" i="3"/>
  <c r="M101" i="3"/>
  <c r="L101" i="3"/>
  <c r="J101" i="3"/>
  <c r="I101" i="3"/>
  <c r="H101" i="3"/>
  <c r="G101" i="3"/>
  <c r="F101" i="3"/>
  <c r="E101" i="3"/>
  <c r="D101" i="3"/>
  <c r="O100" i="3"/>
  <c r="N100" i="3"/>
  <c r="M100" i="3"/>
  <c r="L100" i="3"/>
  <c r="J100" i="3"/>
  <c r="I100" i="3"/>
  <c r="H100" i="3"/>
  <c r="G100" i="3"/>
  <c r="F100" i="3"/>
  <c r="E100" i="3"/>
  <c r="D100" i="3"/>
  <c r="O99" i="3"/>
  <c r="N99" i="3"/>
  <c r="M99" i="3"/>
  <c r="L99" i="3"/>
  <c r="J99" i="3"/>
  <c r="I99" i="3"/>
  <c r="H99" i="3"/>
  <c r="G99" i="3"/>
  <c r="F99" i="3"/>
  <c r="E99" i="3"/>
  <c r="D99" i="3"/>
  <c r="O98" i="3"/>
  <c r="N98" i="3"/>
  <c r="M98" i="3"/>
  <c r="L98" i="3"/>
  <c r="J98" i="3"/>
  <c r="I98" i="3"/>
  <c r="H98" i="3"/>
  <c r="G98" i="3"/>
  <c r="F98" i="3"/>
  <c r="E98" i="3"/>
  <c r="D98" i="3"/>
  <c r="O95" i="3"/>
  <c r="N95" i="3"/>
  <c r="M95" i="3"/>
  <c r="L95" i="3"/>
  <c r="J95" i="3"/>
  <c r="I95" i="3"/>
  <c r="H95" i="3"/>
  <c r="G95" i="3"/>
  <c r="F95" i="3"/>
  <c r="E95" i="3"/>
  <c r="D95" i="3"/>
  <c r="O94" i="3"/>
  <c r="N94" i="3"/>
  <c r="M94" i="3"/>
  <c r="L94" i="3"/>
  <c r="J94" i="3"/>
  <c r="I94" i="3"/>
  <c r="H94" i="3"/>
  <c r="G94" i="3"/>
  <c r="F94" i="3"/>
  <c r="E94" i="3"/>
  <c r="D94" i="3"/>
  <c r="O93" i="3"/>
  <c r="N93" i="3"/>
  <c r="M93" i="3"/>
  <c r="L93" i="3"/>
  <c r="J93" i="3"/>
  <c r="I93" i="3"/>
  <c r="H93" i="3"/>
  <c r="G93" i="3"/>
  <c r="F93" i="3"/>
  <c r="E93" i="3"/>
  <c r="D93" i="3"/>
  <c r="O91" i="3"/>
  <c r="N91" i="3"/>
  <c r="M91" i="3"/>
  <c r="L91" i="3"/>
  <c r="J91" i="3"/>
  <c r="I91" i="3"/>
  <c r="H91" i="3"/>
  <c r="G91" i="3"/>
  <c r="F91" i="3"/>
  <c r="E91" i="3"/>
  <c r="D91" i="3"/>
  <c r="O90" i="3"/>
  <c r="N90" i="3"/>
  <c r="M90" i="3"/>
  <c r="L90" i="3"/>
  <c r="J90" i="3"/>
  <c r="I90" i="3"/>
  <c r="H90" i="3"/>
  <c r="G90" i="3"/>
  <c r="F90" i="3"/>
  <c r="E90" i="3"/>
  <c r="D90" i="3"/>
  <c r="O88" i="3"/>
  <c r="N88" i="3"/>
  <c r="M88" i="3"/>
  <c r="L88" i="3"/>
  <c r="J88" i="3"/>
  <c r="I88" i="3"/>
  <c r="H88" i="3"/>
  <c r="G88" i="3"/>
  <c r="F88" i="3"/>
  <c r="E88" i="3"/>
  <c r="D88" i="3"/>
  <c r="O75" i="3"/>
  <c r="N75" i="3"/>
  <c r="M75" i="3"/>
  <c r="L75" i="3"/>
  <c r="J75" i="3"/>
  <c r="I75" i="3"/>
  <c r="H75" i="3"/>
  <c r="G75" i="3"/>
  <c r="F75" i="3"/>
  <c r="E75" i="3"/>
  <c r="D75" i="3"/>
  <c r="O74" i="3"/>
  <c r="N74" i="3"/>
  <c r="M74" i="3"/>
  <c r="L74" i="3"/>
  <c r="J74" i="3"/>
  <c r="I74" i="3"/>
  <c r="H74" i="3"/>
  <c r="G74" i="3"/>
  <c r="F74" i="3"/>
  <c r="E74" i="3"/>
  <c r="D74" i="3"/>
  <c r="O73" i="3"/>
  <c r="N73" i="3"/>
  <c r="M73" i="3"/>
  <c r="L73" i="3"/>
  <c r="J73" i="3"/>
  <c r="I73" i="3"/>
  <c r="H73" i="3"/>
  <c r="G73" i="3"/>
  <c r="F73" i="3"/>
  <c r="E73" i="3"/>
  <c r="D73" i="3"/>
  <c r="O72" i="3"/>
  <c r="N72" i="3"/>
  <c r="M72" i="3"/>
  <c r="L72" i="3"/>
  <c r="J72" i="3"/>
  <c r="I72" i="3"/>
  <c r="H72" i="3"/>
  <c r="G72" i="3"/>
  <c r="F72" i="3"/>
  <c r="E72" i="3"/>
  <c r="D72" i="3"/>
  <c r="O69" i="3"/>
  <c r="N69" i="3"/>
  <c r="M69" i="3"/>
  <c r="L69" i="3"/>
  <c r="J69" i="3"/>
  <c r="I69" i="3"/>
  <c r="H69" i="3"/>
  <c r="G69" i="3"/>
  <c r="F69" i="3"/>
  <c r="E69" i="3"/>
  <c r="D69" i="3"/>
  <c r="O68" i="3"/>
  <c r="N68" i="3"/>
  <c r="M68" i="3"/>
  <c r="L68" i="3"/>
  <c r="J68" i="3"/>
  <c r="I68" i="3"/>
  <c r="H68" i="3"/>
  <c r="G68" i="3"/>
  <c r="F68" i="3"/>
  <c r="E68" i="3"/>
  <c r="D68" i="3"/>
  <c r="O67" i="3"/>
  <c r="N67" i="3"/>
  <c r="M67" i="3"/>
  <c r="L67" i="3"/>
  <c r="J67" i="3"/>
  <c r="I67" i="3"/>
  <c r="H67" i="3"/>
  <c r="G67" i="3"/>
  <c r="F67" i="3"/>
  <c r="E67" i="3"/>
  <c r="D67" i="3"/>
  <c r="O65" i="3"/>
  <c r="N65" i="3"/>
  <c r="M65" i="3"/>
  <c r="L65" i="3"/>
  <c r="J65" i="3"/>
  <c r="I65" i="3"/>
  <c r="H65" i="3"/>
  <c r="G65" i="3"/>
  <c r="F65" i="3"/>
  <c r="E65" i="3"/>
  <c r="D65" i="3"/>
  <c r="O64" i="3"/>
  <c r="N64" i="3"/>
  <c r="M64" i="3"/>
  <c r="L64" i="3"/>
  <c r="J64" i="3"/>
  <c r="I64" i="3"/>
  <c r="H64" i="3"/>
  <c r="G64" i="3"/>
  <c r="F64" i="3"/>
  <c r="E64" i="3"/>
  <c r="D64" i="3"/>
  <c r="O62" i="3"/>
  <c r="N62" i="3"/>
  <c r="M62" i="3"/>
  <c r="L62" i="3"/>
  <c r="J62" i="3"/>
  <c r="I62" i="3"/>
  <c r="H62" i="3"/>
  <c r="G62" i="3"/>
  <c r="F62" i="3"/>
  <c r="E62" i="3"/>
  <c r="D62" i="3"/>
  <c r="O49" i="3"/>
  <c r="N49" i="3"/>
  <c r="M49" i="3"/>
  <c r="L49" i="3"/>
  <c r="J49" i="3"/>
  <c r="I49" i="3"/>
  <c r="H49" i="3"/>
  <c r="G49" i="3"/>
  <c r="F49" i="3"/>
  <c r="E49" i="3"/>
  <c r="D49" i="3"/>
  <c r="O48" i="3"/>
  <c r="N48" i="3"/>
  <c r="M48" i="3"/>
  <c r="L48" i="3"/>
  <c r="J48" i="3"/>
  <c r="I48" i="3"/>
  <c r="H48" i="3"/>
  <c r="G48" i="3"/>
  <c r="F48" i="3"/>
  <c r="E48" i="3"/>
  <c r="D48" i="3"/>
  <c r="O47" i="3"/>
  <c r="N47" i="3"/>
  <c r="M47" i="3"/>
  <c r="L47" i="3"/>
  <c r="J47" i="3"/>
  <c r="I47" i="3"/>
  <c r="H47" i="3"/>
  <c r="G47" i="3"/>
  <c r="F47" i="3"/>
  <c r="E47" i="3"/>
  <c r="D47" i="3"/>
  <c r="O46" i="3"/>
  <c r="N46" i="3"/>
  <c r="M46" i="3"/>
  <c r="L46" i="3"/>
  <c r="J46" i="3"/>
  <c r="I46" i="3"/>
  <c r="H46" i="3"/>
  <c r="G46" i="3"/>
  <c r="F46" i="3"/>
  <c r="E46" i="3"/>
  <c r="D46" i="3"/>
  <c r="O43" i="3"/>
  <c r="N43" i="3"/>
  <c r="M43" i="3"/>
  <c r="L43" i="3"/>
  <c r="J43" i="3"/>
  <c r="I43" i="3"/>
  <c r="H43" i="3"/>
  <c r="G43" i="3"/>
  <c r="F43" i="3"/>
  <c r="E43" i="3"/>
  <c r="D43" i="3"/>
  <c r="O42" i="3"/>
  <c r="N42" i="3"/>
  <c r="M42" i="3"/>
  <c r="L42" i="3"/>
  <c r="J42" i="3"/>
  <c r="I42" i="3"/>
  <c r="H42" i="3"/>
  <c r="G42" i="3"/>
  <c r="F42" i="3"/>
  <c r="E42" i="3"/>
  <c r="D42" i="3"/>
  <c r="O41" i="3"/>
  <c r="N41" i="3"/>
  <c r="M41" i="3"/>
  <c r="L41" i="3"/>
  <c r="J41" i="3"/>
  <c r="I41" i="3"/>
  <c r="H41" i="3"/>
  <c r="G41" i="3"/>
  <c r="F41" i="3"/>
  <c r="E41" i="3"/>
  <c r="D41" i="3"/>
  <c r="O39" i="3"/>
  <c r="N39" i="3"/>
  <c r="M39" i="3"/>
  <c r="L39" i="3"/>
  <c r="J39" i="3"/>
  <c r="I39" i="3"/>
  <c r="H39" i="3"/>
  <c r="G39" i="3"/>
  <c r="F39" i="3"/>
  <c r="E39" i="3"/>
  <c r="D39" i="3"/>
  <c r="O38" i="3"/>
  <c r="N38" i="3"/>
  <c r="M38" i="3"/>
  <c r="L38" i="3"/>
  <c r="J38" i="3"/>
  <c r="I38" i="3"/>
  <c r="H38" i="3"/>
  <c r="G38" i="3"/>
  <c r="F38" i="3"/>
  <c r="E38" i="3"/>
  <c r="D38" i="3"/>
  <c r="N36" i="3"/>
  <c r="M36" i="3"/>
  <c r="L36" i="3"/>
  <c r="J36" i="3"/>
  <c r="I36" i="3"/>
  <c r="H36" i="3"/>
  <c r="G36" i="3"/>
  <c r="F36" i="3"/>
  <c r="E36" i="3"/>
  <c r="D36" i="3"/>
  <c r="K48" i="3"/>
  <c r="K54" i="3" s="1"/>
  <c r="P54" i="3" s="1"/>
  <c r="P57" i="3" s="1"/>
  <c r="K25" i="1" s="1"/>
  <c r="D17" i="1" l="1"/>
  <c r="K99" i="3"/>
  <c r="P99" i="3" s="1"/>
  <c r="K64" i="3"/>
  <c r="P64" i="3" s="1"/>
  <c r="K67" i="3"/>
  <c r="P67" i="3" s="1"/>
  <c r="P46" i="3"/>
  <c r="K68" i="3"/>
  <c r="P68" i="3" s="1"/>
  <c r="P62" i="3"/>
  <c r="P63" i="3" s="1"/>
  <c r="K47" i="3"/>
  <c r="P47" i="3" s="1"/>
  <c r="K93" i="3"/>
  <c r="P93" i="3" s="1"/>
  <c r="K38" i="3"/>
  <c r="P38" i="3" s="1"/>
  <c r="K98" i="3"/>
  <c r="P98" i="3" s="1"/>
  <c r="P90" i="3"/>
  <c r="K41" i="3"/>
  <c r="P41" i="3" s="1"/>
  <c r="P88" i="3"/>
  <c r="P89" i="3" s="1"/>
  <c r="P101" i="3"/>
  <c r="P74" i="3"/>
  <c r="P72" i="3"/>
  <c r="P73" i="3"/>
  <c r="P69" i="3"/>
  <c r="P65" i="3"/>
  <c r="P49" i="3"/>
  <c r="P39" i="3"/>
  <c r="P42" i="3"/>
  <c r="P43" i="3"/>
  <c r="P36" i="3"/>
  <c r="P37" i="3" s="1"/>
  <c r="P95" i="3"/>
  <c r="P75" i="3"/>
  <c r="P48" i="3"/>
  <c r="K22" i="3"/>
  <c r="D32" i="1" l="1"/>
  <c r="D34" i="1" s="1"/>
  <c r="K24" i="1"/>
  <c r="K26" i="1" s="1"/>
  <c r="P51" i="3"/>
  <c r="P91" i="3"/>
  <c r="P92" i="3" s="1"/>
  <c r="P71" i="3"/>
  <c r="P77" i="3"/>
  <c r="P45" i="3"/>
  <c r="K94" i="3"/>
  <c r="P94" i="3" s="1"/>
  <c r="P97" i="3" s="1"/>
  <c r="P40" i="3"/>
  <c r="P66" i="3"/>
  <c r="P100" i="3"/>
  <c r="P103" i="3" s="1"/>
  <c r="K32" i="1" l="1"/>
  <c r="K16" i="3"/>
  <c r="K15" i="3"/>
  <c r="K12" i="3"/>
  <c r="K34" i="1" l="1"/>
  <c r="D21" i="3"/>
  <c r="E21" i="3"/>
  <c r="F21" i="3"/>
  <c r="G21" i="3"/>
  <c r="H21" i="3"/>
  <c r="I21" i="3"/>
  <c r="J21" i="3"/>
  <c r="L21" i="3"/>
  <c r="M21" i="3"/>
  <c r="N21" i="3"/>
  <c r="D22" i="3"/>
  <c r="E22" i="3"/>
  <c r="F22" i="3"/>
  <c r="G22" i="3"/>
  <c r="H22" i="3"/>
  <c r="I22" i="3"/>
  <c r="J22" i="3"/>
  <c r="L22" i="3"/>
  <c r="M22" i="3"/>
  <c r="N22" i="3"/>
  <c r="D23" i="3"/>
  <c r="E23" i="3"/>
  <c r="F23" i="3"/>
  <c r="G23" i="3"/>
  <c r="H23" i="3"/>
  <c r="I23" i="3"/>
  <c r="J23" i="3"/>
  <c r="L23" i="3"/>
  <c r="M23" i="3"/>
  <c r="N23" i="3"/>
  <c r="D15" i="3"/>
  <c r="E15" i="3"/>
  <c r="F15" i="3"/>
  <c r="G15" i="3"/>
  <c r="H15" i="3"/>
  <c r="I15" i="3"/>
  <c r="J15" i="3"/>
  <c r="L15" i="3"/>
  <c r="M15" i="3"/>
  <c r="N15" i="3"/>
  <c r="D16" i="3"/>
  <c r="E16" i="3"/>
  <c r="F16" i="3"/>
  <c r="G16" i="3"/>
  <c r="H16" i="3"/>
  <c r="I16" i="3"/>
  <c r="J16" i="3"/>
  <c r="L16" i="3"/>
  <c r="M16" i="3"/>
  <c r="N16" i="3"/>
  <c r="D17" i="3"/>
  <c r="E17" i="3"/>
  <c r="F17" i="3"/>
  <c r="G17" i="3"/>
  <c r="H17" i="3"/>
  <c r="I17" i="3"/>
  <c r="J17" i="3"/>
  <c r="L17" i="3"/>
  <c r="M17" i="3"/>
  <c r="N17" i="3"/>
  <c r="D20" i="3"/>
  <c r="E20" i="3"/>
  <c r="F20" i="3"/>
  <c r="G20" i="3"/>
  <c r="H20" i="3"/>
  <c r="I20" i="3"/>
  <c r="J20" i="3"/>
  <c r="L20" i="3"/>
  <c r="M20" i="3"/>
  <c r="N20" i="3"/>
  <c r="P23" i="3" l="1"/>
  <c r="P21" i="3"/>
  <c r="P16" i="3"/>
  <c r="P15" i="3"/>
  <c r="P17" i="3"/>
  <c r="P20" i="3"/>
  <c r="P19" i="3" l="1"/>
  <c r="P22" i="3"/>
  <c r="P25" i="3" s="1"/>
  <c r="L13" i="3"/>
  <c r="M13" i="3"/>
  <c r="N13" i="3"/>
  <c r="D13" i="3"/>
  <c r="E13" i="3"/>
  <c r="F13" i="3"/>
  <c r="G13" i="3"/>
  <c r="H13" i="3"/>
  <c r="I13" i="3"/>
  <c r="J13" i="3"/>
  <c r="D24" i="1" l="1"/>
  <c r="D16" i="1" s="1"/>
  <c r="L12" i="3"/>
  <c r="O10" i="3"/>
  <c r="N12" i="3"/>
  <c r="N10" i="3"/>
  <c r="M12" i="3"/>
  <c r="M10" i="3"/>
  <c r="P13" i="3"/>
  <c r="L10" i="3"/>
  <c r="F12" i="3"/>
  <c r="F10" i="3"/>
  <c r="J12" i="3"/>
  <c r="I12" i="3"/>
  <c r="H12" i="3"/>
  <c r="G12" i="3"/>
  <c r="E12" i="3"/>
  <c r="D12" i="3"/>
  <c r="J10" i="3"/>
  <c r="I10" i="3"/>
  <c r="H10" i="3"/>
  <c r="G10" i="3"/>
  <c r="E10" i="3"/>
  <c r="D10" i="3"/>
  <c r="P10" i="3" l="1"/>
  <c r="P11" i="3" s="1"/>
  <c r="D18" i="1"/>
  <c r="D26" i="1"/>
  <c r="P12" i="3"/>
  <c r="P14" i="3" s="1"/>
  <c r="C21" i="2" l="1"/>
  <c r="C22" i="2" s="1"/>
  <c r="C24" i="2" s="1"/>
  <c r="E19" i="4" l="1"/>
  <c r="H19" i="4" s="1"/>
  <c r="J19" i="4" s="1"/>
  <c r="E33" i="1" s="1"/>
  <c r="P19" i="4"/>
  <c r="S19" i="4" s="1"/>
  <c r="U19" i="4" s="1"/>
  <c r="L33" i="1" s="1"/>
  <c r="P13" i="4"/>
  <c r="S13" i="4" s="1"/>
  <c r="E13" i="4"/>
  <c r="H13" i="4" s="1"/>
  <c r="P12" i="4"/>
  <c r="E12" i="4"/>
  <c r="E18" i="4"/>
  <c r="P18" i="4"/>
  <c r="J13" i="4" l="1"/>
  <c r="E25" i="1" s="1"/>
  <c r="G25" i="1" s="1"/>
  <c r="U13" i="4"/>
  <c r="L25" i="1" s="1"/>
  <c r="H12" i="4"/>
  <c r="E14" i="4"/>
  <c r="H18" i="4"/>
  <c r="E20" i="4"/>
  <c r="S12" i="4"/>
  <c r="P14" i="4"/>
  <c r="S18" i="4"/>
  <c r="P20" i="4"/>
  <c r="N33" i="1"/>
  <c r="J18" i="4" l="1"/>
  <c r="J12" i="4"/>
  <c r="U18" i="4"/>
  <c r="U12" i="4"/>
  <c r="H14" i="4"/>
  <c r="S20" i="4"/>
  <c r="S14" i="4"/>
  <c r="H20" i="4"/>
  <c r="E17" i="1"/>
  <c r="G17" i="1" s="1"/>
  <c r="N25" i="1"/>
  <c r="G33" i="1"/>
  <c r="I17" i="1" l="1"/>
  <c r="K17" i="1"/>
  <c r="J14" i="4"/>
  <c r="E24" i="1"/>
  <c r="G24" i="1" s="1"/>
  <c r="U14" i="4"/>
  <c r="L24" i="1"/>
  <c r="L26" i="1" s="1"/>
  <c r="N26" i="1" s="1"/>
  <c r="U20" i="4"/>
  <c r="L32" i="1"/>
  <c r="N32" i="1" s="1"/>
  <c r="J20" i="4"/>
  <c r="E32" i="1"/>
  <c r="E26" i="1" l="1"/>
  <c r="G26" i="1" s="1"/>
  <c r="E16" i="1"/>
  <c r="G32" i="1"/>
  <c r="E34" i="1"/>
  <c r="G34" i="1" s="1"/>
  <c r="N24" i="1"/>
  <c r="L34" i="1"/>
  <c r="N34" i="1" s="1"/>
  <c r="G16" i="1" l="1"/>
  <c r="E18" i="1"/>
  <c r="G18" i="1" s="1"/>
  <c r="I16" i="1" l="1"/>
  <c r="K16" i="1"/>
  <c r="K18" i="1" s="1"/>
  <c r="D9" i="1"/>
  <c r="I18" i="1"/>
  <c r="K7" i="1" l="1"/>
  <c r="K8" i="1" s="1"/>
  <c r="E8" i="29"/>
  <c r="D10" i="1"/>
</calcChain>
</file>

<file path=xl/sharedStrings.xml><?xml version="1.0" encoding="utf-8"?>
<sst xmlns="http://schemas.openxmlformats.org/spreadsheetml/2006/main" count="657" uniqueCount="244">
  <si>
    <t>Monitoring Period</t>
  </si>
  <si>
    <t>From</t>
  </si>
  <si>
    <t>To</t>
  </si>
  <si>
    <t>Total</t>
  </si>
  <si>
    <t>Values</t>
  </si>
  <si>
    <t>Reference</t>
  </si>
  <si>
    <t>Correction Factor</t>
  </si>
  <si>
    <t>Tool 04, Emissions from solid waste disposal site, Version 08.0, EB 94, Annex 7</t>
  </si>
  <si>
    <t>Fraction</t>
  </si>
  <si>
    <t>Oxidation Factor</t>
  </si>
  <si>
    <t>Decay Rate</t>
  </si>
  <si>
    <t xml:space="preserve">Weighted average emission factor, CO2 Baseline Database for the Indian Power Sector, Version 14.0 </t>
  </si>
  <si>
    <t>Tool 13, Project and leakage emission from composting, Version 2.0, EB 96, Annex 6</t>
  </si>
  <si>
    <t>Tool 14, Project and lekage emission from anaerobic digesters, Version 2.0, EB 96 Annex 7</t>
  </si>
  <si>
    <t>TJ/Gg</t>
  </si>
  <si>
    <t>IPCC</t>
  </si>
  <si>
    <t>Calculated</t>
  </si>
  <si>
    <t>Density</t>
  </si>
  <si>
    <t>(http://www.iocl.com/Products/DieselSpecifications.pdf)</t>
  </si>
  <si>
    <t>Computation of Baseline Emissions - Bio-Methanation of Municipal Solid Waste</t>
  </si>
  <si>
    <t>Sr. No.</t>
  </si>
  <si>
    <t>Month</t>
  </si>
  <si>
    <t xml:space="preserve">Monthly Electricity Consumption </t>
  </si>
  <si>
    <t>Producted</t>
  </si>
  <si>
    <t>Bio Methanation (Aurangabad):</t>
  </si>
  <si>
    <t>Unit</t>
  </si>
  <si>
    <t>Bio Methanation (Aurngabad):</t>
  </si>
  <si>
    <t>Bio Methanation (Adoni):</t>
  </si>
  <si>
    <t>Bio Methanation (Tirupati):</t>
  </si>
  <si>
    <t>Bio Methanation (Pidugaralla):</t>
  </si>
  <si>
    <t>Project Name :- 20 TPD Bio Methanation Plant At Adoni</t>
  </si>
  <si>
    <t>Bio Methanation (Piduguralla):</t>
  </si>
  <si>
    <t>Computation of Emission Reductions (Project Level)</t>
  </si>
  <si>
    <t>Project Name :- 30 TPD Bio Methanation Plant At Aurangabad</t>
  </si>
  <si>
    <t>Project Name :- 20 TPD Bio Methanation Plant At Piduguralla</t>
  </si>
  <si>
    <t>Project Name :- 40 TPD Bio Methanation Plant At Tirupati</t>
  </si>
  <si>
    <t xml:space="preserve"> Tool 04, Emissions from solid waste disposal site, Version 08.0, EB 94, Annex 7</t>
  </si>
  <si>
    <t>OX</t>
  </si>
  <si>
    <t>Parameters as per ACM0022, V-2.0</t>
  </si>
  <si>
    <t>x</t>
  </si>
  <si>
    <t>y</t>
  </si>
  <si>
    <t>(1 - OX)</t>
  </si>
  <si>
    <t>F</t>
  </si>
  <si>
    <r>
      <t>φ</t>
    </r>
    <r>
      <rPr>
        <i/>
        <vertAlign val="subscript"/>
        <sz val="11"/>
        <color theme="1"/>
        <rFont val="Franklin Gothic Book"/>
        <family val="2"/>
      </rPr>
      <t>y</t>
    </r>
  </si>
  <si>
    <r>
      <t>(1-f</t>
    </r>
    <r>
      <rPr>
        <b/>
        <i/>
        <vertAlign val="subscript"/>
        <sz val="12"/>
        <color theme="1"/>
        <rFont val="Franklin Gothic Book"/>
        <family val="2"/>
      </rPr>
      <t>y</t>
    </r>
    <r>
      <rPr>
        <b/>
        <i/>
        <sz val="12"/>
        <color theme="1"/>
        <rFont val="Franklin Gothic Book"/>
        <family val="2"/>
      </rPr>
      <t>)</t>
    </r>
  </si>
  <si>
    <r>
      <t>GWP</t>
    </r>
    <r>
      <rPr>
        <b/>
        <i/>
        <vertAlign val="subscript"/>
        <sz val="12"/>
        <color theme="1"/>
        <rFont val="Franklin Gothic Book"/>
        <family val="2"/>
      </rPr>
      <t>CH4</t>
    </r>
  </si>
  <si>
    <r>
      <t>DOC</t>
    </r>
    <r>
      <rPr>
        <b/>
        <i/>
        <vertAlign val="subscript"/>
        <sz val="12"/>
        <color theme="1"/>
        <rFont val="Franklin Gothic Book"/>
        <family val="2"/>
      </rPr>
      <t>f,y</t>
    </r>
  </si>
  <si>
    <r>
      <t>MCF</t>
    </r>
    <r>
      <rPr>
        <b/>
        <i/>
        <vertAlign val="subscript"/>
        <sz val="12"/>
        <color theme="1"/>
        <rFont val="Franklin Gothic Book"/>
        <family val="2"/>
      </rPr>
      <t>y</t>
    </r>
  </si>
  <si>
    <r>
      <t>W</t>
    </r>
    <r>
      <rPr>
        <b/>
        <i/>
        <vertAlign val="subscript"/>
        <sz val="12"/>
        <color theme="1"/>
        <rFont val="Franklin Gothic Book"/>
        <family val="2"/>
      </rPr>
      <t>j,i</t>
    </r>
  </si>
  <si>
    <r>
      <t>DOC</t>
    </r>
    <r>
      <rPr>
        <b/>
        <i/>
        <vertAlign val="subscript"/>
        <sz val="12"/>
        <color theme="1"/>
        <rFont val="Franklin Gothic Book"/>
        <family val="2"/>
      </rPr>
      <t>j</t>
    </r>
  </si>
  <si>
    <r>
      <t>e</t>
    </r>
    <r>
      <rPr>
        <b/>
        <i/>
        <vertAlign val="superscript"/>
        <sz val="12"/>
        <color theme="1"/>
        <rFont val="Franklin Gothic Book"/>
        <family val="2"/>
      </rPr>
      <t>(-kj X (y-x))</t>
    </r>
  </si>
  <si>
    <r>
      <t>(1 - e</t>
    </r>
    <r>
      <rPr>
        <b/>
        <i/>
        <vertAlign val="superscript"/>
        <sz val="12"/>
        <color theme="1"/>
        <rFont val="Franklin Gothic Book"/>
        <family val="2"/>
      </rPr>
      <t>-kj</t>
    </r>
    <r>
      <rPr>
        <b/>
        <i/>
        <sz val="12"/>
        <color theme="1"/>
        <rFont val="Franklin Gothic Book"/>
        <family val="2"/>
      </rPr>
      <t>)</t>
    </r>
  </si>
  <si>
    <r>
      <t>BE</t>
    </r>
    <r>
      <rPr>
        <b/>
        <i/>
        <vertAlign val="subscript"/>
        <sz val="12"/>
        <color theme="1"/>
        <rFont val="Franklin Gothic Book"/>
        <family val="2"/>
      </rPr>
      <t>CH4,SWDS,y</t>
    </r>
  </si>
  <si>
    <r>
      <t>DF</t>
    </r>
    <r>
      <rPr>
        <b/>
        <i/>
        <vertAlign val="subscript"/>
        <sz val="11"/>
        <color theme="1"/>
        <rFont val="Franklin Gothic Book"/>
        <family val="2"/>
      </rPr>
      <t>RATE,t,y</t>
    </r>
  </si>
  <si>
    <r>
      <t>f</t>
    </r>
    <r>
      <rPr>
        <i/>
        <vertAlign val="subscript"/>
        <sz val="11"/>
        <color theme="1"/>
        <rFont val="Franklin Gothic Book"/>
        <family val="2"/>
      </rPr>
      <t>y</t>
    </r>
  </si>
  <si>
    <r>
      <t>GWP</t>
    </r>
    <r>
      <rPr>
        <i/>
        <vertAlign val="subscript"/>
        <sz val="11"/>
        <color theme="1"/>
        <rFont val="Franklin Gothic Book"/>
        <family val="2"/>
      </rPr>
      <t>CH4</t>
    </r>
  </si>
  <si>
    <r>
      <t>t CO</t>
    </r>
    <r>
      <rPr>
        <vertAlign val="subscript"/>
        <sz val="11"/>
        <color theme="1"/>
        <rFont val="Franklin Gothic Book"/>
        <family val="2"/>
      </rPr>
      <t>2</t>
    </r>
    <r>
      <rPr>
        <sz val="11"/>
        <color theme="1"/>
        <rFont val="Franklin Gothic Book"/>
        <family val="2"/>
      </rPr>
      <t>e/t CH</t>
    </r>
    <r>
      <rPr>
        <vertAlign val="subscript"/>
        <sz val="11"/>
        <color theme="1"/>
        <rFont val="Franklin Gothic Book"/>
        <family val="2"/>
      </rPr>
      <t>4</t>
    </r>
  </si>
  <si>
    <r>
      <t>DOC</t>
    </r>
    <r>
      <rPr>
        <i/>
        <vertAlign val="subscript"/>
        <sz val="11"/>
        <color theme="1"/>
        <rFont val="Franklin Gothic Book"/>
        <family val="2"/>
      </rPr>
      <t>f,y</t>
    </r>
  </si>
  <si>
    <r>
      <t>MCF</t>
    </r>
    <r>
      <rPr>
        <i/>
        <vertAlign val="subscript"/>
        <sz val="11"/>
        <color theme="1"/>
        <rFont val="Franklin Gothic Book"/>
        <family val="2"/>
      </rPr>
      <t>y</t>
    </r>
  </si>
  <si>
    <r>
      <t>DOC</t>
    </r>
    <r>
      <rPr>
        <i/>
        <vertAlign val="subscript"/>
        <sz val="11"/>
        <color theme="1"/>
        <rFont val="Franklin Gothic Book"/>
        <family val="2"/>
      </rPr>
      <t>j</t>
    </r>
  </si>
  <si>
    <r>
      <t>k</t>
    </r>
    <r>
      <rPr>
        <i/>
        <vertAlign val="subscript"/>
        <sz val="11"/>
        <color theme="1"/>
        <rFont val="Franklin Gothic Book"/>
        <family val="2"/>
      </rPr>
      <t>j</t>
    </r>
  </si>
  <si>
    <r>
      <t>EF</t>
    </r>
    <r>
      <rPr>
        <i/>
        <vertAlign val="subscript"/>
        <sz val="11"/>
        <color theme="1"/>
        <rFont val="Franklin Gothic Book"/>
        <family val="2"/>
      </rPr>
      <t>EF,j,y</t>
    </r>
  </si>
  <si>
    <r>
      <t>tCO</t>
    </r>
    <r>
      <rPr>
        <vertAlign val="subscript"/>
        <sz val="11"/>
        <color theme="1"/>
        <rFont val="Franklin Gothic Book"/>
        <family val="2"/>
      </rPr>
      <t>2</t>
    </r>
    <r>
      <rPr>
        <sz val="11"/>
        <color theme="1"/>
        <rFont val="Franklin Gothic Book"/>
        <family val="2"/>
      </rPr>
      <t>/MWh</t>
    </r>
  </si>
  <si>
    <r>
      <t>GWP</t>
    </r>
    <r>
      <rPr>
        <i/>
        <vertAlign val="subscript"/>
        <sz val="11"/>
        <color theme="1"/>
        <rFont val="Franklin Gothic Book"/>
        <family val="2"/>
      </rPr>
      <t>N2O</t>
    </r>
  </si>
  <si>
    <r>
      <t>t CO</t>
    </r>
    <r>
      <rPr>
        <vertAlign val="subscript"/>
        <sz val="11"/>
        <color theme="1"/>
        <rFont val="Franklin Gothic Book"/>
        <family val="2"/>
      </rPr>
      <t>2</t>
    </r>
    <r>
      <rPr>
        <sz val="11"/>
        <color theme="1"/>
        <rFont val="Franklin Gothic Book"/>
        <family val="2"/>
      </rPr>
      <t>e/t N</t>
    </r>
    <r>
      <rPr>
        <vertAlign val="subscript"/>
        <sz val="11"/>
        <color theme="1"/>
        <rFont val="Franklin Gothic Book"/>
        <family val="2"/>
      </rPr>
      <t>2</t>
    </r>
    <r>
      <rPr>
        <sz val="11"/>
        <color theme="1"/>
        <rFont val="Franklin Gothic Book"/>
        <family val="2"/>
      </rPr>
      <t>O</t>
    </r>
  </si>
  <si>
    <r>
      <t>f</t>
    </r>
    <r>
      <rPr>
        <i/>
        <vertAlign val="subscript"/>
        <sz val="11"/>
        <color theme="1"/>
        <rFont val="Franklin Gothic Book"/>
        <family val="2"/>
      </rPr>
      <t>CH4,default</t>
    </r>
  </si>
  <si>
    <r>
      <t>m</t>
    </r>
    <r>
      <rPr>
        <vertAlign val="superscript"/>
        <sz val="11"/>
        <color theme="1"/>
        <rFont val="Franklin Gothic Book"/>
        <family val="2"/>
      </rPr>
      <t>3</t>
    </r>
    <r>
      <rPr>
        <sz val="11"/>
        <color theme="1"/>
        <rFont val="Franklin Gothic Book"/>
        <family val="2"/>
      </rPr>
      <t xml:space="preserve"> CH</t>
    </r>
    <r>
      <rPr>
        <vertAlign val="subscript"/>
        <sz val="11"/>
        <color theme="1"/>
        <rFont val="Franklin Gothic Book"/>
        <family val="2"/>
      </rPr>
      <t>4</t>
    </r>
    <r>
      <rPr>
        <sz val="11"/>
        <color theme="1"/>
        <rFont val="Franklin Gothic Book"/>
        <family val="2"/>
      </rPr>
      <t>/m</t>
    </r>
    <r>
      <rPr>
        <vertAlign val="superscript"/>
        <sz val="11"/>
        <color theme="1"/>
        <rFont val="Franklin Gothic Book"/>
        <family val="2"/>
      </rPr>
      <t>3</t>
    </r>
  </si>
  <si>
    <r>
      <t>φ</t>
    </r>
    <r>
      <rPr>
        <i/>
        <vertAlign val="subscript"/>
        <sz val="11"/>
        <color theme="1"/>
        <rFont val="Franklin Gothic Book"/>
        <family val="2"/>
      </rPr>
      <t>CH4</t>
    </r>
  </si>
  <si>
    <r>
      <t>t CH</t>
    </r>
    <r>
      <rPr>
        <vertAlign val="subscript"/>
        <sz val="11"/>
        <color theme="1"/>
        <rFont val="Franklin Gothic Book"/>
        <family val="2"/>
      </rPr>
      <t>4</t>
    </r>
    <r>
      <rPr>
        <sz val="11"/>
        <color theme="1"/>
        <rFont val="Franklin Gothic Book"/>
        <family val="2"/>
      </rPr>
      <t>/m</t>
    </r>
    <r>
      <rPr>
        <vertAlign val="superscript"/>
        <sz val="11"/>
        <color theme="1"/>
        <rFont val="Franklin Gothic Book"/>
        <family val="2"/>
      </rPr>
      <t>3</t>
    </r>
    <r>
      <rPr>
        <sz val="11"/>
        <color theme="1"/>
        <rFont val="Franklin Gothic Book"/>
        <family val="2"/>
      </rPr>
      <t xml:space="preserve"> CH</t>
    </r>
    <r>
      <rPr>
        <vertAlign val="subscript"/>
        <sz val="11"/>
        <color theme="1"/>
        <rFont val="Franklin Gothic Book"/>
        <family val="2"/>
      </rPr>
      <t>4</t>
    </r>
  </si>
  <si>
    <r>
      <t>F</t>
    </r>
    <r>
      <rPr>
        <i/>
        <vertAlign val="subscript"/>
        <sz val="11"/>
        <color theme="1"/>
        <rFont val="Franklin Gothic Book"/>
        <family val="2"/>
      </rPr>
      <t>EC, default</t>
    </r>
  </si>
  <si>
    <r>
      <t>MWh/ t CH</t>
    </r>
    <r>
      <rPr>
        <vertAlign val="subscript"/>
        <sz val="11"/>
        <color theme="1"/>
        <rFont val="Franklin Gothic Book"/>
        <family val="2"/>
      </rPr>
      <t>4</t>
    </r>
    <r>
      <rPr>
        <sz val="11"/>
        <color theme="1"/>
        <rFont val="Franklin Gothic Book"/>
        <family val="2"/>
      </rPr>
      <t xml:space="preserve"> produced</t>
    </r>
  </si>
  <si>
    <r>
      <t>FE</t>
    </r>
    <r>
      <rPr>
        <i/>
        <vertAlign val="subscript"/>
        <sz val="11"/>
        <color theme="1"/>
        <rFont val="Franklin Gothic Book"/>
        <family val="2"/>
      </rPr>
      <t>EL, default</t>
    </r>
  </si>
  <si>
    <r>
      <t>t CO</t>
    </r>
    <r>
      <rPr>
        <vertAlign val="subscript"/>
        <sz val="11"/>
        <color theme="1"/>
        <rFont val="Franklin Gothic Book"/>
        <family val="2"/>
      </rPr>
      <t>2</t>
    </r>
    <r>
      <rPr>
        <sz val="11"/>
        <color theme="1"/>
        <rFont val="Franklin Gothic Book"/>
        <family val="2"/>
      </rPr>
      <t>/ MWh</t>
    </r>
  </si>
  <si>
    <r>
      <t>EF</t>
    </r>
    <r>
      <rPr>
        <i/>
        <vertAlign val="subscript"/>
        <sz val="11"/>
        <color theme="1"/>
        <rFont val="Franklin Gothic Book"/>
        <family val="2"/>
      </rPr>
      <t>CH4, default</t>
    </r>
  </si>
  <si>
    <r>
      <t>t CH</t>
    </r>
    <r>
      <rPr>
        <vertAlign val="subscript"/>
        <sz val="11"/>
        <color theme="1"/>
        <rFont val="Franklin Gothic Book"/>
        <family val="2"/>
      </rPr>
      <t>4</t>
    </r>
    <r>
      <rPr>
        <sz val="11"/>
        <color theme="1"/>
        <rFont val="Franklin Gothic Book"/>
        <family val="2"/>
      </rPr>
      <t xml:space="preserve"> leaked/ t CH</t>
    </r>
    <r>
      <rPr>
        <vertAlign val="subscript"/>
        <sz val="11"/>
        <color theme="1"/>
        <rFont val="Franklin Gothic Book"/>
        <family val="2"/>
      </rPr>
      <t>4</t>
    </r>
    <r>
      <rPr>
        <sz val="11"/>
        <color theme="1"/>
        <rFont val="Franklin Gothic Book"/>
        <family val="2"/>
      </rPr>
      <t xml:space="preserve"> produced</t>
    </r>
  </si>
  <si>
    <r>
      <t>tCO</t>
    </r>
    <r>
      <rPr>
        <vertAlign val="subscript"/>
        <sz val="11"/>
        <color theme="1"/>
        <rFont val="Franklin Gothic Book"/>
        <family val="2"/>
      </rPr>
      <t>2</t>
    </r>
    <r>
      <rPr>
        <sz val="11"/>
        <color theme="1"/>
        <rFont val="Franklin Gothic Book"/>
        <family val="2"/>
      </rPr>
      <t>/TJ</t>
    </r>
  </si>
  <si>
    <r>
      <t>CO</t>
    </r>
    <r>
      <rPr>
        <i/>
        <vertAlign val="subscript"/>
        <sz val="11"/>
        <color theme="1"/>
        <rFont val="Franklin Gothic Book"/>
        <family val="2"/>
      </rPr>
      <t>EF</t>
    </r>
  </si>
  <si>
    <r>
      <t>tCO</t>
    </r>
    <r>
      <rPr>
        <vertAlign val="subscript"/>
        <sz val="11"/>
        <color theme="1"/>
        <rFont val="Franklin Gothic Book"/>
        <family val="2"/>
      </rPr>
      <t>2</t>
    </r>
    <r>
      <rPr>
        <sz val="11"/>
        <color theme="1"/>
        <rFont val="Franklin Gothic Book"/>
        <family val="2"/>
      </rPr>
      <t>/Gg</t>
    </r>
  </si>
  <si>
    <r>
      <t>tCO</t>
    </r>
    <r>
      <rPr>
        <vertAlign val="subscript"/>
        <sz val="11"/>
        <color theme="1"/>
        <rFont val="Franklin Gothic Book"/>
        <family val="2"/>
      </rPr>
      <t>2</t>
    </r>
    <r>
      <rPr>
        <sz val="11"/>
        <color theme="1"/>
        <rFont val="Franklin Gothic Book"/>
        <family val="2"/>
      </rPr>
      <t>/kg</t>
    </r>
  </si>
  <si>
    <r>
      <t>EF</t>
    </r>
    <r>
      <rPr>
        <i/>
        <vertAlign val="subscript"/>
        <sz val="11"/>
        <color theme="1"/>
        <rFont val="Franklin Gothic Book"/>
        <family val="2"/>
      </rPr>
      <t>Diesel</t>
    </r>
  </si>
  <si>
    <r>
      <t>tCO</t>
    </r>
    <r>
      <rPr>
        <vertAlign val="subscript"/>
        <sz val="11"/>
        <color theme="1"/>
        <rFont val="Franklin Gothic Book"/>
        <family val="2"/>
      </rPr>
      <t>2</t>
    </r>
    <r>
      <rPr>
        <sz val="11"/>
        <color theme="1"/>
        <rFont val="Franklin Gothic Book"/>
        <family val="2"/>
      </rPr>
      <t>/litre</t>
    </r>
  </si>
  <si>
    <r>
      <t>DF</t>
    </r>
    <r>
      <rPr>
        <i/>
        <vertAlign val="subscript"/>
        <sz val="11"/>
        <color theme="1"/>
        <rFont val="Franklin Gothic Book"/>
        <family val="2"/>
      </rPr>
      <t>RATE,t,y</t>
    </r>
  </si>
  <si>
    <t>01/05/2019 - 30/04/2020</t>
  </si>
  <si>
    <r>
      <t>NCV</t>
    </r>
    <r>
      <rPr>
        <i/>
        <vertAlign val="subscript"/>
        <sz val="11"/>
        <color theme="1"/>
        <rFont val="Franklin Gothic Book"/>
        <family val="2"/>
      </rPr>
      <t>Diesel, y</t>
    </r>
  </si>
  <si>
    <r>
      <t>EF</t>
    </r>
    <r>
      <rPr>
        <i/>
        <vertAlign val="subscript"/>
        <sz val="11"/>
        <color theme="1"/>
        <rFont val="Franklin Gothic Book"/>
        <family val="2"/>
      </rPr>
      <t>CO2, diesel, y</t>
    </r>
  </si>
  <si>
    <t>01/05/2020 - 30/04/2021</t>
  </si>
  <si>
    <r>
      <t>BE</t>
    </r>
    <r>
      <rPr>
        <b/>
        <vertAlign val="subscript"/>
        <sz val="11"/>
        <color theme="1"/>
        <rFont val="Franklin Gothic Book"/>
        <family val="2"/>
      </rPr>
      <t>y=1</t>
    </r>
  </si>
  <si>
    <r>
      <t>BE</t>
    </r>
    <r>
      <rPr>
        <b/>
        <vertAlign val="subscript"/>
        <sz val="11"/>
        <color theme="1"/>
        <rFont val="Franklin Gothic Book"/>
        <family val="2"/>
      </rPr>
      <t>y=2</t>
    </r>
  </si>
  <si>
    <r>
      <t>BE</t>
    </r>
    <r>
      <rPr>
        <b/>
        <vertAlign val="subscript"/>
        <sz val="11"/>
        <color theme="1"/>
        <rFont val="Franklin Gothic Book"/>
        <family val="2"/>
      </rPr>
      <t>y=3</t>
    </r>
  </si>
  <si>
    <r>
      <t>BE</t>
    </r>
    <r>
      <rPr>
        <b/>
        <vertAlign val="subscript"/>
        <sz val="11"/>
        <color theme="1"/>
        <rFont val="Franklin Gothic Book"/>
        <family val="2"/>
      </rPr>
      <t>y=4</t>
    </r>
  </si>
  <si>
    <r>
      <t>PE</t>
    </r>
    <r>
      <rPr>
        <b/>
        <vertAlign val="subscript"/>
        <sz val="11"/>
        <color theme="1"/>
        <rFont val="Calibri"/>
        <family val="2"/>
        <scheme val="minor"/>
      </rPr>
      <t>EC,y</t>
    </r>
  </si>
  <si>
    <r>
      <t>PE</t>
    </r>
    <r>
      <rPr>
        <b/>
        <vertAlign val="subscript"/>
        <sz val="11"/>
        <color theme="1"/>
        <rFont val="Calibri"/>
        <family val="2"/>
        <scheme val="minor"/>
      </rPr>
      <t>FC,y</t>
    </r>
  </si>
  <si>
    <r>
      <t>PE</t>
    </r>
    <r>
      <rPr>
        <b/>
        <vertAlign val="subscript"/>
        <sz val="11"/>
        <color theme="1"/>
        <rFont val="Calibri"/>
        <family val="2"/>
        <scheme val="minor"/>
      </rPr>
      <t>CH4,y</t>
    </r>
  </si>
  <si>
    <r>
      <t>PE</t>
    </r>
    <r>
      <rPr>
        <b/>
        <vertAlign val="subscript"/>
        <sz val="11"/>
        <color theme="1"/>
        <rFont val="Calibri"/>
        <family val="2"/>
        <scheme val="minor"/>
      </rPr>
      <t>flare,y</t>
    </r>
  </si>
  <si>
    <t>Bio-Methanation- Aurangabad</t>
  </si>
  <si>
    <r>
      <t>PE</t>
    </r>
    <r>
      <rPr>
        <b/>
        <vertAlign val="subscript"/>
        <sz val="11"/>
        <color theme="1"/>
        <rFont val="Calibri"/>
        <family val="2"/>
        <scheme val="minor"/>
      </rPr>
      <t>AD,y</t>
    </r>
  </si>
  <si>
    <t>Bio-Methanation- Tirupati</t>
  </si>
  <si>
    <t>Bio-Methanation- Piduguralla</t>
  </si>
  <si>
    <t>Bio-Methanation- Adoni</t>
  </si>
  <si>
    <r>
      <t>(tCO</t>
    </r>
    <r>
      <rPr>
        <b/>
        <vertAlign val="subscript"/>
        <sz val="10"/>
        <rFont val="Franklin Gothic Book"/>
        <family val="2"/>
      </rPr>
      <t>2</t>
    </r>
    <r>
      <rPr>
        <b/>
        <sz val="10"/>
        <rFont val="Franklin Gothic Book"/>
        <family val="2"/>
      </rPr>
      <t>e)</t>
    </r>
  </si>
  <si>
    <r>
      <t>Baseline Emissions 
(BE</t>
    </r>
    <r>
      <rPr>
        <b/>
        <vertAlign val="subscript"/>
        <sz val="10"/>
        <rFont val="Franklin Gothic Book"/>
        <family val="2"/>
      </rPr>
      <t>y</t>
    </r>
    <r>
      <rPr>
        <b/>
        <sz val="10"/>
        <rFont val="Franklin Gothic Book"/>
        <family val="2"/>
      </rPr>
      <t>)</t>
    </r>
  </si>
  <si>
    <r>
      <t>Project Emissions 
(PE</t>
    </r>
    <r>
      <rPr>
        <b/>
        <vertAlign val="subscript"/>
        <sz val="10"/>
        <rFont val="Franklin Gothic Book"/>
        <family val="2"/>
      </rPr>
      <t>y</t>
    </r>
    <r>
      <rPr>
        <b/>
        <sz val="10"/>
        <rFont val="Franklin Gothic Book"/>
        <family val="2"/>
      </rPr>
      <t>)</t>
    </r>
  </si>
  <si>
    <r>
      <t>Leakage Emissions 
(LE</t>
    </r>
    <r>
      <rPr>
        <b/>
        <vertAlign val="subscript"/>
        <sz val="10"/>
        <rFont val="Franklin Gothic Book"/>
        <family val="2"/>
      </rPr>
      <t>y</t>
    </r>
    <r>
      <rPr>
        <b/>
        <sz val="10"/>
        <rFont val="Franklin Gothic Book"/>
        <family val="2"/>
      </rPr>
      <t>)</t>
    </r>
  </si>
  <si>
    <r>
      <t>Emission Reductions 
(ER</t>
    </r>
    <r>
      <rPr>
        <b/>
        <vertAlign val="subscript"/>
        <sz val="10"/>
        <rFont val="Franklin Gothic Book"/>
        <family val="2"/>
      </rPr>
      <t>y</t>
    </r>
    <r>
      <rPr>
        <b/>
        <sz val="10"/>
        <rFont val="Franklin Gothic Book"/>
        <family val="2"/>
      </rPr>
      <t>)</t>
    </r>
  </si>
  <si>
    <t>01/05/2021 - 31/12/2021</t>
  </si>
  <si>
    <t>01/01/2022 - 30/04/2022</t>
  </si>
  <si>
    <t>01/05/2022 - 31/12/2022</t>
  </si>
  <si>
    <t>ER Comparision Estimated Vs Actual</t>
  </si>
  <si>
    <t>Start</t>
  </si>
  <si>
    <t>End</t>
  </si>
  <si>
    <t>Total No. of Days</t>
  </si>
  <si>
    <t>% difference</t>
  </si>
  <si>
    <t>VCS ID</t>
  </si>
  <si>
    <t>Title</t>
  </si>
  <si>
    <t>ER Sheet Version</t>
  </si>
  <si>
    <t>Waste to Energy Projects by Mahindra Waste to Energy Solutions Limited</t>
  </si>
  <si>
    <t>Actual ERs</t>
  </si>
  <si>
    <t>ER Sheet Dated</t>
  </si>
  <si>
    <r>
      <t>tCO</t>
    </r>
    <r>
      <rPr>
        <b/>
        <vertAlign val="subscript"/>
        <sz val="10"/>
        <rFont val="Franklin Gothic Book"/>
        <family val="2"/>
      </rPr>
      <t>2</t>
    </r>
    <r>
      <rPr>
        <b/>
        <sz val="10"/>
        <rFont val="Franklin Gothic Book"/>
        <family val="2"/>
      </rPr>
      <t>e</t>
    </r>
  </si>
  <si>
    <t>Monthly Qty of Municipal Solid waste treated 
(In Ton)</t>
  </si>
  <si>
    <t>Monthly Qty of Bio CNG
(In Ton)</t>
  </si>
  <si>
    <t>Monthly Qty of Compost
(In Ton)</t>
  </si>
  <si>
    <t xml:space="preserve">Monthly Diesel Consumption
(In Ltr.) </t>
  </si>
  <si>
    <t>Amount of Bio Gas collected 
(Nm3)</t>
  </si>
  <si>
    <t>( in KWh)</t>
  </si>
  <si>
    <t>Lab test report; Measured in a Loss on ignition, based on dry mass according to EN 15934</t>
  </si>
  <si>
    <t>Actual ERs in this MP</t>
  </si>
  <si>
    <t>Estimate ERs as per PD</t>
  </si>
  <si>
    <t>Annual ERs as per PD</t>
  </si>
  <si>
    <t>01/01/2023 - 30/04/2023</t>
  </si>
  <si>
    <t>01/05/2023 - 30/11/2023</t>
  </si>
  <si>
    <r>
      <t>BE</t>
    </r>
    <r>
      <rPr>
        <b/>
        <vertAlign val="subscript"/>
        <sz val="11"/>
        <color theme="1"/>
        <rFont val="Franklin Gothic Book"/>
        <family val="2"/>
      </rPr>
      <t>y=5</t>
    </r>
  </si>
  <si>
    <t>Actual Ers</t>
  </si>
  <si>
    <t>Verification Period</t>
  </si>
  <si>
    <r>
      <t>1</t>
    </r>
    <r>
      <rPr>
        <vertAlign val="superscript"/>
        <sz val="10"/>
        <color theme="1"/>
        <rFont val="Franklin Gothic Book"/>
        <family val="2"/>
      </rPr>
      <t>st</t>
    </r>
    <r>
      <rPr>
        <sz val="10"/>
        <color theme="1"/>
        <rFont val="Franklin Gothic Book"/>
        <family val="2"/>
      </rPr>
      <t xml:space="preserve"> Verification</t>
    </r>
  </si>
  <si>
    <r>
      <t>2</t>
    </r>
    <r>
      <rPr>
        <vertAlign val="superscript"/>
        <sz val="10"/>
        <color theme="1"/>
        <rFont val="Franklin Gothic Book"/>
        <family val="2"/>
      </rPr>
      <t>nd</t>
    </r>
    <r>
      <rPr>
        <sz val="10"/>
        <color theme="1"/>
        <rFont val="Franklin Gothic Book"/>
        <family val="2"/>
      </rPr>
      <t xml:space="preserve"> Verification</t>
    </r>
  </si>
  <si>
    <r>
      <t>3</t>
    </r>
    <r>
      <rPr>
        <vertAlign val="superscript"/>
        <sz val="10"/>
        <color theme="1"/>
        <rFont val="Franklin Gothic Book"/>
        <family val="2"/>
      </rPr>
      <t xml:space="preserve">rd </t>
    </r>
    <r>
      <rPr>
        <sz val="10"/>
        <color theme="1"/>
        <rFont val="Franklin Gothic Book"/>
        <family val="2"/>
      </rPr>
      <t>Verification</t>
    </r>
  </si>
  <si>
    <t>Current Verification</t>
  </si>
  <si>
    <t>Vintage</t>
  </si>
  <si>
    <t>kg/litre</t>
  </si>
  <si>
    <t xml:space="preserve">% </t>
  </si>
  <si>
    <t>Monthly Electricity Consumption (In MWh)</t>
  </si>
  <si>
    <r>
      <t>PE</t>
    </r>
    <r>
      <rPr>
        <vertAlign val="subscript"/>
        <sz val="11"/>
        <color theme="1"/>
        <rFont val="Calibri"/>
        <family val="2"/>
        <scheme val="minor"/>
      </rPr>
      <t>EC,y</t>
    </r>
  </si>
  <si>
    <r>
      <t xml:space="preserve">Q </t>
    </r>
    <r>
      <rPr>
        <b/>
        <vertAlign val="subscript"/>
        <sz val="11"/>
        <color theme="1"/>
        <rFont val="Calibri"/>
        <family val="2"/>
        <scheme val="minor"/>
      </rPr>
      <t>CH4,y</t>
    </r>
  </si>
  <si>
    <r>
      <t>Q</t>
    </r>
    <r>
      <rPr>
        <b/>
        <vertAlign val="subscript"/>
        <sz val="11"/>
        <color theme="1"/>
        <rFont val="Calibri"/>
        <family val="2"/>
        <scheme val="minor"/>
      </rPr>
      <t xml:space="preserve"> CH4,y</t>
    </r>
  </si>
  <si>
    <t>2020-21</t>
  </si>
  <si>
    <t>https://cpcb.nic.in/uploads/MSW/MSW_AnnualReport_2020-21.pdf</t>
  </si>
  <si>
    <t>Qty of Bio CNG
(In Ton)</t>
  </si>
  <si>
    <t>Duration</t>
  </si>
  <si>
    <t>Qty of Compost
(In Ton)</t>
  </si>
  <si>
    <t>S.No.</t>
  </si>
  <si>
    <t>Monthly Qty of Municipal Solid waste treated (Tons)</t>
  </si>
  <si>
    <t>Project Name :- 20 TPD Bio Methanation Plant At Piduguralla*</t>
  </si>
  <si>
    <t>* waste is coming from Piduguralla,dachepalli,Narasarapet and satenapalli ULBs.</t>
  </si>
  <si>
    <t>Total Qty of Municipal Solid waste treated 
(In Ton)</t>
  </si>
  <si>
    <t>Since, the bio-methanation project doesn’t include direct gasification, no association of RDF/SB and incineration at the project site.</t>
  </si>
  <si>
    <r>
      <t xml:space="preserve">Therefore </t>
    </r>
    <r>
      <rPr>
        <sz val="11"/>
        <color theme="1"/>
        <rFont val="Calibri"/>
        <family val="2"/>
        <scheme val="minor"/>
      </rPr>
      <t>PE</t>
    </r>
    <r>
      <rPr>
        <vertAlign val="subscript"/>
        <sz val="11"/>
        <color theme="1"/>
        <rFont val="Calibri"/>
        <family val="2"/>
        <scheme val="minor"/>
      </rPr>
      <t>GAS,y</t>
    </r>
    <r>
      <rPr>
        <sz val="11"/>
        <color theme="1"/>
        <rFont val="Calibri"/>
        <family val="2"/>
        <scheme val="minor"/>
      </rPr>
      <t xml:space="preserve"> , PE</t>
    </r>
    <r>
      <rPr>
        <vertAlign val="subscript"/>
        <sz val="11"/>
        <color theme="1"/>
        <rFont val="Calibri"/>
        <family val="2"/>
        <scheme val="minor"/>
      </rPr>
      <t>RDF,SB,y</t>
    </r>
    <r>
      <rPr>
        <sz val="11"/>
        <color theme="1"/>
        <rFont val="Calibri"/>
        <family val="2"/>
        <scheme val="minor"/>
      </rPr>
      <t xml:space="preserve"> and PE</t>
    </r>
    <r>
      <rPr>
        <vertAlign val="subscript"/>
        <sz val="11"/>
        <color theme="1"/>
        <rFont val="Calibri"/>
        <family val="2"/>
        <scheme val="minor"/>
      </rPr>
      <t>INC,y</t>
    </r>
    <r>
      <rPr>
        <sz val="11"/>
        <color theme="1"/>
        <rFont val="Calibri"/>
        <family val="2"/>
        <scheme val="minor"/>
      </rPr>
      <t xml:space="preserve"> are considered as zero. Hence,</t>
    </r>
  </si>
  <si>
    <t>For some time period the project is doing composting so the project emissions from composting are determined tool 13.</t>
  </si>
  <si>
    <t>As per para 13 of tool 13 The project emissions from composting are determined as follows:</t>
  </si>
  <si>
    <r>
      <t>1. PE</t>
    </r>
    <r>
      <rPr>
        <vertAlign val="subscript"/>
        <sz val="11"/>
        <color theme="1"/>
        <rFont val="Calibri"/>
        <family val="2"/>
        <scheme val="minor"/>
      </rPr>
      <t>EC,y</t>
    </r>
  </si>
  <si>
    <r>
      <t>2. PE</t>
    </r>
    <r>
      <rPr>
        <vertAlign val="subscript"/>
        <sz val="11"/>
        <color theme="1"/>
        <rFont val="Calibri"/>
        <family val="2"/>
        <scheme val="minor"/>
      </rPr>
      <t>FC,y</t>
    </r>
  </si>
  <si>
    <r>
      <t>3. PE</t>
    </r>
    <r>
      <rPr>
        <vertAlign val="subscript"/>
        <sz val="11"/>
        <color theme="1"/>
        <rFont val="Calibri"/>
        <family val="2"/>
        <scheme val="minor"/>
      </rPr>
      <t>HC4,y</t>
    </r>
  </si>
  <si>
    <t>𝐸𝐶𝑃𝐽,𝑐𝑜𝑚𝑝,y</t>
  </si>
  <si>
    <t>Project emissions from electricity consumption associated with composting</t>
  </si>
  <si>
    <r>
      <t>SEC</t>
    </r>
    <r>
      <rPr>
        <vertAlign val="subscript"/>
        <sz val="11"/>
        <color theme="1"/>
        <rFont val="Calibri"/>
        <family val="2"/>
        <scheme val="minor"/>
      </rPr>
      <t>comp,default</t>
    </r>
  </si>
  <si>
    <t>MWh / t</t>
  </si>
  <si>
    <r>
      <t>PE</t>
    </r>
    <r>
      <rPr>
        <b/>
        <vertAlign val="subscript"/>
        <sz val="11"/>
        <color theme="1"/>
        <rFont val="Calibri"/>
        <family val="2"/>
        <scheme val="minor"/>
      </rPr>
      <t>comp,y</t>
    </r>
  </si>
  <si>
    <t>Aurangabad</t>
  </si>
  <si>
    <t>Piduguralla</t>
  </si>
  <si>
    <t>Tirupati</t>
  </si>
  <si>
    <t>Adoni</t>
  </si>
  <si>
    <t>Site</t>
  </si>
  <si>
    <t>𝑇𝐷𝐿𝑗,y</t>
  </si>
  <si>
    <t>Tool 5, Baseline, project and/or leakage emissions from electricity consumption and monitoring of electricity generation</t>
  </si>
  <si>
    <t>-</t>
  </si>
  <si>
    <t>𝐸𝐹𝐸𝐹,𝑗,y</t>
  </si>
  <si>
    <r>
      <t>PE</t>
    </r>
    <r>
      <rPr>
        <vertAlign val="subscript"/>
        <sz val="11"/>
        <color theme="1"/>
        <rFont val="Calibri"/>
        <family val="2"/>
        <scheme val="minor"/>
      </rPr>
      <t>FC,y</t>
    </r>
  </si>
  <si>
    <r>
      <t>EF</t>
    </r>
    <r>
      <rPr>
        <vertAlign val="subscript"/>
        <sz val="11"/>
        <color theme="1"/>
        <rFont val="Calibri"/>
        <family val="2"/>
        <scheme val="minor"/>
      </rPr>
      <t>FC,default</t>
    </r>
  </si>
  <si>
    <t>t CO2 / t</t>
  </si>
  <si>
    <t>Project emissions of methane from the composting process</t>
  </si>
  <si>
    <r>
      <t>PE</t>
    </r>
    <r>
      <rPr>
        <vertAlign val="subscript"/>
        <sz val="11"/>
        <color theme="1"/>
        <rFont val="Calibri"/>
        <family val="2"/>
        <scheme val="minor"/>
      </rPr>
      <t>CH4,y</t>
    </r>
  </si>
  <si>
    <r>
      <t>EF</t>
    </r>
    <r>
      <rPr>
        <vertAlign val="subscript"/>
        <sz val="11"/>
        <color theme="1"/>
        <rFont val="Calibri"/>
        <family val="2"/>
        <scheme val="minor"/>
      </rPr>
      <t>CH4,default</t>
    </r>
  </si>
  <si>
    <t>t CH4 / t</t>
  </si>
  <si>
    <t>Project emissions of nitrous oxide from the composting process</t>
  </si>
  <si>
    <r>
      <t>PE</t>
    </r>
    <r>
      <rPr>
        <vertAlign val="subscript"/>
        <sz val="11"/>
        <color theme="1"/>
        <rFont val="Calibri"/>
        <family val="2"/>
        <scheme val="minor"/>
      </rPr>
      <t>N2O,y</t>
    </r>
  </si>
  <si>
    <r>
      <t>EF</t>
    </r>
    <r>
      <rPr>
        <vertAlign val="subscript"/>
        <sz val="11"/>
        <color theme="1"/>
        <rFont val="Calibri"/>
        <family val="2"/>
        <scheme val="minor"/>
      </rPr>
      <t>N2O,default</t>
    </r>
  </si>
  <si>
    <t>t N2O / t</t>
  </si>
  <si>
    <t>Vintages</t>
  </si>
  <si>
    <t>Toal</t>
  </si>
  <si>
    <r>
      <t>4. PEN2O</t>
    </r>
    <r>
      <rPr>
        <vertAlign val="subscript"/>
        <sz val="11"/>
        <color theme="1"/>
        <rFont val="Calibri"/>
        <family val="2"/>
        <scheme val="minor"/>
      </rPr>
      <t>,y</t>
    </r>
  </si>
  <si>
    <r>
      <t>4. PE</t>
    </r>
    <r>
      <rPr>
        <vertAlign val="subscript"/>
        <sz val="11"/>
        <color theme="1"/>
        <rFont val="Calibri"/>
        <family val="2"/>
        <scheme val="minor"/>
      </rPr>
      <t>RO,y</t>
    </r>
  </si>
  <si>
    <r>
      <t>As per para 30 of tool 13 Project emissions of methane from run-off wastewater are calculated only for the case of co-composting. Moreover, if run-off wastewater is collected and re-circulated to the composting process, then PE</t>
    </r>
    <r>
      <rPr>
        <vertAlign val="subscript"/>
        <sz val="11"/>
        <color theme="1"/>
        <rFont val="Calibri"/>
        <family val="2"/>
        <scheme val="minor"/>
      </rPr>
      <t>RO,y</t>
    </r>
    <r>
      <rPr>
        <sz val="11"/>
        <color theme="1"/>
        <rFont val="Calibri"/>
        <family val="2"/>
        <scheme val="minor"/>
      </rPr>
      <t xml:space="preserve"> is assumed to be zero</t>
    </r>
  </si>
  <si>
    <t>Monitoring period 1</t>
  </si>
  <si>
    <t>For Aurangabad</t>
  </si>
  <si>
    <t>Monitoring period 2</t>
  </si>
  <si>
    <t>As per ER sheet of MP1</t>
  </si>
  <si>
    <t>As per ER sheet of MP2</t>
  </si>
  <si>
    <t>MP - 01/05/2019 to 31/12/2020</t>
  </si>
  <si>
    <t>MP - 01/01/2021 to 31/12/2021</t>
  </si>
  <si>
    <t>As per Eq.3 of tool 14</t>
  </si>
  <si>
    <t>Total for MP1</t>
  </si>
  <si>
    <r>
      <t>Total VCUs Claimed (tCO</t>
    </r>
    <r>
      <rPr>
        <b/>
        <vertAlign val="subscript"/>
        <sz val="9.5"/>
        <rFont val="Franklin Gothic Book"/>
        <family val="2"/>
      </rPr>
      <t>2</t>
    </r>
    <r>
      <rPr>
        <b/>
        <sz val="9.5"/>
        <rFont val="Franklin Gothic Book"/>
        <family val="2"/>
      </rPr>
      <t>e))</t>
    </r>
  </si>
  <si>
    <t xml:space="preserve">Error part of PEEC,y </t>
  </si>
  <si>
    <r>
      <rPr>
        <sz val="12"/>
        <color theme="1"/>
        <rFont val="Calibri"/>
        <family val="2"/>
        <scheme val="minor"/>
      </rPr>
      <t>LE</t>
    </r>
    <r>
      <rPr>
        <vertAlign val="subscript"/>
        <sz val="12"/>
        <color theme="1"/>
        <rFont val="Calibri"/>
        <family val="2"/>
        <scheme val="minor"/>
      </rPr>
      <t>𝑠𝑡𝑜𝑟𝑎𝑔𝑒,y</t>
    </r>
  </si>
  <si>
    <r>
      <t>F</t>
    </r>
    <r>
      <rPr>
        <vertAlign val="subscript"/>
        <sz val="11"/>
        <color theme="1"/>
        <rFont val="Calibri"/>
        <family val="2"/>
        <scheme val="minor"/>
      </rPr>
      <t>𝑤𝑤,𝐶𝐻4,𝑑𝑒𝑓𝑎𝑢l,y</t>
    </r>
  </si>
  <si>
    <t>Monitoring period</t>
  </si>
  <si>
    <t>MP1 (2019)</t>
  </si>
  <si>
    <t>MP1 (2020)</t>
  </si>
  <si>
    <r>
      <t>Error part of LE</t>
    </r>
    <r>
      <rPr>
        <b/>
        <vertAlign val="subscript"/>
        <sz val="11"/>
        <color theme="1"/>
        <rFont val="Calibri"/>
        <family val="2"/>
        <scheme val="minor"/>
      </rPr>
      <t>𝑠𝑡𝑜𝑟𝑎𝑔𝑒,y</t>
    </r>
  </si>
  <si>
    <t>Total Error part</t>
  </si>
  <si>
    <r>
      <rPr>
        <sz val="12"/>
        <color theme="1"/>
        <rFont val="Calibri"/>
        <family val="2"/>
        <scheme val="minor"/>
      </rPr>
      <t>Total LE</t>
    </r>
    <r>
      <rPr>
        <vertAlign val="subscript"/>
        <sz val="12"/>
        <color theme="1"/>
        <rFont val="Calibri"/>
        <family val="2"/>
        <scheme val="minor"/>
      </rPr>
      <t>𝑠𝑡𝑜𝑟𝑎𝑔𝑒,y</t>
    </r>
  </si>
  <si>
    <r>
      <t>In registered PDMR, the values of Default factor for the electricity consumption associated with the anaerobic digester per ton of methane generated is considered 0 from Data / Parameter table 5 of tool 14 version 02.0 for Covered anaerobic lagoons (gravity fed) / conventional digesters instead of Conventional digesters with continuously stirred tank reactor type for wastewater so the value of F</t>
    </r>
    <r>
      <rPr>
        <vertAlign val="subscript"/>
        <sz val="10.5"/>
        <rFont val="Franklin Gothic Book"/>
        <family val="2"/>
      </rPr>
      <t>EC, default</t>
    </r>
    <r>
      <rPr>
        <sz val="10.5"/>
        <rFont val="Franklin Gothic Book"/>
        <family val="2"/>
      </rPr>
      <t xml:space="preserve"> is 1.02 MWh/tCH</t>
    </r>
    <r>
      <rPr>
        <vertAlign val="subscript"/>
        <sz val="10.5"/>
        <rFont val="Franklin Gothic Book"/>
        <family val="2"/>
      </rPr>
      <t>4</t>
    </r>
    <r>
      <rPr>
        <sz val="10.5"/>
        <rFont val="Franklin Gothic Book"/>
        <family val="2"/>
      </rPr>
      <t xml:space="preserve"> produced. It has been identified during the verification process and now it has been corrected. This error also impacts the previous verifications and emission reduction calculations and the hence, the error part is adjusted in current monitoring.</t>
    </r>
  </si>
  <si>
    <t>In Section 5.3 of the Joint PD-MR, leakage emissions are considered to be zero. However, some times the liquid digestate has been stored, the leakage emissions associated with its storage are calculated in accordance with Section 6.2.1 of Methodological Tool 14: Project and Leakage Emissions from Anaerobic Digesters. For this calculation, the relevant parameters Fww, CH₄,default are incorporated and considered in the calculations. It has been identified during the verification process and now it has been corrected. This error also impacts the previous verifications and emission reduction calculations and the hence, the error part is adjusted in current monitoring.</t>
  </si>
  <si>
    <t>IPCC Fifth Assessment Report</t>
  </si>
  <si>
    <t>As per Methodological tool 14: Project and leakage emissions from anaerobic digesters</t>
  </si>
  <si>
    <t>Quantity of waste composted (In Ton)</t>
  </si>
  <si>
    <r>
      <t>F</t>
    </r>
    <r>
      <rPr>
        <b/>
        <vertAlign val="subscript"/>
        <sz val="11"/>
        <color theme="1"/>
        <rFont val="Calibri"/>
        <family val="2"/>
        <scheme val="minor"/>
      </rPr>
      <t>𝑤𝑤,𝐶𝐻4,𝑑𝑒𝑓𝑎𝑢l,y</t>
    </r>
  </si>
  <si>
    <r>
      <t>GWP</t>
    </r>
    <r>
      <rPr>
        <b/>
        <i/>
        <vertAlign val="subscript"/>
        <sz val="11"/>
        <color theme="1"/>
        <rFont val="Franklin Gothic Book"/>
        <family val="2"/>
      </rPr>
      <t>CH4</t>
    </r>
  </si>
  <si>
    <r>
      <rPr>
        <b/>
        <sz val="12"/>
        <color theme="1"/>
        <rFont val="Calibri"/>
        <family val="2"/>
        <scheme val="minor"/>
      </rPr>
      <t>LE</t>
    </r>
    <r>
      <rPr>
        <b/>
        <vertAlign val="subscript"/>
        <sz val="12"/>
        <color theme="1"/>
        <rFont val="Calibri"/>
        <family val="2"/>
        <scheme val="minor"/>
      </rPr>
      <t>𝑠𝑡𝑜𝑟𝑎𝑔𝑒,y</t>
    </r>
  </si>
  <si>
    <t>Quantity of waste composted</t>
  </si>
  <si>
    <r>
      <t>As per para 30 of tool 13 Project emissions of methane from run-off wastewater are calculated only for the case of co-composting. Moreover, if run-off wastewater is collected and re-circulated to the composting process, then PE</t>
    </r>
    <r>
      <rPr>
        <vertAlign val="subscript"/>
        <sz val="11"/>
        <color theme="1"/>
        <rFont val="Calibri"/>
        <family val="2"/>
        <scheme val="minor"/>
      </rPr>
      <t>RO,y</t>
    </r>
    <r>
      <rPr>
        <sz val="11"/>
        <color theme="1"/>
        <rFont val="Calibri"/>
        <family val="2"/>
        <scheme val="minor"/>
      </rPr>
      <t xml:space="preserve"> is assumed to be zero.</t>
    </r>
  </si>
  <si>
    <t>Monitoring period 1 
(01/05/2019 to 31/12/2020)</t>
  </si>
  <si>
    <t>Monitoring period 2
01/01/2021 to 31/12/2021</t>
  </si>
  <si>
    <t>MP</t>
  </si>
  <si>
    <r>
      <t>1. Calculation for PE</t>
    </r>
    <r>
      <rPr>
        <b/>
        <vertAlign val="subscript"/>
        <sz val="11"/>
        <color theme="1"/>
        <rFont val="Calibri"/>
        <family val="2"/>
        <scheme val="minor"/>
      </rPr>
      <t xml:space="preserve">EC,y </t>
    </r>
  </si>
  <si>
    <r>
      <t>2. Calculation for LE</t>
    </r>
    <r>
      <rPr>
        <b/>
        <vertAlign val="subscript"/>
        <sz val="11"/>
        <color theme="1"/>
        <rFont val="Calibri"/>
        <family val="2"/>
        <scheme val="minor"/>
      </rPr>
      <t>𝑠𝑡𝑜𝑟𝑎𝑔𝑒,y</t>
    </r>
  </si>
  <si>
    <r>
      <t>3. Calculation for PE</t>
    </r>
    <r>
      <rPr>
        <b/>
        <vertAlign val="subscript"/>
        <sz val="11"/>
        <color theme="1"/>
        <rFont val="Calibri"/>
        <family val="2"/>
        <scheme val="minor"/>
      </rPr>
      <t>comp,y</t>
    </r>
  </si>
  <si>
    <t>Error part of PEcomp,y</t>
  </si>
  <si>
    <t>Error part of LE𝑠𝑡𝑜𝑟𝑎𝑔𝑒,y</t>
  </si>
  <si>
    <t>MP2 (2021)</t>
  </si>
  <si>
    <t>Days</t>
  </si>
  <si>
    <t>%</t>
  </si>
  <si>
    <r>
      <t>tCO</t>
    </r>
    <r>
      <rPr>
        <vertAlign val="subscript"/>
        <sz val="10"/>
        <rFont val="Franklin Gothic Book"/>
        <family val="2"/>
      </rPr>
      <t>2</t>
    </r>
    <r>
      <rPr>
        <sz val="10"/>
        <rFont val="Franklin Gothic Book"/>
        <family val="2"/>
      </rPr>
      <t>e</t>
    </r>
  </si>
  <si>
    <t>Start date</t>
  </si>
  <si>
    <t>End date</t>
  </si>
  <si>
    <t>4. Error adjustment of Baseline Emissions of MP1</t>
  </si>
  <si>
    <t>During the second verification, the issue highlighted in Deviation 4 was identified and subsequently corrected. However, since this deviation has been applied starting from the second verification, and the first verification had already been approved prior to this correction, the impact of the deviation has not been incorporated in the first verification. As a result, it can be stated that the emission reduction calculations in the first verification contain some errors. These errors have not been adjusted or accounted for in the current (third) verification. The details are as follows:</t>
  </si>
  <si>
    <t>Deviation 4 states that “The value of the monitoring parameter DOCf, y was mistakenly taken as 0.9 during registration of the project activity which is not in line with the default value present in the methodology. During 2nd verification, the value of DOCf, y is corrected as 0.5 which is a default value present in the tool04 ‘Emissions from solid waste disposal sites.”
The formula of baseline emissions is as follows:</t>
  </si>
  <si>
    <t>Means the multiplication factor DOCf, y of baseline emissions was taken 0.9 instead of 0.5 means the baseline emissions are calculated 1.8 times higher than actual so appropriate calculation are as follows:</t>
  </si>
  <si>
    <r>
      <t>Baseline Emissions as per MP 1 (BE</t>
    </r>
    <r>
      <rPr>
        <b/>
        <vertAlign val="subscript"/>
        <sz val="9"/>
        <color theme="1"/>
        <rFont val="Arial"/>
        <family val="2"/>
      </rPr>
      <t>y</t>
    </r>
    <r>
      <rPr>
        <b/>
        <sz val="9"/>
        <color theme="1"/>
        <rFont val="Arial"/>
        <family val="2"/>
      </rPr>
      <t>)</t>
    </r>
  </si>
  <si>
    <r>
      <t>Appropriate Baseline Emissions (BE</t>
    </r>
    <r>
      <rPr>
        <b/>
        <vertAlign val="subscript"/>
        <sz val="9"/>
        <color theme="1"/>
        <rFont val="Arial"/>
        <family val="2"/>
      </rPr>
      <t>y</t>
    </r>
    <r>
      <rPr>
        <b/>
        <sz val="9"/>
        <color theme="1"/>
        <rFont val="Arial"/>
        <family val="2"/>
      </rPr>
      <t>)</t>
    </r>
  </si>
  <si>
    <t>Error Part</t>
  </si>
  <si>
    <t>(01-May-2019 to 31- December -2020)</t>
  </si>
  <si>
    <t>Error part of BE of MP1 due to Deviation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</si>
</sst>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00"/>
    <numFmt numFmtId="166" formatCode="0.00000"/>
    <numFmt numFmtId="167" formatCode="[$-409]d\-mmm\-yy;@"/>
    <numFmt numFmtId="168" formatCode="0.000000"/>
    <numFmt numFmtId="169" formatCode="0.0"/>
    <numFmt numFmtId="170" formatCode="0.0000"/>
  </numFmts>
  <fonts count="48"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i/>
      <sz val="11"/>
      <color theme="1"/>
      <name val="Calibri"/>
      <family val="2"/>
      <scheme val="minor"/>
    </font>
    <font>
      <b/>
      <sz val="11"/>
      <color theme="1"/>
      <name val="Franklin Gothic Book"/>
      <family val="2"/>
    </font>
    <font>
      <sz val="11"/>
      <color theme="1"/>
      <name val="Franklin Gothic Book"/>
      <family val="2"/>
    </font>
    <font>
      <i/>
      <vertAlign val="subscript"/>
      <sz val="11"/>
      <color theme="1"/>
      <name val="Franklin Gothic Book"/>
      <family val="2"/>
    </font>
    <font>
      <b/>
      <i/>
      <vertAlign val="subscript"/>
      <sz val="12"/>
      <color theme="1"/>
      <name val="Franklin Gothic Book"/>
      <family val="2"/>
    </font>
    <font>
      <b/>
      <i/>
      <sz val="12"/>
      <color theme="1"/>
      <name val="Franklin Gothic Book"/>
      <family val="2"/>
    </font>
    <font>
      <b/>
      <i/>
      <vertAlign val="superscript"/>
      <sz val="12"/>
      <color theme="1"/>
      <name val="Franklin Gothic Book"/>
      <family val="2"/>
    </font>
    <font>
      <b/>
      <vertAlign val="subscript"/>
      <sz val="11"/>
      <color theme="1"/>
      <name val="Franklin Gothic Book"/>
      <family val="2"/>
    </font>
    <font>
      <b/>
      <i/>
      <sz val="11"/>
      <color theme="1"/>
      <name val="Franklin Gothic Book"/>
      <family val="2"/>
    </font>
    <font>
      <b/>
      <i/>
      <vertAlign val="subscript"/>
      <sz val="11"/>
      <color theme="1"/>
      <name val="Franklin Gothic Book"/>
      <family val="2"/>
    </font>
    <font>
      <i/>
      <sz val="11"/>
      <color theme="1"/>
      <name val="Franklin Gothic Book"/>
      <family val="2"/>
    </font>
    <font>
      <vertAlign val="subscript"/>
      <sz val="11"/>
      <color theme="1"/>
      <name val="Franklin Gothic Book"/>
      <family val="2"/>
    </font>
    <font>
      <vertAlign val="superscript"/>
      <sz val="11"/>
      <color theme="1"/>
      <name val="Franklin Gothic Book"/>
      <family val="2"/>
    </font>
    <font>
      <b/>
      <sz val="11"/>
      <name val="Calibri"/>
      <family val="2"/>
      <scheme val="minor"/>
    </font>
    <font>
      <vertAlign val="subscript"/>
      <sz val="11"/>
      <color theme="1"/>
      <name val="Calibri"/>
      <family val="2"/>
      <scheme val="minor"/>
    </font>
    <font>
      <b/>
      <vertAlign val="subscript"/>
      <sz val="11"/>
      <color theme="1"/>
      <name val="Calibri"/>
      <family val="2"/>
      <scheme val="minor"/>
    </font>
    <font>
      <sz val="10"/>
      <color theme="1"/>
      <name val="Franklin Gothic Book"/>
      <family val="2"/>
    </font>
    <font>
      <b/>
      <sz val="10"/>
      <name val="Franklin Gothic Book"/>
      <family val="2"/>
    </font>
    <font>
      <b/>
      <vertAlign val="subscript"/>
      <sz val="10"/>
      <name val="Franklin Gothic Book"/>
      <family val="2"/>
    </font>
    <font>
      <b/>
      <sz val="10"/>
      <color theme="1"/>
      <name val="Franklin Gothic Book"/>
      <family val="2"/>
    </font>
    <font>
      <sz val="8"/>
      <name val="Calibri"/>
      <family val="2"/>
      <scheme val="minor"/>
    </font>
    <font>
      <sz val="10"/>
      <name val="Franklin Gothic Book"/>
      <family val="2"/>
    </font>
    <font>
      <vertAlign val="superscript"/>
      <sz val="10"/>
      <color theme="1"/>
      <name val="Franklin Gothic Book"/>
      <family val="2"/>
    </font>
    <font>
      <sz val="9.5"/>
      <color theme="1"/>
      <name val="Franklin Gothic Book"/>
      <family val="2"/>
    </font>
    <font>
      <b/>
      <sz val="9"/>
      <name val="Arial"/>
      <family val="2"/>
    </font>
    <font>
      <sz val="11"/>
      <color theme="1"/>
      <name val="Calibri"/>
      <family val="2"/>
    </font>
    <font>
      <sz val="10.5"/>
      <name val="Franklin Gothic Book"/>
      <family val="2"/>
    </font>
    <font>
      <vertAlign val="subscript"/>
      <sz val="10.5"/>
      <name val="Franklin Gothic Book"/>
      <family val="2"/>
    </font>
    <font>
      <b/>
      <vertAlign val="subscript"/>
      <sz val="9.5"/>
      <name val="Franklin Gothic Book"/>
      <family val="2"/>
    </font>
    <font>
      <b/>
      <sz val="9.5"/>
      <name val="Franklin Gothic Book"/>
      <family val="2"/>
    </font>
    <font>
      <u/>
      <sz val="11"/>
      <name val="Franklin Gothic Book"/>
      <family val="2"/>
    </font>
    <font>
      <vertAlign val="subscript"/>
      <sz val="12"/>
      <color theme="1"/>
      <name val="Calibri"/>
      <family val="2"/>
      <scheme val="minor"/>
    </font>
    <font>
      <sz val="12"/>
      <color theme="1"/>
      <name val="Calibri"/>
      <family val="2"/>
      <scheme val="minor"/>
    </font>
    <font>
      <sz val="10.5"/>
      <color theme="1"/>
      <name val="Franklin Gothic Book"/>
      <family val="2"/>
    </font>
    <font>
      <b/>
      <vertAlign val="subscript"/>
      <sz val="12"/>
      <color theme="1"/>
      <name val="Calibri"/>
      <family val="2"/>
      <scheme val="minor"/>
    </font>
    <font>
      <b/>
      <sz val="12"/>
      <color theme="1"/>
      <name val="Calibri"/>
      <family val="2"/>
      <scheme val="minor"/>
    </font>
    <font>
      <vertAlign val="subscript"/>
      <sz val="10"/>
      <name val="Franklin Gothic Book"/>
      <family val="2"/>
    </font>
    <font>
      <b/>
      <sz val="11"/>
      <color rgb="FF000000"/>
      <name val="Franklin Gothic Book"/>
      <family val="2"/>
    </font>
    <font>
      <b/>
      <sz val="9"/>
      <color theme="1"/>
      <name val="Arial"/>
      <family val="2"/>
    </font>
    <font>
      <b/>
      <vertAlign val="subscript"/>
      <sz val="9"/>
      <color theme="1"/>
      <name val="Arial"/>
      <family val="2"/>
    </font>
    <font>
      <b/>
      <sz val="9"/>
      <color rgb="FF000000"/>
      <name val="Arial"/>
      <family val="2"/>
    </font>
    <font>
      <sz val="11"/>
      <color rgb="FF000000"/>
      <name val="Franklin Gothic Book"/>
      <family val="2"/>
    </font>
    <font>
      <sz val="10.5"/>
      <color rgb="FF000000"/>
      <name val="Franklin Gothic Book"/>
      <family val="2"/>
    </font>
  </fonts>
  <fills count="22">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7" tint="-0.249977111117893"/>
        <bgColor indexed="64"/>
      </patternFill>
    </fill>
    <fill>
      <patternFill patternType="solid">
        <fgColor theme="3" tint="0.79995117038483843"/>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5"/>
        <bgColor indexed="64"/>
      </patternFill>
    </fill>
    <fill>
      <patternFill patternType="solid">
        <fgColor rgb="FFFFFF00"/>
        <bgColor indexed="64"/>
      </patternFill>
    </fill>
    <fill>
      <patternFill patternType="solid">
        <fgColor theme="3" tint="0.79998168889431442"/>
        <bgColor indexed="64"/>
      </patternFill>
    </fill>
    <fill>
      <patternFill patternType="solid">
        <fgColor rgb="FFFFFFFF"/>
        <bgColor rgb="FF000000"/>
      </patternFill>
    </fill>
    <fill>
      <patternFill patternType="solid">
        <fgColor theme="7" tint="0.39997558519241921"/>
        <bgColor indexed="64"/>
      </patternFill>
    </fill>
    <fill>
      <patternFill patternType="solid">
        <fgColor theme="4"/>
        <bgColor indexed="64"/>
      </patternFill>
    </fill>
    <fill>
      <patternFill patternType="solid">
        <fgColor theme="6"/>
        <bgColor indexed="64"/>
      </patternFill>
    </fill>
    <fill>
      <patternFill patternType="solid">
        <fgColor theme="4" tint="0.59999389629810485"/>
        <bgColor indexed="64"/>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cellStyleXfs>
  <cellXfs count="349">
    <xf numFmtId="0" fontId="0" fillId="0" borderId="0" xfId="0"/>
    <xf numFmtId="0" fontId="0" fillId="2" borderId="0" xfId="0" applyFill="1"/>
    <xf numFmtId="0" fontId="2" fillId="2" borderId="0" xfId="0" applyFont="1" applyFill="1"/>
    <xf numFmtId="0" fontId="0" fillId="0" borderId="0" xfId="0" applyAlignment="1">
      <alignment horizontal="right" vertical="center" wrapText="1"/>
    </xf>
    <xf numFmtId="0" fontId="0" fillId="2" borderId="0" xfId="0" applyFill="1" applyAlignment="1">
      <alignment vertical="center" wrapText="1"/>
    </xf>
    <xf numFmtId="0" fontId="5" fillId="2" borderId="0" xfId="0" applyFont="1" applyFill="1"/>
    <xf numFmtId="0" fontId="7" fillId="2" borderId="1" xfId="0" applyFont="1" applyFill="1" applyBorder="1"/>
    <xf numFmtId="0" fontId="15" fillId="0" borderId="1" xfId="0" applyFont="1" applyBorder="1"/>
    <xf numFmtId="0" fontId="7" fillId="2" borderId="2" xfId="0" applyFont="1" applyFill="1" applyBorder="1"/>
    <xf numFmtId="0" fontId="15" fillId="0" borderId="1" xfId="0" applyFont="1" applyBorder="1" applyAlignment="1">
      <alignment horizontal="left" vertical="center"/>
    </xf>
    <xf numFmtId="0" fontId="15" fillId="0" borderId="1" xfId="0" applyFont="1" applyBorder="1" applyAlignment="1">
      <alignment vertical="center"/>
    </xf>
    <xf numFmtId="0" fontId="15" fillId="0" borderId="2" xfId="0" applyFont="1" applyBorder="1" applyAlignment="1">
      <alignment vertical="center"/>
    </xf>
    <xf numFmtId="0" fontId="7" fillId="2" borderId="1" xfId="0" applyFont="1" applyFill="1" applyBorder="1" applyAlignment="1">
      <alignment wrapText="1"/>
    </xf>
    <xf numFmtId="0" fontId="7" fillId="2" borderId="1" xfId="2" applyFont="1" applyFill="1" applyBorder="1"/>
    <xf numFmtId="0" fontId="13"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7" fillId="0" borderId="0" xfId="0" applyFont="1"/>
    <xf numFmtId="0" fontId="7" fillId="0" borderId="0" xfId="0" applyFont="1" applyAlignment="1">
      <alignment horizontal="center"/>
    </xf>
    <xf numFmtId="1" fontId="7" fillId="0" borderId="0" xfId="0" applyNumberFormat="1" applyFont="1"/>
    <xf numFmtId="0" fontId="7" fillId="2" borderId="0" xfId="0" applyFont="1" applyFill="1"/>
    <xf numFmtId="0" fontId="2" fillId="0" borderId="0" xfId="0" applyFont="1"/>
    <xf numFmtId="0" fontId="7" fillId="3" borderId="1" xfId="0" applyFont="1" applyFill="1" applyBorder="1" applyAlignment="1">
      <alignment horizontal="center" vertical="center"/>
    </xf>
    <xf numFmtId="165" fontId="7" fillId="3" borderId="1" xfId="0" applyNumberFormat="1" applyFont="1" applyFill="1" applyBorder="1" applyAlignment="1">
      <alignment horizontal="center" vertical="center"/>
    </xf>
    <xf numFmtId="2" fontId="7" fillId="3" borderId="1" xfId="0" applyNumberFormat="1" applyFont="1" applyFill="1" applyBorder="1" applyAlignment="1">
      <alignment horizontal="center" vertical="center"/>
    </xf>
    <xf numFmtId="0" fontId="6" fillId="5" borderId="6" xfId="0" applyFont="1" applyFill="1" applyBorder="1" applyAlignment="1">
      <alignment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 xfId="0" applyFont="1" applyFill="1" applyBorder="1" applyAlignment="1">
      <alignment horizontal="center" vertical="center"/>
    </xf>
    <xf numFmtId="0" fontId="7" fillId="5" borderId="6" xfId="0" applyFont="1" applyFill="1" applyBorder="1"/>
    <xf numFmtId="0" fontId="18" fillId="6" borderId="1" xfId="0" applyFont="1" applyFill="1" applyBorder="1" applyAlignment="1">
      <alignment horizontal="center" vertical="center"/>
    </xf>
    <xf numFmtId="0" fontId="18"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7" fillId="7" borderId="1" xfId="0" applyFont="1" applyFill="1" applyBorder="1" applyAlignment="1">
      <alignment horizontal="center" vertical="center"/>
    </xf>
    <xf numFmtId="165" fontId="7" fillId="7" borderId="1" xfId="0" applyNumberFormat="1" applyFont="1" applyFill="1" applyBorder="1" applyAlignment="1">
      <alignment horizontal="center" vertical="center"/>
    </xf>
    <xf numFmtId="2" fontId="7" fillId="7" borderId="1" xfId="0" applyNumberFormat="1" applyFont="1" applyFill="1" applyBorder="1" applyAlignment="1">
      <alignment horizontal="center" vertical="center"/>
    </xf>
    <xf numFmtId="0" fontId="6" fillId="8" borderId="5"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5" xfId="0" applyFont="1" applyFill="1" applyBorder="1" applyAlignment="1">
      <alignment vertical="center"/>
    </xf>
    <xf numFmtId="0" fontId="6" fillId="8" borderId="6" xfId="0" applyFont="1" applyFill="1" applyBorder="1" applyAlignment="1">
      <alignment vertical="center"/>
    </xf>
    <xf numFmtId="0" fontId="7" fillId="8" borderId="6" xfId="0" applyFont="1" applyFill="1" applyBorder="1"/>
    <xf numFmtId="0" fontId="6" fillId="9" borderId="1" xfId="0" applyFont="1" applyFill="1" applyBorder="1" applyAlignment="1">
      <alignment horizontal="center" vertical="center" wrapText="1"/>
    </xf>
    <xf numFmtId="0" fontId="13" fillId="9" borderId="1" xfId="0" applyFont="1" applyFill="1" applyBorder="1" applyAlignment="1">
      <alignment horizontal="center" vertical="center"/>
    </xf>
    <xf numFmtId="0" fontId="7" fillId="9" borderId="1" xfId="0" applyFont="1" applyFill="1" applyBorder="1" applyAlignment="1">
      <alignment horizontal="center" vertical="center"/>
    </xf>
    <xf numFmtId="165" fontId="7" fillId="9" borderId="1" xfId="0" applyNumberFormat="1" applyFont="1" applyFill="1" applyBorder="1" applyAlignment="1">
      <alignment horizontal="center" vertical="center"/>
    </xf>
    <xf numFmtId="2" fontId="7" fillId="9" borderId="1" xfId="0" applyNumberFormat="1" applyFont="1" applyFill="1" applyBorder="1" applyAlignment="1">
      <alignment horizontal="center" vertical="center"/>
    </xf>
    <xf numFmtId="0" fontId="6" fillId="10" borderId="5" xfId="0" applyFont="1" applyFill="1" applyBorder="1" applyAlignment="1">
      <alignment horizontal="center" vertical="center"/>
    </xf>
    <xf numFmtId="0" fontId="6" fillId="10" borderId="6"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5" xfId="0" applyFont="1" applyFill="1" applyBorder="1" applyAlignment="1">
      <alignment vertical="center"/>
    </xf>
    <xf numFmtId="0" fontId="6" fillId="10" borderId="6" xfId="0" applyFont="1" applyFill="1" applyBorder="1" applyAlignment="1">
      <alignment vertical="center"/>
    </xf>
    <xf numFmtId="0" fontId="7" fillId="10" borderId="6" xfId="0" applyFont="1" applyFill="1" applyBorder="1"/>
    <xf numFmtId="0" fontId="2" fillId="3" borderId="1" xfId="0" applyFont="1" applyFill="1" applyBorder="1" applyAlignment="1">
      <alignment horizontal="center" vertical="center"/>
    </xf>
    <xf numFmtId="167" fontId="2" fillId="3" borderId="1" xfId="0" applyNumberFormat="1" applyFont="1" applyFill="1" applyBorder="1" applyAlignment="1">
      <alignment horizontal="center" vertical="center"/>
    </xf>
    <xf numFmtId="0" fontId="2" fillId="7" borderId="1" xfId="0" applyFont="1" applyFill="1" applyBorder="1" applyAlignment="1">
      <alignment horizontal="center" vertical="center"/>
    </xf>
    <xf numFmtId="167" fontId="2" fillId="7" borderId="1" xfId="0" applyNumberFormat="1" applyFont="1" applyFill="1" applyBorder="1" applyAlignment="1">
      <alignment horizontal="center" vertical="center"/>
    </xf>
    <xf numFmtId="0" fontId="2" fillId="9" borderId="1" xfId="0" applyFont="1" applyFill="1" applyBorder="1" applyAlignment="1">
      <alignment horizontal="center" vertical="center"/>
    </xf>
    <xf numFmtId="167" fontId="2" fillId="9" borderId="1" xfId="0" applyNumberFormat="1" applyFont="1" applyFill="1" applyBorder="1" applyAlignment="1">
      <alignment horizontal="center" vertical="center"/>
    </xf>
    <xf numFmtId="0" fontId="15" fillId="0" borderId="2" xfId="0" applyFont="1" applyBorder="1"/>
    <xf numFmtId="0" fontId="6" fillId="4" borderId="1" xfId="0" applyFont="1" applyFill="1" applyBorder="1" applyAlignment="1">
      <alignment horizontal="left" vertical="center" wrapText="1"/>
    </xf>
    <xf numFmtId="0" fontId="6" fillId="4" borderId="1" xfId="0" applyFont="1" applyFill="1" applyBorder="1" applyAlignment="1">
      <alignment horizontal="left" vertical="center"/>
    </xf>
    <xf numFmtId="0" fontId="21" fillId="2" borderId="0" xfId="0" applyFont="1" applyFill="1"/>
    <xf numFmtId="0" fontId="22" fillId="4" borderId="1" xfId="0" applyFont="1" applyFill="1" applyBorder="1" applyAlignment="1">
      <alignment horizontal="center" vertical="center" wrapText="1"/>
    </xf>
    <xf numFmtId="0" fontId="21" fillId="2" borderId="0" xfId="0" applyFont="1" applyFill="1" applyAlignment="1">
      <alignment wrapText="1"/>
    </xf>
    <xf numFmtId="0" fontId="22" fillId="4" borderId="1" xfId="0" applyFont="1" applyFill="1" applyBorder="1" applyAlignment="1">
      <alignment horizontal="center" vertical="center"/>
    </xf>
    <xf numFmtId="0" fontId="22" fillId="2" borderId="0" xfId="0" applyFont="1" applyFill="1" applyAlignment="1">
      <alignment horizontal="center" vertical="center"/>
    </xf>
    <xf numFmtId="1" fontId="22" fillId="2" borderId="0" xfId="0" applyNumberFormat="1" applyFont="1" applyFill="1" applyAlignment="1">
      <alignment horizontal="right" vertical="center"/>
    </xf>
    <xf numFmtId="164" fontId="22" fillId="2" borderId="0" xfId="1" applyNumberFormat="1" applyFont="1" applyFill="1" applyBorder="1" applyAlignment="1">
      <alignment horizontal="right" vertical="center"/>
    </xf>
    <xf numFmtId="164" fontId="21" fillId="2" borderId="0" xfId="0" applyNumberFormat="1" applyFont="1" applyFill="1"/>
    <xf numFmtId="167" fontId="21" fillId="2" borderId="1" xfId="0" applyNumberFormat="1" applyFont="1" applyFill="1" applyBorder="1" applyAlignment="1">
      <alignment horizontal="center" vertical="center"/>
    </xf>
    <xf numFmtId="0" fontId="6" fillId="3" borderId="8" xfId="0" applyFont="1" applyFill="1" applyBorder="1" applyAlignment="1">
      <alignment horizontal="center" vertical="center" wrapText="1"/>
    </xf>
    <xf numFmtId="0" fontId="7" fillId="5" borderId="5" xfId="0" applyFont="1" applyFill="1" applyBorder="1"/>
    <xf numFmtId="0" fontId="6" fillId="9" borderId="6" xfId="0" applyFont="1" applyFill="1" applyBorder="1" applyAlignment="1">
      <alignment horizontal="center" vertical="center" wrapText="1"/>
    </xf>
    <xf numFmtId="0" fontId="22" fillId="4" borderId="1" xfId="0" applyFont="1" applyFill="1" applyBorder="1" applyAlignment="1">
      <alignment vertical="center"/>
    </xf>
    <xf numFmtId="0" fontId="22" fillId="4" borderId="5" xfId="0" applyFont="1" applyFill="1" applyBorder="1" applyAlignment="1">
      <alignment horizontal="left" vertical="center"/>
    </xf>
    <xf numFmtId="0" fontId="22" fillId="0" borderId="1" xfId="0" applyFont="1" applyBorder="1" applyAlignment="1">
      <alignment horizontal="right" vertical="center"/>
    </xf>
    <xf numFmtId="167" fontId="26" fillId="0" borderId="1" xfId="0" applyNumberFormat="1" applyFont="1" applyBorder="1" applyAlignment="1">
      <alignment vertical="center"/>
    </xf>
    <xf numFmtId="0" fontId="26" fillId="0" borderId="1" xfId="0" applyFont="1" applyBorder="1" applyAlignment="1">
      <alignment vertical="center"/>
    </xf>
    <xf numFmtId="0" fontId="18" fillId="6" borderId="1" xfId="0" applyFont="1" applyFill="1" applyBorder="1" applyAlignment="1">
      <alignment horizontal="center"/>
    </xf>
    <xf numFmtId="0" fontId="18" fillId="6" borderId="1" xfId="0" applyFont="1" applyFill="1" applyBorder="1" applyAlignment="1">
      <alignment horizontal="center" wrapText="1"/>
    </xf>
    <xf numFmtId="0" fontId="18" fillId="0" borderId="1" xfId="0" applyFont="1" applyBorder="1" applyAlignment="1">
      <alignment horizontal="center"/>
    </xf>
    <xf numFmtId="167" fontId="18" fillId="0" borderId="1" xfId="0" applyNumberFormat="1" applyFont="1" applyBorder="1" applyAlignment="1">
      <alignment horizontal="center"/>
    </xf>
    <xf numFmtId="0" fontId="4" fillId="2" borderId="0" xfId="0" applyFont="1" applyFill="1"/>
    <xf numFmtId="0" fontId="18" fillId="6" borderId="5" xfId="0" applyFont="1" applyFill="1" applyBorder="1" applyAlignment="1">
      <alignment horizontal="left" vertical="top"/>
    </xf>
    <xf numFmtId="0" fontId="18" fillId="6" borderId="6" xfId="0" applyFont="1" applyFill="1" applyBorder="1" applyAlignment="1">
      <alignment horizontal="center"/>
    </xf>
    <xf numFmtId="0" fontId="18" fillId="6" borderId="3" xfId="0" applyFont="1" applyFill="1" applyBorder="1" applyAlignment="1">
      <alignment horizontal="center"/>
    </xf>
    <xf numFmtId="0" fontId="18" fillId="6" borderId="5" xfId="0" applyFont="1" applyFill="1" applyBorder="1" applyAlignment="1">
      <alignment horizontal="left" vertical="center"/>
    </xf>
    <xf numFmtId="0" fontId="18" fillId="6" borderId="6" xfId="0" applyFont="1" applyFill="1" applyBorder="1" applyAlignment="1">
      <alignment horizontal="left" vertical="center"/>
    </xf>
    <xf numFmtId="0" fontId="18" fillId="6" borderId="3" xfId="0" applyFont="1" applyFill="1" applyBorder="1" applyAlignment="1">
      <alignment horizontal="left" vertical="center"/>
    </xf>
    <xf numFmtId="0" fontId="18" fillId="2" borderId="0" xfId="0" applyFont="1" applyFill="1"/>
    <xf numFmtId="2" fontId="4" fillId="2" borderId="0" xfId="0" applyNumberFormat="1" applyFont="1" applyFill="1"/>
    <xf numFmtId="2" fontId="6" fillId="5" borderId="6" xfId="0" applyNumberFormat="1" applyFont="1" applyFill="1" applyBorder="1" applyAlignment="1">
      <alignment horizontal="center" vertical="center"/>
    </xf>
    <xf numFmtId="43" fontId="26" fillId="0" borderId="1" xfId="1" applyFont="1" applyBorder="1" applyAlignment="1">
      <alignment vertical="center"/>
    </xf>
    <xf numFmtId="10" fontId="22" fillId="0" borderId="1" xfId="3" applyNumberFormat="1" applyFont="1" applyBorder="1" applyAlignment="1">
      <alignment vertical="center"/>
    </xf>
    <xf numFmtId="0" fontId="24" fillId="0" borderId="3" xfId="0" applyFont="1" applyBorder="1" applyAlignment="1">
      <alignment horizontal="left"/>
    </xf>
    <xf numFmtId="164" fontId="21" fillId="2" borderId="0" xfId="1" applyNumberFormat="1" applyFont="1" applyFill="1"/>
    <xf numFmtId="0" fontId="18" fillId="0" borderId="4" xfId="0" applyFont="1" applyBorder="1" applyAlignment="1">
      <alignment horizontal="center"/>
    </xf>
    <xf numFmtId="164" fontId="24" fillId="0" borderId="5" xfId="1" applyNumberFormat="1" applyFont="1" applyBorder="1" applyAlignment="1">
      <alignment horizontal="left" vertical="center"/>
    </xf>
    <xf numFmtId="0" fontId="7" fillId="8" borderId="5" xfId="0" applyFont="1" applyFill="1" applyBorder="1"/>
    <xf numFmtId="0" fontId="7" fillId="10" borderId="5" xfId="0" applyFont="1" applyFill="1" applyBorder="1"/>
    <xf numFmtId="0" fontId="7" fillId="10" borderId="3" xfId="0" applyFont="1" applyFill="1" applyBorder="1"/>
    <xf numFmtId="0" fontId="6" fillId="11" borderId="5" xfId="0" applyFont="1" applyFill="1" applyBorder="1" applyAlignment="1">
      <alignment horizontal="center" vertical="center"/>
    </xf>
    <xf numFmtId="0" fontId="6" fillId="11" borderId="6" xfId="0" applyFont="1" applyFill="1" applyBorder="1" applyAlignment="1">
      <alignment horizontal="center" vertical="center"/>
    </xf>
    <xf numFmtId="0" fontId="6" fillId="11" borderId="1" xfId="0" applyFont="1" applyFill="1" applyBorder="1" applyAlignment="1">
      <alignment horizontal="center" vertical="center"/>
    </xf>
    <xf numFmtId="0" fontId="6" fillId="11" borderId="6" xfId="0" applyFont="1" applyFill="1" applyBorder="1" applyAlignment="1">
      <alignment vertical="center"/>
    </xf>
    <xf numFmtId="0" fontId="7" fillId="11" borderId="6" xfId="0" applyFont="1" applyFill="1" applyBorder="1"/>
    <xf numFmtId="0" fontId="6" fillId="12" borderId="1" xfId="0" applyFont="1" applyFill="1" applyBorder="1" applyAlignment="1">
      <alignment horizontal="center" vertical="center" wrapText="1"/>
    </xf>
    <xf numFmtId="0" fontId="13" fillId="12" borderId="1" xfId="0" applyFont="1" applyFill="1" applyBorder="1" applyAlignment="1">
      <alignment horizontal="center" vertical="center"/>
    </xf>
    <xf numFmtId="0" fontId="7" fillId="12" borderId="1" xfId="0" applyFont="1" applyFill="1" applyBorder="1" applyAlignment="1">
      <alignment horizontal="center" vertical="center"/>
    </xf>
    <xf numFmtId="2" fontId="7" fillId="12" borderId="1" xfId="0" applyNumberFormat="1" applyFont="1" applyFill="1" applyBorder="1" applyAlignment="1">
      <alignment horizontal="center" vertical="center"/>
    </xf>
    <xf numFmtId="165" fontId="7" fillId="12" borderId="1" xfId="0" applyNumberFormat="1" applyFont="1" applyFill="1" applyBorder="1" applyAlignment="1">
      <alignment horizontal="center" vertical="center"/>
    </xf>
    <xf numFmtId="167" fontId="2" fillId="12" borderId="1" xfId="0" applyNumberFormat="1" applyFont="1" applyFill="1" applyBorder="1" applyAlignment="1">
      <alignment horizontal="center" vertical="center"/>
    </xf>
    <xf numFmtId="0" fontId="2" fillId="12" borderId="1" xfId="0" applyFont="1" applyFill="1" applyBorder="1" applyAlignment="1">
      <alignment horizontal="center" vertical="center"/>
    </xf>
    <xf numFmtId="43" fontId="0" fillId="2" borderId="1" xfId="1" applyFont="1" applyFill="1" applyBorder="1" applyAlignment="1">
      <alignment horizontal="center" vertical="center"/>
    </xf>
    <xf numFmtId="43" fontId="0" fillId="5" borderId="1" xfId="1" applyFont="1" applyFill="1" applyBorder="1" applyAlignment="1">
      <alignment horizontal="center" vertical="center"/>
    </xf>
    <xf numFmtId="43" fontId="0" fillId="8" borderId="1" xfId="1" applyFont="1" applyFill="1" applyBorder="1" applyAlignment="1">
      <alignment horizontal="center" vertical="center"/>
    </xf>
    <xf numFmtId="43" fontId="0" fillId="11" borderId="1" xfId="1" applyFont="1" applyFill="1" applyBorder="1" applyAlignment="1">
      <alignment horizontal="center" vertical="center"/>
    </xf>
    <xf numFmtId="43" fontId="0" fillId="10" borderId="1" xfId="1" applyFont="1" applyFill="1" applyBorder="1" applyAlignment="1">
      <alignment horizontal="center" vertical="center"/>
    </xf>
    <xf numFmtId="43" fontId="7" fillId="3" borderId="1" xfId="1" applyFont="1" applyFill="1" applyBorder="1" applyAlignment="1">
      <alignment horizontal="center" vertical="center"/>
    </xf>
    <xf numFmtId="164" fontId="7" fillId="3" borderId="1" xfId="1" applyNumberFormat="1" applyFont="1" applyFill="1" applyBorder="1" applyAlignment="1">
      <alignment horizontal="center" vertical="center"/>
    </xf>
    <xf numFmtId="164" fontId="6" fillId="5" borderId="6" xfId="1" applyNumberFormat="1" applyFont="1" applyFill="1" applyBorder="1" applyAlignment="1">
      <alignment horizontal="center" vertical="center"/>
    </xf>
    <xf numFmtId="43" fontId="6" fillId="5" borderId="1" xfId="1" applyFont="1" applyFill="1" applyBorder="1" applyAlignment="1">
      <alignment horizontal="center" vertical="center"/>
    </xf>
    <xf numFmtId="43" fontId="7" fillId="7" borderId="1" xfId="1" applyFont="1" applyFill="1" applyBorder="1" applyAlignment="1">
      <alignment horizontal="center" vertical="center"/>
    </xf>
    <xf numFmtId="43" fontId="6" fillId="8" borderId="6" xfId="1" applyFont="1" applyFill="1" applyBorder="1" applyAlignment="1">
      <alignment horizontal="center" vertical="center"/>
    </xf>
    <xf numFmtId="43" fontId="6" fillId="8" borderId="6" xfId="1" applyFont="1" applyFill="1" applyBorder="1" applyAlignment="1">
      <alignment vertical="center"/>
    </xf>
    <xf numFmtId="43" fontId="7" fillId="8" borderId="6" xfId="1" applyFont="1" applyFill="1" applyBorder="1"/>
    <xf numFmtId="43" fontId="6" fillId="8" borderId="1" xfId="1" applyFont="1" applyFill="1" applyBorder="1" applyAlignment="1">
      <alignment horizontal="center" vertical="center"/>
    </xf>
    <xf numFmtId="43" fontId="7" fillId="9" borderId="1" xfId="1" applyFont="1" applyFill="1" applyBorder="1" applyAlignment="1">
      <alignment horizontal="center" vertical="center"/>
    </xf>
    <xf numFmtId="43" fontId="6" fillId="10" borderId="6" xfId="1" applyFont="1" applyFill="1" applyBorder="1" applyAlignment="1">
      <alignment horizontal="center" vertical="center"/>
    </xf>
    <xf numFmtId="43" fontId="6" fillId="10" borderId="6" xfId="1" applyFont="1" applyFill="1" applyBorder="1" applyAlignment="1">
      <alignment vertical="center"/>
    </xf>
    <xf numFmtId="43" fontId="7" fillId="10" borderId="6" xfId="1" applyFont="1" applyFill="1" applyBorder="1"/>
    <xf numFmtId="43" fontId="6" fillId="10" borderId="1" xfId="1" applyFont="1" applyFill="1" applyBorder="1" applyAlignment="1">
      <alignment horizontal="center" vertical="center"/>
    </xf>
    <xf numFmtId="43" fontId="7" fillId="12" borderId="1" xfId="1" applyFont="1" applyFill="1" applyBorder="1" applyAlignment="1">
      <alignment horizontal="center" vertical="center"/>
    </xf>
    <xf numFmtId="43" fontId="6" fillId="11" borderId="6" xfId="1" applyFont="1" applyFill="1" applyBorder="1" applyAlignment="1">
      <alignment horizontal="center" vertical="center"/>
    </xf>
    <xf numFmtId="43" fontId="6" fillId="11" borderId="6" xfId="1" applyFont="1" applyFill="1" applyBorder="1" applyAlignment="1">
      <alignment vertical="center"/>
    </xf>
    <xf numFmtId="43" fontId="7" fillId="11" borderId="6" xfId="1" applyFont="1" applyFill="1" applyBorder="1"/>
    <xf numFmtId="43" fontId="6" fillId="11" borderId="1" xfId="1" applyFont="1" applyFill="1" applyBorder="1" applyAlignment="1">
      <alignment horizontal="center" vertical="center"/>
    </xf>
    <xf numFmtId="43" fontId="21" fillId="0" borderId="1" xfId="1" applyFont="1" applyBorder="1"/>
    <xf numFmtId="43" fontId="22" fillId="4" borderId="1" xfId="1" applyFont="1" applyFill="1" applyBorder="1" applyAlignment="1">
      <alignment horizontal="right" vertical="center"/>
    </xf>
    <xf numFmtId="43" fontId="21" fillId="2" borderId="1" xfId="1" applyFont="1" applyFill="1" applyBorder="1"/>
    <xf numFmtId="43" fontId="0" fillId="0" borderId="1" xfId="1" applyFont="1" applyBorder="1" applyAlignment="1">
      <alignment horizontal="center" vertical="center"/>
    </xf>
    <xf numFmtId="3" fontId="21" fillId="2" borderId="1" xfId="0" applyNumberFormat="1" applyFont="1" applyFill="1" applyBorder="1" applyAlignment="1">
      <alignment vertical="center"/>
    </xf>
    <xf numFmtId="164" fontId="21" fillId="2" borderId="1" xfId="0" applyNumberFormat="1" applyFont="1" applyFill="1" applyBorder="1" applyAlignment="1">
      <alignment vertical="center"/>
    </xf>
    <xf numFmtId="164" fontId="22" fillId="4" borderId="1" xfId="1" applyNumberFormat="1" applyFont="1" applyFill="1" applyBorder="1" applyAlignment="1">
      <alignment horizontal="center" vertical="center"/>
    </xf>
    <xf numFmtId="0" fontId="21" fillId="2" borderId="0" xfId="0" applyFont="1" applyFill="1" applyAlignment="1">
      <alignment horizontal="right"/>
    </xf>
    <xf numFmtId="0" fontId="7" fillId="0" borderId="2" xfId="0" applyFont="1" applyBorder="1"/>
    <xf numFmtId="0" fontId="7" fillId="0" borderId="2" xfId="0" applyFont="1" applyBorder="1" applyAlignment="1">
      <alignment vertical="center" wrapText="1"/>
    </xf>
    <xf numFmtId="0" fontId="7" fillId="0" borderId="1" xfId="0" applyFont="1" applyBorder="1"/>
    <xf numFmtId="2" fontId="7" fillId="0" borderId="1" xfId="0" applyNumberFormat="1" applyFont="1" applyBorder="1"/>
    <xf numFmtId="166" fontId="7" fillId="0" borderId="1" xfId="0" applyNumberFormat="1" applyFont="1" applyBorder="1"/>
    <xf numFmtId="168" fontId="7" fillId="0" borderId="1" xfId="0" applyNumberFormat="1" applyFont="1" applyBorder="1"/>
    <xf numFmtId="10" fontId="7" fillId="0" borderId="1" xfId="3" applyNumberFormat="1" applyFont="1" applyFill="1" applyBorder="1" applyAlignment="1">
      <alignment vertical="center" wrapText="1"/>
    </xf>
    <xf numFmtId="0" fontId="7" fillId="0" borderId="1" xfId="0" applyFont="1" applyBorder="1" applyAlignment="1">
      <alignment horizontal="left" vertical="center" wrapText="1"/>
    </xf>
    <xf numFmtId="10" fontId="21" fillId="2" borderId="1" xfId="3" applyNumberFormat="1" applyFont="1" applyFill="1" applyBorder="1"/>
    <xf numFmtId="167" fontId="4" fillId="2" borderId="1" xfId="0" applyNumberFormat="1" applyFont="1" applyFill="1" applyBorder="1"/>
    <xf numFmtId="43" fontId="4" fillId="2" borderId="1" xfId="1" applyFont="1" applyFill="1" applyBorder="1"/>
    <xf numFmtId="3" fontId="28" fillId="0" borderId="0" xfId="0" applyNumberFormat="1" applyFont="1"/>
    <xf numFmtId="164" fontId="7" fillId="0" borderId="0" xfId="0" applyNumberFormat="1" applyFont="1"/>
    <xf numFmtId="2" fontId="4" fillId="2" borderId="1" xfId="1" applyNumberFormat="1" applyFont="1" applyFill="1" applyBorder="1" applyAlignment="1">
      <alignment horizontal="center"/>
    </xf>
    <xf numFmtId="2" fontId="4" fillId="2" borderId="1" xfId="1" applyNumberFormat="1" applyFont="1" applyFill="1" applyBorder="1" applyAlignment="1">
      <alignment horizontal="center" vertical="center"/>
    </xf>
    <xf numFmtId="2" fontId="0" fillId="2" borderId="1" xfId="1" applyNumberFormat="1" applyFont="1" applyFill="1" applyBorder="1" applyAlignment="1">
      <alignment horizontal="center"/>
    </xf>
    <xf numFmtId="2" fontId="0" fillId="2" borderId="1" xfId="1" applyNumberFormat="1" applyFont="1" applyFill="1" applyBorder="1" applyAlignment="1">
      <alignment horizontal="center" vertical="center"/>
    </xf>
    <xf numFmtId="2" fontId="18" fillId="2" borderId="1" xfId="1" applyNumberFormat="1" applyFont="1" applyFill="1" applyBorder="1" applyAlignment="1">
      <alignment horizontal="center" vertical="center"/>
    </xf>
    <xf numFmtId="2" fontId="4" fillId="0" borderId="1" xfId="1" applyNumberFormat="1" applyFont="1" applyBorder="1" applyAlignment="1">
      <alignment horizontal="center" vertical="center"/>
    </xf>
    <xf numFmtId="2" fontId="0" fillId="0" borderId="1" xfId="1" applyNumberFormat="1" applyFont="1" applyBorder="1" applyAlignment="1">
      <alignment horizontal="center" vertical="center"/>
    </xf>
    <xf numFmtId="2" fontId="4" fillId="0" borderId="1" xfId="1" applyNumberFormat="1" applyFont="1" applyBorder="1" applyAlignment="1">
      <alignment horizontal="center"/>
    </xf>
    <xf numFmtId="2" fontId="0" fillId="0" borderId="1" xfId="1" applyNumberFormat="1" applyFont="1" applyBorder="1" applyAlignment="1">
      <alignment horizontal="center"/>
    </xf>
    <xf numFmtId="0" fontId="2" fillId="5" borderId="3" xfId="0" applyFont="1" applyFill="1" applyBorder="1" applyAlignment="1">
      <alignment horizontal="center" vertical="center"/>
    </xf>
    <xf numFmtId="0" fontId="2" fillId="11" borderId="3" xfId="0" applyFont="1" applyFill="1" applyBorder="1" applyAlignment="1">
      <alignment horizontal="center" vertical="center"/>
    </xf>
    <xf numFmtId="0" fontId="2" fillId="8" borderId="3" xfId="0" applyFont="1" applyFill="1" applyBorder="1" applyAlignment="1">
      <alignment horizontal="center" vertical="center"/>
    </xf>
    <xf numFmtId="0" fontId="2" fillId="10" borderId="3" xfId="0" applyFont="1" applyFill="1" applyBorder="1" applyAlignment="1">
      <alignment horizontal="center" vertical="center"/>
    </xf>
    <xf numFmtId="0" fontId="0" fillId="13" borderId="0" xfId="0" applyFill="1"/>
    <xf numFmtId="2" fontId="7" fillId="2" borderId="1" xfId="0" applyNumberFormat="1" applyFont="1" applyFill="1" applyBorder="1"/>
    <xf numFmtId="10" fontId="0" fillId="2" borderId="0" xfId="3" applyNumberFormat="1" applyFont="1" applyFill="1"/>
    <xf numFmtId="170" fontId="7" fillId="3" borderId="1" xfId="0" applyNumberFormat="1" applyFont="1" applyFill="1" applyBorder="1" applyAlignment="1">
      <alignment horizontal="center" vertical="center"/>
    </xf>
    <xf numFmtId="0" fontId="0" fillId="0" borderId="1" xfId="0" applyBorder="1"/>
    <xf numFmtId="0" fontId="0" fillId="0" borderId="1" xfId="0" applyBorder="1" applyAlignment="1">
      <alignment wrapText="1"/>
    </xf>
    <xf numFmtId="167" fontId="0" fillId="0" borderId="0" xfId="0" applyNumberFormat="1"/>
    <xf numFmtId="167" fontId="0" fillId="0" borderId="1" xfId="0" applyNumberFormat="1" applyBorder="1"/>
    <xf numFmtId="3" fontId="0" fillId="0" borderId="1" xfId="0" applyNumberFormat="1" applyBorder="1"/>
    <xf numFmtId="164" fontId="0" fillId="0" borderId="1" xfId="1" applyNumberFormat="1" applyFont="1" applyBorder="1"/>
    <xf numFmtId="164" fontId="0" fillId="0" borderId="0" xfId="0" applyNumberFormat="1"/>
    <xf numFmtId="43" fontId="4" fillId="2" borderId="1" xfId="1" applyFont="1" applyFill="1" applyBorder="1" applyAlignment="1">
      <alignment horizontal="center"/>
    </xf>
    <xf numFmtId="43" fontId="4" fillId="2" borderId="1" xfId="1" applyFont="1" applyFill="1" applyBorder="1" applyAlignment="1">
      <alignment horizontal="center" vertical="center"/>
    </xf>
    <xf numFmtId="43" fontId="0" fillId="2" borderId="1" xfId="1" applyFont="1" applyFill="1" applyBorder="1" applyAlignment="1">
      <alignment horizontal="center"/>
    </xf>
    <xf numFmtId="0" fontId="18" fillId="2" borderId="1" xfId="0" applyFont="1" applyFill="1" applyBorder="1" applyAlignment="1">
      <alignment horizontal="center"/>
    </xf>
    <xf numFmtId="167" fontId="18" fillId="2" borderId="1" xfId="0" applyNumberFormat="1" applyFont="1" applyFill="1" applyBorder="1" applyAlignment="1">
      <alignment horizontal="center"/>
    </xf>
    <xf numFmtId="43" fontId="18" fillId="2" borderId="1" xfId="1" applyFont="1" applyFill="1" applyBorder="1" applyAlignment="1">
      <alignment horizontal="center" vertical="center"/>
    </xf>
    <xf numFmtId="165" fontId="4" fillId="2" borderId="1" xfId="1" applyNumberFormat="1" applyFont="1" applyFill="1" applyBorder="1" applyAlignment="1">
      <alignment horizontal="center" vertical="center"/>
    </xf>
    <xf numFmtId="43" fontId="4" fillId="2" borderId="1" xfId="1" applyFont="1" applyFill="1" applyBorder="1" applyAlignment="1"/>
    <xf numFmtId="2" fontId="4" fillId="2" borderId="1" xfId="1" applyNumberFormat="1" applyFont="1" applyFill="1" applyBorder="1" applyAlignment="1"/>
    <xf numFmtId="2" fontId="0" fillId="2" borderId="1" xfId="1" applyNumberFormat="1" applyFont="1" applyFill="1" applyBorder="1" applyAlignment="1"/>
    <xf numFmtId="0" fontId="0" fillId="14" borderId="0" xfId="0" applyFill="1"/>
    <xf numFmtId="43" fontId="0" fillId="2" borderId="0" xfId="0" applyNumberFormat="1" applyFill="1"/>
    <xf numFmtId="0" fontId="0" fillId="2" borderId="1" xfId="0" applyFill="1" applyBorder="1"/>
    <xf numFmtId="0" fontId="0" fillId="2" borderId="1" xfId="0" applyFill="1" applyBorder="1" applyAlignment="1">
      <alignment wrapText="1"/>
    </xf>
    <xf numFmtId="43" fontId="0" fillId="2" borderId="1" xfId="0" applyNumberFormat="1" applyFill="1" applyBorder="1"/>
    <xf numFmtId="0" fontId="2" fillId="0" borderId="1" xfId="0" applyFont="1" applyBorder="1"/>
    <xf numFmtId="2" fontId="0" fillId="2" borderId="1" xfId="0" applyNumberFormat="1" applyFill="1" applyBorder="1"/>
    <xf numFmtId="9" fontId="0" fillId="2" borderId="1" xfId="0" applyNumberFormat="1" applyFill="1" applyBorder="1"/>
    <xf numFmtId="0" fontId="2" fillId="2" borderId="1" xfId="0" applyFont="1" applyFill="1" applyBorder="1"/>
    <xf numFmtId="43" fontId="4" fillId="2" borderId="0" xfId="1" applyFont="1" applyFill="1" applyBorder="1" applyAlignment="1">
      <alignment horizontal="center" vertical="center"/>
    </xf>
    <xf numFmtId="43" fontId="4" fillId="2" borderId="0" xfId="1" applyFont="1" applyFill="1" applyBorder="1" applyAlignment="1">
      <alignment horizontal="center"/>
    </xf>
    <xf numFmtId="43" fontId="0" fillId="2" borderId="0" xfId="1" applyFont="1" applyFill="1" applyBorder="1" applyAlignment="1">
      <alignment horizontal="center" vertical="center"/>
    </xf>
    <xf numFmtId="43" fontId="0" fillId="2" borderId="0" xfId="1" applyFont="1" applyFill="1" applyBorder="1" applyAlignment="1">
      <alignment horizontal="center"/>
    </xf>
    <xf numFmtId="43" fontId="18" fillId="2" borderId="0" xfId="1" applyFont="1" applyFill="1" applyBorder="1" applyAlignment="1">
      <alignment horizontal="center" vertical="center"/>
    </xf>
    <xf numFmtId="0" fontId="28" fillId="0" borderId="0" xfId="0" applyFont="1"/>
    <xf numFmtId="2" fontId="0" fillId="0" borderId="0" xfId="0" applyNumberFormat="1"/>
    <xf numFmtId="2" fontId="30" fillId="16" borderId="1" xfId="0" applyNumberFormat="1" applyFont="1" applyFill="1" applyBorder="1"/>
    <xf numFmtId="1" fontId="30" fillId="16" borderId="1" xfId="0" applyNumberFormat="1" applyFont="1" applyFill="1" applyBorder="1"/>
    <xf numFmtId="2" fontId="0" fillId="0" borderId="1" xfId="0" applyNumberFormat="1" applyBorder="1"/>
    <xf numFmtId="167" fontId="0" fillId="3" borderId="1" xfId="0" applyNumberFormat="1" applyFill="1" applyBorder="1" applyAlignment="1">
      <alignment horizontal="center" vertical="center" wrapText="1"/>
    </xf>
    <xf numFmtId="1" fontId="0" fillId="2" borderId="1" xfId="0" applyNumberFormat="1" applyFill="1" applyBorder="1"/>
    <xf numFmtId="167" fontId="0" fillId="3" borderId="5" xfId="0" applyNumberFormat="1" applyFill="1" applyBorder="1" applyAlignment="1">
      <alignment horizontal="center" vertical="center" wrapText="1"/>
    </xf>
    <xf numFmtId="2" fontId="2" fillId="0" borderId="1" xfId="0" applyNumberFormat="1" applyFont="1" applyBorder="1"/>
    <xf numFmtId="0" fontId="2" fillId="0" borderId="1" xfId="0" applyFont="1" applyBorder="1" applyAlignment="1">
      <alignment horizontal="right"/>
    </xf>
    <xf numFmtId="43" fontId="21" fillId="2" borderId="1" xfId="0" applyNumberFormat="1" applyFont="1" applyFill="1" applyBorder="1"/>
    <xf numFmtId="0" fontId="35" fillId="0" borderId="1" xfId="2" applyFont="1" applyBorder="1" applyAlignment="1">
      <alignment vertical="center"/>
    </xf>
    <xf numFmtId="167" fontId="0" fillId="3" borderId="4" xfId="0" applyNumberFormat="1" applyFill="1" applyBorder="1" applyAlignment="1">
      <alignment horizontal="center" vertical="center" wrapText="1"/>
    </xf>
    <xf numFmtId="0" fontId="0" fillId="0" borderId="2" xfId="0" applyBorder="1"/>
    <xf numFmtId="167" fontId="0" fillId="2" borderId="1" xfId="0" applyNumberFormat="1" applyFill="1" applyBorder="1" applyAlignment="1">
      <alignment horizontal="center" vertical="center"/>
    </xf>
    <xf numFmtId="0" fontId="36" fillId="0" borderId="1" xfId="0" applyFont="1" applyBorder="1"/>
    <xf numFmtId="43" fontId="0" fillId="0" borderId="1" xfId="0" applyNumberFormat="1" applyBorder="1"/>
    <xf numFmtId="43" fontId="21" fillId="2" borderId="0" xfId="0" applyNumberFormat="1" applyFont="1" applyFill="1"/>
    <xf numFmtId="43" fontId="2" fillId="0" borderId="1" xfId="1" applyFont="1" applyBorder="1"/>
    <xf numFmtId="43" fontId="0" fillId="18" borderId="1" xfId="0" applyNumberFormat="1" applyFill="1" applyBorder="1"/>
    <xf numFmtId="167" fontId="0" fillId="2" borderId="0" xfId="0" applyNumberFormat="1" applyFill="1" applyAlignment="1">
      <alignment horizontal="center" vertical="center"/>
    </xf>
    <xf numFmtId="43" fontId="0" fillId="0" borderId="0" xfId="0" applyNumberFormat="1"/>
    <xf numFmtId="0" fontId="0" fillId="19" borderId="1" xfId="0" applyFill="1" applyBorder="1"/>
    <xf numFmtId="0" fontId="15" fillId="19" borderId="1" xfId="0" applyFont="1" applyFill="1" applyBorder="1" applyAlignment="1">
      <alignment vertical="center"/>
    </xf>
    <xf numFmtId="0" fontId="36" fillId="19" borderId="1" xfId="0" applyFont="1" applyFill="1" applyBorder="1"/>
    <xf numFmtId="0" fontId="13" fillId="9" borderId="1" xfId="0" applyFont="1" applyFill="1" applyBorder="1" applyAlignment="1">
      <alignment vertical="center"/>
    </xf>
    <xf numFmtId="0" fontId="39" fillId="9" borderId="1" xfId="0" applyFont="1" applyFill="1" applyBorder="1"/>
    <xf numFmtId="43" fontId="4" fillId="2" borderId="1" xfId="0" applyNumberFormat="1" applyFont="1" applyFill="1" applyBorder="1"/>
    <xf numFmtId="0" fontId="0" fillId="2" borderId="0" xfId="0" applyFill="1" applyAlignment="1">
      <alignment horizontal="left" vertical="top" wrapText="1"/>
    </xf>
    <xf numFmtId="10" fontId="24" fillId="4" borderId="1" xfId="3" applyNumberFormat="1" applyFont="1" applyFill="1" applyBorder="1"/>
    <xf numFmtId="0" fontId="0" fillId="0" borderId="0" xfId="0" applyAlignment="1">
      <alignment horizontal="center"/>
    </xf>
    <xf numFmtId="0" fontId="2" fillId="0" borderId="0" xfId="0" applyFont="1" applyAlignment="1">
      <alignment horizontal="center"/>
    </xf>
    <xf numFmtId="43" fontId="2" fillId="0" borderId="0" xfId="1" applyFont="1" applyBorder="1"/>
    <xf numFmtId="0" fontId="0" fillId="2" borderId="0" xfId="0" applyFill="1" applyAlignment="1">
      <alignment horizontal="left"/>
    </xf>
    <xf numFmtId="0" fontId="0" fillId="20" borderId="0" xfId="0" applyFill="1"/>
    <xf numFmtId="0" fontId="2" fillId="20" borderId="0" xfId="0" applyFont="1" applyFill="1" applyAlignment="1">
      <alignment horizontal="left"/>
    </xf>
    <xf numFmtId="2" fontId="2" fillId="0" borderId="0" xfId="0" applyNumberFormat="1" applyFont="1"/>
    <xf numFmtId="2" fontId="0" fillId="2" borderId="0" xfId="0" applyNumberFormat="1" applyFill="1"/>
    <xf numFmtId="0" fontId="0" fillId="0" borderId="0" xfId="0" applyAlignment="1">
      <alignment horizontal="center" wrapText="1"/>
    </xf>
    <xf numFmtId="43" fontId="0" fillId="2" borderId="1" xfId="0" applyNumberFormat="1" applyFill="1" applyBorder="1" applyAlignment="1">
      <alignment horizontal="left" vertical="top" wrapText="1"/>
    </xf>
    <xf numFmtId="2" fontId="0" fillId="0" borderId="1" xfId="0" applyNumberFormat="1" applyBorder="1" applyAlignment="1">
      <alignment vertical="center"/>
    </xf>
    <xf numFmtId="43" fontId="0" fillId="0" borderId="1" xfId="0" applyNumberFormat="1" applyBorder="1" applyAlignment="1">
      <alignment vertical="center"/>
    </xf>
    <xf numFmtId="43" fontId="2" fillId="18" borderId="1" xfId="0" applyNumberFormat="1" applyFont="1" applyFill="1" applyBorder="1" applyAlignment="1">
      <alignment vertical="center"/>
    </xf>
    <xf numFmtId="0" fontId="21" fillId="2" borderId="1" xfId="0" applyFont="1" applyFill="1" applyBorder="1"/>
    <xf numFmtId="0" fontId="26" fillId="0" borderId="1" xfId="0" applyFont="1" applyBorder="1" applyAlignment="1">
      <alignment horizontal="left" vertical="center"/>
    </xf>
    <xf numFmtId="0" fontId="21" fillId="4" borderId="1" xfId="0" applyFont="1" applyFill="1" applyBorder="1"/>
    <xf numFmtId="0" fontId="3" fillId="0" borderId="0" xfId="2" applyAlignment="1">
      <alignment vertical="center"/>
    </xf>
    <xf numFmtId="0" fontId="42" fillId="0" borderId="14" xfId="0" applyFont="1" applyBorder="1" applyAlignment="1">
      <alignment horizontal="center" vertical="center" wrapText="1"/>
    </xf>
    <xf numFmtId="0" fontId="43" fillId="0" borderId="15" xfId="0" applyFont="1" applyBorder="1" applyAlignment="1">
      <alignment horizontal="center" vertical="center" wrapText="1"/>
    </xf>
    <xf numFmtId="0" fontId="45" fillId="21" borderId="15" xfId="0" applyFont="1" applyFill="1" applyBorder="1" applyAlignment="1">
      <alignment horizontal="center" vertical="center" wrapText="1"/>
    </xf>
    <xf numFmtId="0" fontId="46" fillId="0" borderId="16" xfId="0" applyFont="1" applyBorder="1" applyAlignment="1">
      <alignment horizontal="center" vertical="center" wrapText="1"/>
    </xf>
    <xf numFmtId="0" fontId="46" fillId="0" borderId="17" xfId="0" applyFont="1" applyBorder="1" applyAlignment="1">
      <alignment horizontal="center" vertical="center" wrapText="1"/>
    </xf>
    <xf numFmtId="0" fontId="22" fillId="4" borderId="1" xfId="0" applyFont="1" applyFill="1" applyBorder="1" applyAlignment="1">
      <alignment horizontal="left" vertical="center"/>
    </xf>
    <xf numFmtId="0" fontId="22" fillId="4" borderId="5" xfId="0" applyFont="1" applyFill="1" applyBorder="1" applyAlignment="1">
      <alignment horizontal="left" vertical="center"/>
    </xf>
    <xf numFmtId="0" fontId="22" fillId="4" borderId="1" xfId="0" applyFont="1" applyFill="1" applyBorder="1" applyAlignment="1">
      <alignment horizontal="left" vertical="center" wrapText="1"/>
    </xf>
    <xf numFmtId="167" fontId="24" fillId="0" borderId="4" xfId="0" applyNumberFormat="1" applyFont="1" applyBorder="1" applyAlignment="1">
      <alignment horizontal="left" vertical="center"/>
    </xf>
    <xf numFmtId="167" fontId="24" fillId="0" borderId="1" xfId="0" applyNumberFormat="1" applyFont="1" applyBorder="1" applyAlignment="1">
      <alignment horizontal="left" vertical="center"/>
    </xf>
    <xf numFmtId="0" fontId="24" fillId="0" borderId="1" xfId="0" applyFont="1" applyBorder="1" applyAlignment="1">
      <alignment horizontal="left" vertical="center"/>
    </xf>
    <xf numFmtId="0" fontId="24" fillId="0" borderId="1" xfId="0" applyFont="1" applyBorder="1" applyAlignment="1">
      <alignment horizontal="left" vertical="center" wrapText="1"/>
    </xf>
    <xf numFmtId="169" fontId="24" fillId="0" borderId="1" xfId="0" applyNumberFormat="1" applyFont="1" applyBorder="1" applyAlignment="1">
      <alignment horizontal="left" vertical="center"/>
    </xf>
    <xf numFmtId="0" fontId="22" fillId="4" borderId="5"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1" xfId="0" applyFont="1" applyFill="1" applyBorder="1" applyAlignment="1">
      <alignment horizontal="center" vertical="center"/>
    </xf>
    <xf numFmtId="0" fontId="22" fillId="4" borderId="1" xfId="0" applyFont="1" applyFill="1" applyBorder="1" applyAlignment="1">
      <alignment horizontal="center" vertical="center" wrapText="1"/>
    </xf>
    <xf numFmtId="164" fontId="22" fillId="4" borderId="1" xfId="1" applyNumberFormat="1" applyFont="1" applyFill="1" applyBorder="1" applyAlignment="1">
      <alignment horizontal="left" vertical="center"/>
    </xf>
    <xf numFmtId="0" fontId="22" fillId="4" borderId="3" xfId="0" applyFont="1" applyFill="1" applyBorder="1" applyAlignment="1">
      <alignment horizontal="left" vertical="center"/>
    </xf>
    <xf numFmtId="0" fontId="22" fillId="4" borderId="5"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3" xfId="0" applyFont="1" applyFill="1" applyBorder="1" applyAlignment="1">
      <alignment horizontal="center" vertical="center"/>
    </xf>
    <xf numFmtId="0" fontId="6" fillId="7"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12" borderId="9"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12" borderId="11" xfId="0" applyFont="1" applyFill="1" applyBorder="1" applyAlignment="1">
      <alignment horizontal="center" vertical="center" wrapText="1"/>
    </xf>
    <xf numFmtId="0" fontId="6" fillId="9" borderId="1" xfId="0" applyFont="1" applyFill="1" applyBorder="1" applyAlignment="1">
      <alignment horizontal="center" vertical="center"/>
    </xf>
    <xf numFmtId="0" fontId="6" fillId="9" borderId="4"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6" fillId="12" borderId="1" xfId="0" applyFont="1" applyFill="1" applyBorder="1" applyAlignment="1">
      <alignment horizontal="center" vertical="center"/>
    </xf>
    <xf numFmtId="0" fontId="6" fillId="12" borderId="4"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0" xfId="0" applyFont="1" applyFill="1" applyAlignment="1">
      <alignment horizontal="center" vertical="center" wrapText="1"/>
    </xf>
    <xf numFmtId="0" fontId="6" fillId="7" borderId="4"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0" fillId="0" borderId="1" xfId="0" applyBorder="1" applyAlignment="1">
      <alignment horizontal="center"/>
    </xf>
    <xf numFmtId="0" fontId="0" fillId="2" borderId="0" xfId="0" applyFill="1" applyAlignment="1">
      <alignment horizontal="left" vertical="top" wrapText="1"/>
    </xf>
    <xf numFmtId="0" fontId="0" fillId="2" borderId="1" xfId="0" applyFill="1" applyBorder="1" applyAlignment="1">
      <alignment horizontal="center"/>
    </xf>
    <xf numFmtId="0" fontId="2" fillId="5" borderId="5" xfId="0" applyFont="1" applyFill="1" applyBorder="1" applyAlignment="1">
      <alignment horizontal="center" vertical="center"/>
    </xf>
    <xf numFmtId="0" fontId="2" fillId="5" borderId="3" xfId="0" applyFont="1" applyFill="1" applyBorder="1" applyAlignment="1">
      <alignment horizontal="center" vertical="center"/>
    </xf>
    <xf numFmtId="0" fontId="2" fillId="11" borderId="5" xfId="0" applyFont="1" applyFill="1" applyBorder="1" applyAlignment="1">
      <alignment horizontal="center" vertical="center"/>
    </xf>
    <xf numFmtId="0" fontId="2" fillId="11" borderId="3" xfId="0" applyFont="1" applyFill="1" applyBorder="1" applyAlignment="1">
      <alignment horizontal="center" vertical="center"/>
    </xf>
    <xf numFmtId="0" fontId="2" fillId="8" borderId="5" xfId="0" applyFont="1" applyFill="1" applyBorder="1" applyAlignment="1">
      <alignment horizontal="center" vertical="center"/>
    </xf>
    <xf numFmtId="0" fontId="2" fillId="8" borderId="3" xfId="0" applyFont="1" applyFill="1" applyBorder="1" applyAlignment="1">
      <alignment horizontal="center" vertical="center"/>
    </xf>
    <xf numFmtId="0" fontId="2" fillId="10" borderId="5" xfId="0" applyFont="1" applyFill="1" applyBorder="1" applyAlignment="1">
      <alignment horizontal="center" vertical="center"/>
    </xf>
    <xf numFmtId="0" fontId="2" fillId="10" borderId="3" xfId="0" applyFont="1" applyFill="1" applyBorder="1" applyAlignment="1">
      <alignment horizontal="center" vertical="center"/>
    </xf>
    <xf numFmtId="0" fontId="18" fillId="6" borderId="1" xfId="0" applyFont="1" applyFill="1" applyBorder="1" applyAlignment="1">
      <alignment horizontal="center" vertical="center"/>
    </xf>
    <xf numFmtId="0" fontId="18" fillId="2" borderId="1" xfId="0" applyFont="1" applyFill="1" applyBorder="1" applyAlignment="1">
      <alignment horizontal="center"/>
    </xf>
    <xf numFmtId="0" fontId="18" fillId="6" borderId="1" xfId="0" applyFont="1" applyFill="1" applyBorder="1" applyAlignment="1">
      <alignment horizontal="center" vertical="top"/>
    </xf>
    <xf numFmtId="0" fontId="2" fillId="9" borderId="1" xfId="0" applyFont="1" applyFill="1" applyBorder="1" applyAlignment="1">
      <alignment horizontal="center"/>
    </xf>
    <xf numFmtId="0" fontId="36" fillId="0" borderId="5" xfId="0" applyFont="1" applyBorder="1" applyAlignment="1">
      <alignment horizontal="center"/>
    </xf>
    <xf numFmtId="0" fontId="36" fillId="0" borderId="6" xfId="0" applyFont="1" applyBorder="1" applyAlignment="1">
      <alignment horizontal="center"/>
    </xf>
    <xf numFmtId="0" fontId="36" fillId="0" borderId="3" xfId="0" applyFont="1" applyBorder="1" applyAlignment="1">
      <alignment horizontal="center"/>
    </xf>
    <xf numFmtId="0" fontId="2" fillId="0" borderId="1" xfId="0" applyFont="1" applyBorder="1" applyAlignment="1">
      <alignment horizontal="center"/>
    </xf>
    <xf numFmtId="0" fontId="29" fillId="15" borderId="5" xfId="0" applyFont="1" applyFill="1" applyBorder="1" applyAlignment="1">
      <alignment horizontal="center" vertical="center"/>
    </xf>
    <xf numFmtId="0" fontId="29" fillId="15" borderId="3" xfId="0" applyFont="1" applyFill="1" applyBorder="1" applyAlignment="1">
      <alignment horizontal="center" vertical="center"/>
    </xf>
    <xf numFmtId="0" fontId="0" fillId="17" borderId="1" xfId="0" applyFill="1" applyBorder="1" applyAlignment="1">
      <alignment horizontal="center"/>
    </xf>
    <xf numFmtId="0" fontId="0" fillId="0" borderId="0" xfId="0" applyAlignment="1">
      <alignment horizontal="center"/>
    </xf>
    <xf numFmtId="0" fontId="38" fillId="0" borderId="1" xfId="0" applyFont="1" applyBorder="1" applyAlignment="1">
      <alignment horizontal="left" vertical="top" wrapText="1"/>
    </xf>
    <xf numFmtId="0" fontId="31" fillId="0" borderId="13" xfId="0" applyFont="1" applyBorder="1" applyAlignment="1">
      <alignment horizontal="left" vertical="top" wrapText="1"/>
    </xf>
    <xf numFmtId="0" fontId="31" fillId="0" borderId="0" xfId="0" applyFont="1" applyAlignment="1">
      <alignment horizontal="left" vertical="top" wrapText="1"/>
    </xf>
    <xf numFmtId="0" fontId="0" fillId="0" borderId="4" xfId="0" applyBorder="1" applyAlignment="1">
      <alignment horizontal="center"/>
    </xf>
    <xf numFmtId="0" fontId="0" fillId="0" borderId="7" xfId="0" applyBorder="1" applyAlignment="1">
      <alignment horizontal="center"/>
    </xf>
    <xf numFmtId="0" fontId="0" fillId="0" borderId="2" xfId="0" applyBorder="1" applyAlignment="1">
      <alignment horizont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left" vertical="top" wrapText="1"/>
    </xf>
    <xf numFmtId="3" fontId="38" fillId="0" borderId="16" xfId="0" applyNumberFormat="1" applyFont="1" applyBorder="1" applyAlignment="1">
      <alignment horizontal="center" vertical="center" wrapText="1"/>
    </xf>
    <xf numFmtId="3" fontId="38" fillId="0" borderId="17" xfId="0" applyNumberFormat="1" applyFont="1" applyBorder="1" applyAlignment="1">
      <alignment horizontal="center" vertical="center" wrapText="1"/>
    </xf>
    <xf numFmtId="0" fontId="38" fillId="0" borderId="16" xfId="0" applyFont="1" applyBorder="1" applyAlignment="1">
      <alignment horizontal="center" vertical="center" wrapText="1"/>
    </xf>
    <xf numFmtId="0" fontId="38" fillId="0" borderId="17" xfId="0" applyFont="1" applyBorder="1" applyAlignment="1">
      <alignment horizontal="center" vertical="center" wrapText="1"/>
    </xf>
    <xf numFmtId="3" fontId="47" fillId="21" borderId="16" xfId="0" applyNumberFormat="1" applyFont="1" applyFill="1" applyBorder="1" applyAlignment="1">
      <alignment horizontal="center" vertical="center" wrapText="1"/>
    </xf>
    <xf numFmtId="3" fontId="47" fillId="21" borderId="17" xfId="0" applyNumberFormat="1" applyFont="1" applyFill="1" applyBorder="1" applyAlignment="1">
      <alignment horizontal="center" vertical="center" wrapText="1"/>
    </xf>
    <xf numFmtId="0" fontId="2" fillId="0" borderId="5" xfId="0" applyFont="1" applyBorder="1" applyAlignment="1">
      <alignment horizontal="center"/>
    </xf>
    <xf numFmtId="0" fontId="2" fillId="0" borderId="3" xfId="0" applyFont="1" applyBorder="1" applyAlignment="1">
      <alignment horizontal="center"/>
    </xf>
    <xf numFmtId="0" fontId="0" fillId="0" borderId="1" xfId="0" applyBorder="1" applyAlignment="1">
      <alignment horizontal="center" wrapText="1"/>
    </xf>
    <xf numFmtId="164" fontId="0" fillId="0" borderId="1" xfId="1" applyNumberFormat="1" applyFont="1" applyBorder="1" applyAlignment="1">
      <alignment wrapText="1"/>
    </xf>
    <xf numFmtId="3" fontId="0" fillId="0" borderId="1" xfId="0" applyNumberFormat="1" applyBorder="1" applyAlignment="1">
      <alignment wrapText="1"/>
    </xf>
    <xf numFmtId="0" fontId="0" fillId="0" borderId="1" xfId="0" applyBorder="1" applyAlignment="1">
      <alignment wrapText="1"/>
    </xf>
    <xf numFmtId="0" fontId="0" fillId="0" borderId="5" xfId="0" applyBorder="1" applyAlignment="1">
      <alignment horizontal="center"/>
    </xf>
    <xf numFmtId="0" fontId="0" fillId="0" borderId="3" xfId="0" applyBorder="1" applyAlignment="1">
      <alignment horizontal="center"/>
    </xf>
  </cellXfs>
  <cellStyles count="4">
    <cellStyle name="Comma" xfId="1" builtinId="3"/>
    <cellStyle name="Hyperlink" xfId="2"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7" Type="http://schemas.openxmlformats.org/officeDocument/2006/relationships/image" Target="../media/image1.tmp"/><Relationship Id="rId2" Type="http://schemas.openxmlformats.org/officeDocument/2006/relationships/image" Target="../media/image8.png"/><Relationship Id="rId1" Type="http://schemas.openxmlformats.org/officeDocument/2006/relationships/image" Target="../media/image14.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21161</xdr:rowOff>
    </xdr:from>
    <xdr:to>
      <xdr:col>6</xdr:col>
      <xdr:colOff>727710</xdr:colOff>
      <xdr:row>5</xdr:row>
      <xdr:rowOff>34919</xdr:rowOff>
    </xdr:to>
    <xdr:pic>
      <xdr:nvPicPr>
        <xdr:cNvPr id="2" name="Picture 1" descr="Text, letter&#10;&#10;Description automatically generated">
          <a:extLst>
            <a:ext uri="{FF2B5EF4-FFF2-40B4-BE49-F238E27FC236}">
              <a16:creationId xmlns:a16="http://schemas.microsoft.com/office/drawing/2014/main" id="{647E0A65-BAB5-8FA1-D6DA-A92D2C9548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1161"/>
          <a:ext cx="5458460" cy="1019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6</xdr:col>
      <xdr:colOff>399415</xdr:colOff>
      <xdr:row>2</xdr:row>
      <xdr:rowOff>135890</xdr:rowOff>
    </xdr:to>
    <xdr:pic>
      <xdr:nvPicPr>
        <xdr:cNvPr id="2" name="Picture 1">
          <a:extLst>
            <a:ext uri="{FF2B5EF4-FFF2-40B4-BE49-F238E27FC236}">
              <a16:creationId xmlns:a16="http://schemas.microsoft.com/office/drawing/2014/main" id="{81083B71-09F0-49F4-54A7-9AECB3C9704F}"/>
            </a:ext>
          </a:extLst>
        </xdr:cNvPr>
        <xdr:cNvPicPr>
          <a:picLocks noChangeAspect="1"/>
        </xdr:cNvPicPr>
      </xdr:nvPicPr>
      <xdr:blipFill>
        <a:blip xmlns:r="http://schemas.openxmlformats.org/officeDocument/2006/relationships" r:embed="rId1"/>
        <a:stretch>
          <a:fillRect/>
        </a:stretch>
      </xdr:blipFill>
      <xdr:spPr>
        <a:xfrm>
          <a:off x="28575" y="3429000"/>
          <a:ext cx="5039995" cy="516890"/>
        </a:xfrm>
        <a:prstGeom prst="rect">
          <a:avLst/>
        </a:prstGeom>
      </xdr:spPr>
    </xdr:pic>
    <xdr:clientData/>
  </xdr:twoCellAnchor>
  <xdr:twoCellAnchor editAs="oneCell">
    <xdr:from>
      <xdr:col>0</xdr:col>
      <xdr:colOff>0</xdr:colOff>
      <xdr:row>5</xdr:row>
      <xdr:rowOff>76200</xdr:rowOff>
    </xdr:from>
    <xdr:to>
      <xdr:col>3</xdr:col>
      <xdr:colOff>832485</xdr:colOff>
      <xdr:row>8</xdr:row>
      <xdr:rowOff>76200</xdr:rowOff>
    </xdr:to>
    <xdr:pic>
      <xdr:nvPicPr>
        <xdr:cNvPr id="3" name="Picture 2">
          <a:extLst>
            <a:ext uri="{FF2B5EF4-FFF2-40B4-BE49-F238E27FC236}">
              <a16:creationId xmlns:a16="http://schemas.microsoft.com/office/drawing/2014/main" id="{4504040A-F008-BBD1-5485-5BAE363201B1}"/>
            </a:ext>
          </a:extLst>
        </xdr:cNvPr>
        <xdr:cNvPicPr>
          <a:picLocks noChangeAspect="1"/>
        </xdr:cNvPicPr>
      </xdr:nvPicPr>
      <xdr:blipFill>
        <a:blip xmlns:r="http://schemas.openxmlformats.org/officeDocument/2006/relationships" r:embed="rId2"/>
        <a:stretch>
          <a:fillRect/>
        </a:stretch>
      </xdr:blipFill>
      <xdr:spPr>
        <a:xfrm>
          <a:off x="0" y="4495800"/>
          <a:ext cx="3362325" cy="571500"/>
        </a:xfrm>
        <a:prstGeom prst="rect">
          <a:avLst/>
        </a:prstGeom>
      </xdr:spPr>
    </xdr:pic>
    <xdr:clientData/>
  </xdr:twoCellAnchor>
  <xdr:twoCellAnchor editAs="oneCell">
    <xdr:from>
      <xdr:col>0</xdr:col>
      <xdr:colOff>220980</xdr:colOff>
      <xdr:row>23</xdr:row>
      <xdr:rowOff>38100</xdr:rowOff>
    </xdr:from>
    <xdr:to>
      <xdr:col>3</xdr:col>
      <xdr:colOff>556515</xdr:colOff>
      <xdr:row>25</xdr:row>
      <xdr:rowOff>83856</xdr:rowOff>
    </xdr:to>
    <xdr:pic>
      <xdr:nvPicPr>
        <xdr:cNvPr id="4" name="Picture 3">
          <a:extLst>
            <a:ext uri="{FF2B5EF4-FFF2-40B4-BE49-F238E27FC236}">
              <a16:creationId xmlns:a16="http://schemas.microsoft.com/office/drawing/2014/main" id="{725E7EE1-3F58-3929-AD77-15BBCE15AC63}"/>
            </a:ext>
          </a:extLst>
        </xdr:cNvPr>
        <xdr:cNvPicPr>
          <a:picLocks noChangeAspect="1"/>
        </xdr:cNvPicPr>
      </xdr:nvPicPr>
      <xdr:blipFill>
        <a:blip xmlns:r="http://schemas.openxmlformats.org/officeDocument/2006/relationships" r:embed="rId3"/>
        <a:stretch>
          <a:fillRect/>
        </a:stretch>
      </xdr:blipFill>
      <xdr:spPr>
        <a:xfrm>
          <a:off x="220980" y="4305300"/>
          <a:ext cx="2941575" cy="411516"/>
        </a:xfrm>
        <a:prstGeom prst="rect">
          <a:avLst/>
        </a:prstGeom>
      </xdr:spPr>
    </xdr:pic>
    <xdr:clientData/>
  </xdr:twoCellAnchor>
  <xdr:twoCellAnchor editAs="oneCell">
    <xdr:from>
      <xdr:col>0</xdr:col>
      <xdr:colOff>327660</xdr:colOff>
      <xdr:row>25</xdr:row>
      <xdr:rowOff>91440</xdr:rowOff>
    </xdr:from>
    <xdr:to>
      <xdr:col>3</xdr:col>
      <xdr:colOff>396472</xdr:colOff>
      <xdr:row>28</xdr:row>
      <xdr:rowOff>76246</xdr:rowOff>
    </xdr:to>
    <xdr:pic>
      <xdr:nvPicPr>
        <xdr:cNvPr id="5" name="Picture 4">
          <a:extLst>
            <a:ext uri="{FF2B5EF4-FFF2-40B4-BE49-F238E27FC236}">
              <a16:creationId xmlns:a16="http://schemas.microsoft.com/office/drawing/2014/main" id="{208C6406-45C3-4E86-16A4-BDD5A7C39D6E}"/>
            </a:ext>
          </a:extLst>
        </xdr:cNvPr>
        <xdr:cNvPicPr>
          <a:picLocks noChangeAspect="1"/>
        </xdr:cNvPicPr>
      </xdr:nvPicPr>
      <xdr:blipFill>
        <a:blip xmlns:r="http://schemas.openxmlformats.org/officeDocument/2006/relationships" r:embed="rId4"/>
        <a:stretch>
          <a:fillRect/>
        </a:stretch>
      </xdr:blipFill>
      <xdr:spPr>
        <a:xfrm>
          <a:off x="327660" y="4724400"/>
          <a:ext cx="2674852" cy="533446"/>
        </a:xfrm>
        <a:prstGeom prst="rect">
          <a:avLst/>
        </a:prstGeom>
      </xdr:spPr>
    </xdr:pic>
    <xdr:clientData/>
  </xdr:twoCellAnchor>
  <xdr:twoCellAnchor editAs="oneCell">
    <xdr:from>
      <xdr:col>0</xdr:col>
      <xdr:colOff>259080</xdr:colOff>
      <xdr:row>30</xdr:row>
      <xdr:rowOff>53340</xdr:rowOff>
    </xdr:from>
    <xdr:to>
      <xdr:col>3</xdr:col>
      <xdr:colOff>625098</xdr:colOff>
      <xdr:row>32</xdr:row>
      <xdr:rowOff>76234</xdr:rowOff>
    </xdr:to>
    <xdr:pic>
      <xdr:nvPicPr>
        <xdr:cNvPr id="6" name="Picture 5">
          <a:extLst>
            <a:ext uri="{FF2B5EF4-FFF2-40B4-BE49-F238E27FC236}">
              <a16:creationId xmlns:a16="http://schemas.microsoft.com/office/drawing/2014/main" id="{68439301-3DDB-9E83-FC47-A7242B7EFB21}"/>
            </a:ext>
          </a:extLst>
        </xdr:cNvPr>
        <xdr:cNvPicPr>
          <a:picLocks noChangeAspect="1"/>
        </xdr:cNvPicPr>
      </xdr:nvPicPr>
      <xdr:blipFill>
        <a:blip xmlns:r="http://schemas.openxmlformats.org/officeDocument/2006/relationships" r:embed="rId5"/>
        <a:stretch>
          <a:fillRect/>
        </a:stretch>
      </xdr:blipFill>
      <xdr:spPr>
        <a:xfrm>
          <a:off x="259080" y="5615940"/>
          <a:ext cx="2972058" cy="388654"/>
        </a:xfrm>
        <a:prstGeom prst="rect">
          <a:avLst/>
        </a:prstGeom>
      </xdr:spPr>
    </xdr:pic>
    <xdr:clientData/>
  </xdr:twoCellAnchor>
  <xdr:twoCellAnchor editAs="oneCell">
    <xdr:from>
      <xdr:col>0</xdr:col>
      <xdr:colOff>655320</xdr:colOff>
      <xdr:row>36</xdr:row>
      <xdr:rowOff>175260</xdr:rowOff>
    </xdr:from>
    <xdr:to>
      <xdr:col>6</xdr:col>
      <xdr:colOff>398779</xdr:colOff>
      <xdr:row>39</xdr:row>
      <xdr:rowOff>102936</xdr:rowOff>
    </xdr:to>
    <xdr:pic>
      <xdr:nvPicPr>
        <xdr:cNvPr id="7" name="Picture 6">
          <a:extLst>
            <a:ext uri="{FF2B5EF4-FFF2-40B4-BE49-F238E27FC236}">
              <a16:creationId xmlns:a16="http://schemas.microsoft.com/office/drawing/2014/main" id="{A2D0F738-3CE5-2191-9A31-002F830006BF}"/>
            </a:ext>
          </a:extLst>
        </xdr:cNvPr>
        <xdr:cNvPicPr>
          <a:picLocks noChangeAspect="1"/>
        </xdr:cNvPicPr>
      </xdr:nvPicPr>
      <xdr:blipFill>
        <a:blip xmlns:r="http://schemas.openxmlformats.org/officeDocument/2006/relationships" r:embed="rId6"/>
        <a:stretch>
          <a:fillRect/>
        </a:stretch>
      </xdr:blipFill>
      <xdr:spPr>
        <a:xfrm>
          <a:off x="655320" y="6835140"/>
          <a:ext cx="4544059" cy="476316"/>
        </a:xfrm>
        <a:prstGeom prst="rect">
          <a:avLst/>
        </a:prstGeom>
      </xdr:spPr>
    </xdr:pic>
    <xdr:clientData/>
  </xdr:twoCellAnchor>
  <xdr:twoCellAnchor editAs="oneCell">
    <xdr:from>
      <xdr:col>1</xdr:col>
      <xdr:colOff>342900</xdr:colOff>
      <xdr:row>41</xdr:row>
      <xdr:rowOff>53340</xdr:rowOff>
    </xdr:from>
    <xdr:to>
      <xdr:col>4</xdr:col>
      <xdr:colOff>482381</xdr:colOff>
      <xdr:row>43</xdr:row>
      <xdr:rowOff>230581</xdr:rowOff>
    </xdr:to>
    <xdr:pic>
      <xdr:nvPicPr>
        <xdr:cNvPr id="8" name="Picture 7">
          <a:extLst>
            <a:ext uri="{FF2B5EF4-FFF2-40B4-BE49-F238E27FC236}">
              <a16:creationId xmlns:a16="http://schemas.microsoft.com/office/drawing/2014/main" id="{CA655CCE-2B27-F5A0-3488-79DD9E568E95}"/>
            </a:ext>
          </a:extLst>
        </xdr:cNvPr>
        <xdr:cNvPicPr>
          <a:picLocks noChangeAspect="1"/>
        </xdr:cNvPicPr>
      </xdr:nvPicPr>
      <xdr:blipFill>
        <a:blip xmlns:r="http://schemas.openxmlformats.org/officeDocument/2006/relationships" r:embed="rId7"/>
        <a:stretch>
          <a:fillRect/>
        </a:stretch>
      </xdr:blipFill>
      <xdr:spPr>
        <a:xfrm>
          <a:off x="1021080" y="7642860"/>
          <a:ext cx="2981741" cy="543001"/>
        </a:xfrm>
        <a:prstGeom prst="rect">
          <a:avLst/>
        </a:prstGeom>
      </xdr:spPr>
    </xdr:pic>
    <xdr:clientData/>
  </xdr:twoCellAnchor>
  <xdr:twoCellAnchor editAs="oneCell">
    <xdr:from>
      <xdr:col>0</xdr:col>
      <xdr:colOff>647700</xdr:colOff>
      <xdr:row>54</xdr:row>
      <xdr:rowOff>60960</xdr:rowOff>
    </xdr:from>
    <xdr:to>
      <xdr:col>3</xdr:col>
      <xdr:colOff>261295</xdr:colOff>
      <xdr:row>55</xdr:row>
      <xdr:rowOff>198189</xdr:rowOff>
    </xdr:to>
    <xdr:pic>
      <xdr:nvPicPr>
        <xdr:cNvPr id="9" name="Picture 8">
          <a:extLst>
            <a:ext uri="{FF2B5EF4-FFF2-40B4-BE49-F238E27FC236}">
              <a16:creationId xmlns:a16="http://schemas.microsoft.com/office/drawing/2014/main" id="{4C081A7B-9A5D-60DE-B519-24F2B78560CE}"/>
            </a:ext>
          </a:extLst>
        </xdr:cNvPr>
        <xdr:cNvPicPr>
          <a:picLocks noChangeAspect="1"/>
        </xdr:cNvPicPr>
      </xdr:nvPicPr>
      <xdr:blipFill>
        <a:blip xmlns:r="http://schemas.openxmlformats.org/officeDocument/2006/relationships" r:embed="rId8"/>
        <a:stretch>
          <a:fillRect/>
        </a:stretch>
      </xdr:blipFill>
      <xdr:spPr>
        <a:xfrm>
          <a:off x="647700" y="9799320"/>
          <a:ext cx="2219635" cy="495369"/>
        </a:xfrm>
        <a:prstGeom prst="rect">
          <a:avLst/>
        </a:prstGeom>
      </xdr:spPr>
    </xdr:pic>
    <xdr:clientData/>
  </xdr:twoCellAnchor>
  <xdr:twoCellAnchor editAs="oneCell">
    <xdr:from>
      <xdr:col>1</xdr:col>
      <xdr:colOff>22860</xdr:colOff>
      <xdr:row>65</xdr:row>
      <xdr:rowOff>152400</xdr:rowOff>
    </xdr:from>
    <xdr:to>
      <xdr:col>4</xdr:col>
      <xdr:colOff>562447</xdr:colOff>
      <xdr:row>68</xdr:row>
      <xdr:rowOff>169626</xdr:rowOff>
    </xdr:to>
    <xdr:pic>
      <xdr:nvPicPr>
        <xdr:cNvPr id="10" name="Picture 9">
          <a:extLst>
            <a:ext uri="{FF2B5EF4-FFF2-40B4-BE49-F238E27FC236}">
              <a16:creationId xmlns:a16="http://schemas.microsoft.com/office/drawing/2014/main" id="{AB0D4BB3-0ED5-D476-E681-0EC8BB14FACE}"/>
            </a:ext>
          </a:extLst>
        </xdr:cNvPr>
        <xdr:cNvPicPr>
          <a:picLocks noChangeAspect="1"/>
        </xdr:cNvPicPr>
      </xdr:nvPicPr>
      <xdr:blipFill>
        <a:blip xmlns:r="http://schemas.openxmlformats.org/officeDocument/2006/relationships" r:embed="rId9"/>
        <a:stretch>
          <a:fillRect/>
        </a:stretch>
      </xdr:blipFill>
      <xdr:spPr>
        <a:xfrm>
          <a:off x="701040" y="11742420"/>
          <a:ext cx="3381847" cy="581106"/>
        </a:xfrm>
        <a:prstGeom prst="rect">
          <a:avLst/>
        </a:prstGeom>
      </xdr:spPr>
    </xdr:pic>
    <xdr:clientData/>
  </xdr:twoCellAnchor>
  <xdr:twoCellAnchor editAs="oneCell">
    <xdr:from>
      <xdr:col>1</xdr:col>
      <xdr:colOff>137160</xdr:colOff>
      <xdr:row>81</xdr:row>
      <xdr:rowOff>53340</xdr:rowOff>
    </xdr:from>
    <xdr:to>
      <xdr:col>4</xdr:col>
      <xdr:colOff>105167</xdr:colOff>
      <xdr:row>83</xdr:row>
      <xdr:rowOff>163896</xdr:rowOff>
    </xdr:to>
    <xdr:pic>
      <xdr:nvPicPr>
        <xdr:cNvPr id="11" name="Picture 10">
          <a:extLst>
            <a:ext uri="{FF2B5EF4-FFF2-40B4-BE49-F238E27FC236}">
              <a16:creationId xmlns:a16="http://schemas.microsoft.com/office/drawing/2014/main" id="{D9510EF6-E9BD-0043-125E-145E8B07A2A2}"/>
            </a:ext>
          </a:extLst>
        </xdr:cNvPr>
        <xdr:cNvPicPr>
          <a:picLocks noChangeAspect="1"/>
        </xdr:cNvPicPr>
      </xdr:nvPicPr>
      <xdr:blipFill>
        <a:blip xmlns:r="http://schemas.openxmlformats.org/officeDocument/2006/relationships" r:embed="rId10"/>
        <a:stretch>
          <a:fillRect/>
        </a:stretch>
      </xdr:blipFill>
      <xdr:spPr>
        <a:xfrm>
          <a:off x="815340" y="13700760"/>
          <a:ext cx="2810267" cy="476316"/>
        </a:xfrm>
        <a:prstGeom prst="rect">
          <a:avLst/>
        </a:prstGeom>
      </xdr:spPr>
    </xdr:pic>
    <xdr:clientData/>
  </xdr:twoCellAnchor>
  <xdr:twoCellAnchor editAs="oneCell">
    <xdr:from>
      <xdr:col>6</xdr:col>
      <xdr:colOff>160020</xdr:colOff>
      <xdr:row>41</xdr:row>
      <xdr:rowOff>38100</xdr:rowOff>
    </xdr:from>
    <xdr:to>
      <xdr:col>12</xdr:col>
      <xdr:colOff>372075</xdr:colOff>
      <xdr:row>44</xdr:row>
      <xdr:rowOff>55342</xdr:rowOff>
    </xdr:to>
    <xdr:pic>
      <xdr:nvPicPr>
        <xdr:cNvPr id="12" name="Picture 11">
          <a:extLst>
            <a:ext uri="{FF2B5EF4-FFF2-40B4-BE49-F238E27FC236}">
              <a16:creationId xmlns:a16="http://schemas.microsoft.com/office/drawing/2014/main" id="{E3BB3714-403D-8437-FA5B-BD0F0DD4B848}"/>
            </a:ext>
          </a:extLst>
        </xdr:cNvPr>
        <xdr:cNvPicPr>
          <a:picLocks noChangeAspect="1"/>
        </xdr:cNvPicPr>
      </xdr:nvPicPr>
      <xdr:blipFill>
        <a:blip xmlns:r="http://schemas.openxmlformats.org/officeDocument/2006/relationships" r:embed="rId11"/>
        <a:stretch>
          <a:fillRect/>
        </a:stretch>
      </xdr:blipFill>
      <xdr:spPr>
        <a:xfrm>
          <a:off x="4914900" y="7627620"/>
          <a:ext cx="4296375" cy="6954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144780</xdr:colOff>
      <xdr:row>2</xdr:row>
      <xdr:rowOff>160020</xdr:rowOff>
    </xdr:from>
    <xdr:to>
      <xdr:col>6</xdr:col>
      <xdr:colOff>396240</xdr:colOff>
      <xdr:row>5</xdr:row>
      <xdr:rowOff>59117</xdr:rowOff>
    </xdr:to>
    <xdr:pic>
      <xdr:nvPicPr>
        <xdr:cNvPr id="3" name="Picture 2">
          <a:extLst>
            <a:ext uri="{FF2B5EF4-FFF2-40B4-BE49-F238E27FC236}">
              <a16:creationId xmlns:a16="http://schemas.microsoft.com/office/drawing/2014/main" id="{B8187B70-A250-49BF-A583-2971BCB26501}"/>
            </a:ext>
          </a:extLst>
        </xdr:cNvPr>
        <xdr:cNvPicPr>
          <a:picLocks noChangeAspect="1"/>
        </xdr:cNvPicPr>
      </xdr:nvPicPr>
      <xdr:blipFill>
        <a:blip xmlns:r="http://schemas.openxmlformats.org/officeDocument/2006/relationships" r:embed="rId1"/>
        <a:stretch>
          <a:fillRect/>
        </a:stretch>
      </xdr:blipFill>
      <xdr:spPr>
        <a:xfrm>
          <a:off x="754380" y="525780"/>
          <a:ext cx="3741420" cy="4477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678181</xdr:colOff>
      <xdr:row>29</xdr:row>
      <xdr:rowOff>164023</xdr:rowOff>
    </xdr:from>
    <xdr:to>
      <xdr:col>3</xdr:col>
      <xdr:colOff>914400</xdr:colOff>
      <xdr:row>31</xdr:row>
      <xdr:rowOff>129624</xdr:rowOff>
    </xdr:to>
    <xdr:pic>
      <xdr:nvPicPr>
        <xdr:cNvPr id="2" name="Picture 1">
          <a:extLst>
            <a:ext uri="{FF2B5EF4-FFF2-40B4-BE49-F238E27FC236}">
              <a16:creationId xmlns:a16="http://schemas.microsoft.com/office/drawing/2014/main" id="{18690F26-BDB6-42D0-AED9-2A02F163EDF3}"/>
            </a:ext>
          </a:extLst>
        </xdr:cNvPr>
        <xdr:cNvPicPr>
          <a:picLocks noChangeAspect="1"/>
        </xdr:cNvPicPr>
      </xdr:nvPicPr>
      <xdr:blipFill>
        <a:blip xmlns:r="http://schemas.openxmlformats.org/officeDocument/2006/relationships" r:embed="rId1"/>
        <a:stretch>
          <a:fillRect/>
        </a:stretch>
      </xdr:blipFill>
      <xdr:spPr>
        <a:xfrm>
          <a:off x="1287781" y="7395403"/>
          <a:ext cx="3101339" cy="331361"/>
        </a:xfrm>
        <a:prstGeom prst="rect">
          <a:avLst/>
        </a:prstGeom>
      </xdr:spPr>
    </xdr:pic>
    <xdr:clientData/>
  </xdr:twoCellAnchor>
  <xdr:twoCellAnchor editAs="oneCell">
    <xdr:from>
      <xdr:col>1</xdr:col>
      <xdr:colOff>342900</xdr:colOff>
      <xdr:row>49</xdr:row>
      <xdr:rowOff>53340</xdr:rowOff>
    </xdr:from>
    <xdr:to>
      <xdr:col>3</xdr:col>
      <xdr:colOff>459521</xdr:colOff>
      <xdr:row>51</xdr:row>
      <xdr:rowOff>230581</xdr:rowOff>
    </xdr:to>
    <xdr:pic>
      <xdr:nvPicPr>
        <xdr:cNvPr id="3" name="Picture 2">
          <a:extLst>
            <a:ext uri="{FF2B5EF4-FFF2-40B4-BE49-F238E27FC236}">
              <a16:creationId xmlns:a16="http://schemas.microsoft.com/office/drawing/2014/main" id="{5A1FC641-CAED-4EDB-8D5F-16FF30B96143}"/>
            </a:ext>
          </a:extLst>
        </xdr:cNvPr>
        <xdr:cNvPicPr>
          <a:picLocks noChangeAspect="1"/>
        </xdr:cNvPicPr>
      </xdr:nvPicPr>
      <xdr:blipFill>
        <a:blip xmlns:r="http://schemas.openxmlformats.org/officeDocument/2006/relationships" r:embed="rId2"/>
        <a:stretch>
          <a:fillRect/>
        </a:stretch>
      </xdr:blipFill>
      <xdr:spPr>
        <a:xfrm>
          <a:off x="1021080" y="7642860"/>
          <a:ext cx="2981741" cy="543001"/>
        </a:xfrm>
        <a:prstGeom prst="rect">
          <a:avLst/>
        </a:prstGeom>
      </xdr:spPr>
    </xdr:pic>
    <xdr:clientData/>
  </xdr:twoCellAnchor>
  <xdr:twoCellAnchor editAs="oneCell">
    <xdr:from>
      <xdr:col>1</xdr:col>
      <xdr:colOff>792480</xdr:colOff>
      <xdr:row>56</xdr:row>
      <xdr:rowOff>175260</xdr:rowOff>
    </xdr:from>
    <xdr:to>
      <xdr:col>3</xdr:col>
      <xdr:colOff>146995</xdr:colOff>
      <xdr:row>58</xdr:row>
      <xdr:rowOff>304869</xdr:rowOff>
    </xdr:to>
    <xdr:pic>
      <xdr:nvPicPr>
        <xdr:cNvPr id="4" name="Picture 3">
          <a:extLst>
            <a:ext uri="{FF2B5EF4-FFF2-40B4-BE49-F238E27FC236}">
              <a16:creationId xmlns:a16="http://schemas.microsoft.com/office/drawing/2014/main" id="{A9AB6569-A7A3-4EB7-86CF-C6F69EF8D7B2}"/>
            </a:ext>
          </a:extLst>
        </xdr:cNvPr>
        <xdr:cNvPicPr>
          <a:picLocks noChangeAspect="1"/>
        </xdr:cNvPicPr>
      </xdr:nvPicPr>
      <xdr:blipFill>
        <a:blip xmlns:r="http://schemas.openxmlformats.org/officeDocument/2006/relationships" r:embed="rId3"/>
        <a:stretch>
          <a:fillRect/>
        </a:stretch>
      </xdr:blipFill>
      <xdr:spPr>
        <a:xfrm>
          <a:off x="1402080" y="13997940"/>
          <a:ext cx="2219635" cy="510609"/>
        </a:xfrm>
        <a:prstGeom prst="rect">
          <a:avLst/>
        </a:prstGeom>
      </xdr:spPr>
    </xdr:pic>
    <xdr:clientData/>
  </xdr:twoCellAnchor>
  <xdr:twoCellAnchor editAs="oneCell">
    <xdr:from>
      <xdr:col>1</xdr:col>
      <xdr:colOff>22860</xdr:colOff>
      <xdr:row>63</xdr:row>
      <xdr:rowOff>152400</xdr:rowOff>
    </xdr:from>
    <xdr:to>
      <xdr:col>3</xdr:col>
      <xdr:colOff>539587</xdr:colOff>
      <xdr:row>67</xdr:row>
      <xdr:rowOff>1986</xdr:rowOff>
    </xdr:to>
    <xdr:pic>
      <xdr:nvPicPr>
        <xdr:cNvPr id="5" name="Picture 4">
          <a:extLst>
            <a:ext uri="{FF2B5EF4-FFF2-40B4-BE49-F238E27FC236}">
              <a16:creationId xmlns:a16="http://schemas.microsoft.com/office/drawing/2014/main" id="{510D40C6-B1E5-44A5-AA96-695C445A4D02}"/>
            </a:ext>
          </a:extLst>
        </xdr:cNvPr>
        <xdr:cNvPicPr>
          <a:picLocks noChangeAspect="1"/>
        </xdr:cNvPicPr>
      </xdr:nvPicPr>
      <xdr:blipFill>
        <a:blip xmlns:r="http://schemas.openxmlformats.org/officeDocument/2006/relationships" r:embed="rId4"/>
        <a:stretch>
          <a:fillRect/>
        </a:stretch>
      </xdr:blipFill>
      <xdr:spPr>
        <a:xfrm>
          <a:off x="701040" y="12931140"/>
          <a:ext cx="3381847" cy="581106"/>
        </a:xfrm>
        <a:prstGeom prst="rect">
          <a:avLst/>
        </a:prstGeom>
      </xdr:spPr>
    </xdr:pic>
    <xdr:clientData/>
  </xdr:twoCellAnchor>
  <xdr:twoCellAnchor editAs="oneCell">
    <xdr:from>
      <xdr:col>1</xdr:col>
      <xdr:colOff>137160</xdr:colOff>
      <xdr:row>73</xdr:row>
      <xdr:rowOff>53340</xdr:rowOff>
    </xdr:from>
    <xdr:to>
      <xdr:col>3</xdr:col>
      <xdr:colOff>82307</xdr:colOff>
      <xdr:row>75</xdr:row>
      <xdr:rowOff>163896</xdr:rowOff>
    </xdr:to>
    <xdr:pic>
      <xdr:nvPicPr>
        <xdr:cNvPr id="6" name="Picture 5">
          <a:extLst>
            <a:ext uri="{FF2B5EF4-FFF2-40B4-BE49-F238E27FC236}">
              <a16:creationId xmlns:a16="http://schemas.microsoft.com/office/drawing/2014/main" id="{C17AE63A-FF57-4D6C-974B-4C0A5C9B25C5}"/>
            </a:ext>
          </a:extLst>
        </xdr:cNvPr>
        <xdr:cNvPicPr>
          <a:picLocks noChangeAspect="1"/>
        </xdr:cNvPicPr>
      </xdr:nvPicPr>
      <xdr:blipFill>
        <a:blip xmlns:r="http://schemas.openxmlformats.org/officeDocument/2006/relationships" r:embed="rId5"/>
        <a:stretch>
          <a:fillRect/>
        </a:stretch>
      </xdr:blipFill>
      <xdr:spPr>
        <a:xfrm>
          <a:off x="815340" y="15803880"/>
          <a:ext cx="2810267" cy="476316"/>
        </a:xfrm>
        <a:prstGeom prst="rect">
          <a:avLst/>
        </a:prstGeom>
      </xdr:spPr>
    </xdr:pic>
    <xdr:clientData/>
  </xdr:twoCellAnchor>
  <xdr:twoCellAnchor editAs="oneCell">
    <xdr:from>
      <xdr:col>5</xdr:col>
      <xdr:colOff>396240</xdr:colOff>
      <xdr:row>48</xdr:row>
      <xdr:rowOff>137160</xdr:rowOff>
    </xdr:from>
    <xdr:to>
      <xdr:col>11</xdr:col>
      <xdr:colOff>387315</xdr:colOff>
      <xdr:row>51</xdr:row>
      <xdr:rowOff>283942</xdr:rowOff>
    </xdr:to>
    <xdr:pic>
      <xdr:nvPicPr>
        <xdr:cNvPr id="7" name="Picture 6">
          <a:extLst>
            <a:ext uri="{FF2B5EF4-FFF2-40B4-BE49-F238E27FC236}">
              <a16:creationId xmlns:a16="http://schemas.microsoft.com/office/drawing/2014/main" id="{EA4CD609-9F41-4C40-BEA4-35490C00BAE1}"/>
            </a:ext>
          </a:extLst>
        </xdr:cNvPr>
        <xdr:cNvPicPr>
          <a:picLocks noChangeAspect="1"/>
        </xdr:cNvPicPr>
      </xdr:nvPicPr>
      <xdr:blipFill>
        <a:blip xmlns:r="http://schemas.openxmlformats.org/officeDocument/2006/relationships" r:embed="rId6"/>
        <a:stretch>
          <a:fillRect/>
        </a:stretch>
      </xdr:blipFill>
      <xdr:spPr>
        <a:xfrm>
          <a:off x="5173980" y="12291060"/>
          <a:ext cx="4296375" cy="710662"/>
        </a:xfrm>
        <a:prstGeom prst="rect">
          <a:avLst/>
        </a:prstGeom>
      </xdr:spPr>
    </xdr:pic>
    <xdr:clientData/>
  </xdr:twoCellAnchor>
  <xdr:twoCellAnchor editAs="oneCell">
    <xdr:from>
      <xdr:col>1</xdr:col>
      <xdr:colOff>236220</xdr:colOff>
      <xdr:row>90</xdr:row>
      <xdr:rowOff>647700</xdr:rowOff>
    </xdr:from>
    <xdr:to>
      <xdr:col>6</xdr:col>
      <xdr:colOff>429260</xdr:colOff>
      <xdr:row>96</xdr:row>
      <xdr:rowOff>89535</xdr:rowOff>
    </xdr:to>
    <xdr:pic>
      <xdr:nvPicPr>
        <xdr:cNvPr id="9" name="Picture 8" descr="Text, letter&#10;&#10;Description automatically generated">
          <a:extLst>
            <a:ext uri="{FF2B5EF4-FFF2-40B4-BE49-F238E27FC236}">
              <a16:creationId xmlns:a16="http://schemas.microsoft.com/office/drawing/2014/main" id="{61EBF6F0-CBEC-965E-9E64-3FD75FBB5427}"/>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45820" y="21861780"/>
          <a:ext cx="5458460" cy="10191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ea.nic.in/reports/others/thermal/tpece/cdm_co2/user_guide_ver1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14DEA-D51B-498E-8454-A307C725C7D7}">
  <dimension ref="C2:I11"/>
  <sheetViews>
    <sheetView zoomScaleNormal="100" workbookViewId="0">
      <selection activeCell="G13" sqref="G13"/>
    </sheetView>
  </sheetViews>
  <sheetFormatPr defaultColWidth="9.109375" defaultRowHeight="15" x14ac:dyDescent="0.35"/>
  <cols>
    <col min="1" max="1" width="11.88671875" style="16" customWidth="1"/>
    <col min="2" max="2" width="2.6640625" style="16" customWidth="1"/>
    <col min="3" max="3" width="11.109375" style="16" customWidth="1"/>
    <col min="4" max="4" width="9.109375" style="16"/>
    <col min="5" max="5" width="12.109375" style="16" customWidth="1"/>
    <col min="6" max="6" width="34" style="16" customWidth="1"/>
    <col min="7" max="16384" width="9.109375" style="16"/>
  </cols>
  <sheetData>
    <row r="2" spans="3:9" x14ac:dyDescent="0.35">
      <c r="C2" s="259" t="s">
        <v>112</v>
      </c>
      <c r="D2" s="260"/>
      <c r="E2" s="264">
        <v>2093</v>
      </c>
      <c r="F2" s="264"/>
    </row>
    <row r="3" spans="3:9" ht="26.25" customHeight="1" x14ac:dyDescent="0.35">
      <c r="C3" s="259" t="s">
        <v>113</v>
      </c>
      <c r="D3" s="260"/>
      <c r="E3" s="265" t="s">
        <v>115</v>
      </c>
      <c r="F3" s="265"/>
    </row>
    <row r="4" spans="3:9" x14ac:dyDescent="0.35">
      <c r="C4" s="259" t="s">
        <v>114</v>
      </c>
      <c r="D4" s="260"/>
      <c r="E4" s="266">
        <v>12</v>
      </c>
      <c r="F4" s="266"/>
    </row>
    <row r="5" spans="3:9" x14ac:dyDescent="0.35">
      <c r="C5" s="259" t="s">
        <v>117</v>
      </c>
      <c r="D5" s="260"/>
      <c r="E5" s="263">
        <v>45887</v>
      </c>
      <c r="F5" s="263"/>
    </row>
    <row r="6" spans="3:9" x14ac:dyDescent="0.35">
      <c r="C6" s="261" t="s">
        <v>0</v>
      </c>
      <c r="D6" s="75" t="s">
        <v>108</v>
      </c>
      <c r="E6" s="263">
        <v>44562</v>
      </c>
      <c r="F6" s="263"/>
    </row>
    <row r="7" spans="3:9" x14ac:dyDescent="0.35">
      <c r="C7" s="261"/>
      <c r="D7" s="75" t="s">
        <v>109</v>
      </c>
      <c r="E7" s="262">
        <v>45260</v>
      </c>
      <c r="F7" s="263"/>
    </row>
    <row r="8" spans="3:9" x14ac:dyDescent="0.35">
      <c r="C8" s="259" t="s">
        <v>116</v>
      </c>
      <c r="D8" s="259"/>
      <c r="E8" s="98">
        <f>'Actual ER'!K18</f>
        <v>13624</v>
      </c>
      <c r="F8" s="95" t="s">
        <v>118</v>
      </c>
    </row>
    <row r="11" spans="3:9" x14ac:dyDescent="0.35">
      <c r="H11" s="157"/>
      <c r="I11" s="158"/>
    </row>
  </sheetData>
  <mergeCells count="12">
    <mergeCell ref="E7:F7"/>
    <mergeCell ref="E2:F2"/>
    <mergeCell ref="E3:F3"/>
    <mergeCell ref="E4:F4"/>
    <mergeCell ref="E5:F5"/>
    <mergeCell ref="E6:F6"/>
    <mergeCell ref="C8:D8"/>
    <mergeCell ref="C2:D2"/>
    <mergeCell ref="C4:D4"/>
    <mergeCell ref="C3:D3"/>
    <mergeCell ref="C5:D5"/>
    <mergeCell ref="C6:C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7BCE0-450A-491F-BFB8-CE852CF9CBFA}">
  <dimension ref="A1"/>
  <sheetViews>
    <sheetView workbookViewId="0">
      <selection activeCell="M19" sqref="M19"/>
    </sheetView>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S34"/>
  <sheetViews>
    <sheetView topLeftCell="A5" zoomScaleNormal="100" workbookViewId="0">
      <selection activeCell="J16" sqref="J16"/>
    </sheetView>
  </sheetViews>
  <sheetFormatPr defaultColWidth="9.109375" defaultRowHeight="13.8" x14ac:dyDescent="0.3"/>
  <cols>
    <col min="1" max="1" width="4.6640625" style="62" customWidth="1"/>
    <col min="2" max="3" width="11.6640625" style="62" customWidth="1"/>
    <col min="4" max="4" width="14" style="62" customWidth="1"/>
    <col min="5" max="7" width="14.6640625" style="62" customWidth="1"/>
    <col min="8" max="8" width="13" style="62" customWidth="1"/>
    <col min="9" max="10" width="11.6640625" style="62" customWidth="1"/>
    <col min="11" max="11" width="16.109375" style="62" customWidth="1"/>
    <col min="12" max="13" width="12.6640625" style="62" customWidth="1"/>
    <col min="14" max="14" width="12.5546875" style="62" customWidth="1"/>
    <col min="15" max="16384" width="9.109375" style="62"/>
  </cols>
  <sheetData>
    <row r="2" spans="2:14" x14ac:dyDescent="0.3">
      <c r="B2" s="74" t="s">
        <v>107</v>
      </c>
      <c r="C2" s="74"/>
      <c r="D2" s="74"/>
    </row>
    <row r="3" spans="2:14" ht="13.5" customHeight="1" x14ac:dyDescent="0.3">
      <c r="B3" s="274" t="s">
        <v>0</v>
      </c>
      <c r="C3" s="275"/>
      <c r="D3" s="276"/>
      <c r="E3" s="65" t="s">
        <v>25</v>
      </c>
      <c r="I3" s="270" t="s">
        <v>133</v>
      </c>
      <c r="J3" s="270"/>
      <c r="K3" s="74" t="s">
        <v>132</v>
      </c>
    </row>
    <row r="4" spans="2:14" ht="13.5" customHeight="1" x14ac:dyDescent="0.3">
      <c r="B4" s="260" t="s">
        <v>233</v>
      </c>
      <c r="C4" s="273"/>
      <c r="D4" s="77">
        <v>44562</v>
      </c>
      <c r="E4" s="252"/>
      <c r="I4" s="65" t="s">
        <v>1</v>
      </c>
      <c r="J4" s="65" t="s">
        <v>2</v>
      </c>
      <c r="K4" s="63" t="s">
        <v>99</v>
      </c>
    </row>
    <row r="5" spans="2:14" ht="13.5" customHeight="1" x14ac:dyDescent="0.3">
      <c r="B5" s="260" t="s">
        <v>234</v>
      </c>
      <c r="C5" s="273"/>
      <c r="D5" s="77">
        <v>45260</v>
      </c>
      <c r="E5" s="252"/>
      <c r="H5" s="145" t="s">
        <v>134</v>
      </c>
      <c r="I5" s="70">
        <v>43586</v>
      </c>
      <c r="J5" s="70">
        <v>44196</v>
      </c>
      <c r="K5" s="142">
        <v>12833</v>
      </c>
    </row>
    <row r="6" spans="2:14" ht="13.5" customHeight="1" x14ac:dyDescent="0.3">
      <c r="B6" s="260" t="s">
        <v>110</v>
      </c>
      <c r="C6" s="273"/>
      <c r="D6" s="78">
        <f>D5-D4+1</f>
        <v>699</v>
      </c>
      <c r="E6" s="250" t="s">
        <v>230</v>
      </c>
      <c r="H6" s="145" t="s">
        <v>135</v>
      </c>
      <c r="I6" s="70">
        <v>44197</v>
      </c>
      <c r="J6" s="70">
        <v>44561</v>
      </c>
      <c r="K6" s="142">
        <v>15900</v>
      </c>
    </row>
    <row r="7" spans="2:14" ht="13.5" customHeight="1" x14ac:dyDescent="0.3">
      <c r="B7" s="259" t="s">
        <v>128</v>
      </c>
      <c r="C7" s="259"/>
      <c r="D7" s="93">
        <v>25440</v>
      </c>
      <c r="E7" s="251" t="s">
        <v>232</v>
      </c>
      <c r="H7" s="145" t="s">
        <v>136</v>
      </c>
      <c r="I7" s="70">
        <f>D4</f>
        <v>44562</v>
      </c>
      <c r="J7" s="70">
        <f>D5</f>
        <v>45260</v>
      </c>
      <c r="K7" s="143">
        <f>K18</f>
        <v>13624</v>
      </c>
      <c r="L7" s="272" t="s">
        <v>137</v>
      </c>
      <c r="M7" s="272"/>
    </row>
    <row r="8" spans="2:14" ht="13.5" customHeight="1" x14ac:dyDescent="0.3">
      <c r="B8" s="259" t="s">
        <v>127</v>
      </c>
      <c r="C8" s="259"/>
      <c r="D8" s="93">
        <f>ROUNDDOWN(D7/365*D6,0)</f>
        <v>48719</v>
      </c>
      <c r="E8" s="251" t="s">
        <v>232</v>
      </c>
      <c r="K8" s="144">
        <f>SUM(K5:K7)</f>
        <v>42357</v>
      </c>
      <c r="L8" s="76" t="s">
        <v>118</v>
      </c>
    </row>
    <row r="9" spans="2:14" ht="13.5" customHeight="1" x14ac:dyDescent="0.3">
      <c r="B9" s="259" t="s">
        <v>126</v>
      </c>
      <c r="C9" s="259"/>
      <c r="D9" s="93">
        <f>G18</f>
        <v>23089</v>
      </c>
      <c r="E9" s="251" t="s">
        <v>232</v>
      </c>
      <c r="N9" s="96"/>
    </row>
    <row r="10" spans="2:14" ht="13.5" customHeight="1" x14ac:dyDescent="0.3">
      <c r="B10" s="259" t="s">
        <v>111</v>
      </c>
      <c r="C10" s="259"/>
      <c r="D10" s="94">
        <f>+(D9-D8)/D8</f>
        <v>-0.52607812147211563</v>
      </c>
      <c r="E10" s="250" t="s">
        <v>231</v>
      </c>
      <c r="N10" s="96"/>
    </row>
    <row r="11" spans="2:14" ht="13.5" customHeight="1" x14ac:dyDescent="0.3">
      <c r="N11" s="96"/>
    </row>
    <row r="13" spans="2:14" ht="13.8" customHeight="1" x14ac:dyDescent="0.3">
      <c r="B13" s="267" t="s">
        <v>32</v>
      </c>
      <c r="C13" s="268"/>
      <c r="D13" s="268"/>
      <c r="E13" s="268"/>
      <c r="F13" s="268"/>
      <c r="G13" s="268"/>
      <c r="H13" s="268"/>
      <c r="I13" s="269"/>
    </row>
    <row r="14" spans="2:14" ht="42.6" x14ac:dyDescent="0.3">
      <c r="B14" s="270" t="s">
        <v>138</v>
      </c>
      <c r="C14" s="270"/>
      <c r="D14" s="63" t="s">
        <v>100</v>
      </c>
      <c r="E14" s="63" t="s">
        <v>101</v>
      </c>
      <c r="F14" s="63" t="s">
        <v>102</v>
      </c>
      <c r="G14" s="63" t="s">
        <v>103</v>
      </c>
      <c r="H14" s="63" t="s">
        <v>127</v>
      </c>
      <c r="I14" s="63" t="s">
        <v>111</v>
      </c>
      <c r="J14" s="63" t="s">
        <v>209</v>
      </c>
      <c r="K14" s="63" t="s">
        <v>201</v>
      </c>
    </row>
    <row r="15" spans="2:14" ht="15" x14ac:dyDescent="0.3">
      <c r="B15" s="65" t="s">
        <v>1</v>
      </c>
      <c r="C15" s="65" t="s">
        <v>2</v>
      </c>
      <c r="D15" s="63" t="s">
        <v>99</v>
      </c>
      <c r="E15" s="63" t="s">
        <v>99</v>
      </c>
      <c r="F15" s="63" t="s">
        <v>99</v>
      </c>
      <c r="G15" s="63" t="s">
        <v>99</v>
      </c>
      <c r="H15" s="63" t="s">
        <v>99</v>
      </c>
      <c r="I15" s="63" t="s">
        <v>140</v>
      </c>
      <c r="J15" s="63" t="s">
        <v>99</v>
      </c>
      <c r="K15" s="63" t="s">
        <v>99</v>
      </c>
    </row>
    <row r="16" spans="2:14" x14ac:dyDescent="0.3">
      <c r="B16" s="70">
        <v>44562</v>
      </c>
      <c r="C16" s="70">
        <v>44926</v>
      </c>
      <c r="D16" s="138">
        <f t="shared" ref="D16:F17" si="0">D24+K24+D32+K32</f>
        <v>15545</v>
      </c>
      <c r="E16" s="138">
        <f t="shared" si="0"/>
        <v>2971</v>
      </c>
      <c r="F16" s="138">
        <f t="shared" si="0"/>
        <v>1582</v>
      </c>
      <c r="G16" s="138">
        <f>D16-E16-F16</f>
        <v>10992</v>
      </c>
      <c r="H16" s="93">
        <f>D7*((C16-B16+1)/365)</f>
        <v>25440</v>
      </c>
      <c r="I16" s="154">
        <f>(H16-G16)/H16</f>
        <v>0.56792452830188678</v>
      </c>
      <c r="J16" s="140">
        <f>'Error Adjustments'!C113</f>
        <v>9465</v>
      </c>
      <c r="K16" s="217">
        <f>G16-J16</f>
        <v>1527</v>
      </c>
    </row>
    <row r="17" spans="2:19" x14ac:dyDescent="0.3">
      <c r="B17" s="70">
        <v>44927</v>
      </c>
      <c r="C17" s="70">
        <v>45260</v>
      </c>
      <c r="D17" s="138">
        <f t="shared" si="0"/>
        <v>17103</v>
      </c>
      <c r="E17" s="138">
        <f t="shared" si="0"/>
        <v>3105</v>
      </c>
      <c r="F17" s="138">
        <f t="shared" si="0"/>
        <v>1901</v>
      </c>
      <c r="G17" s="138">
        <f>D17-E17-F17</f>
        <v>12097</v>
      </c>
      <c r="H17" s="93">
        <f>ROUNDDOWN(D7*((C17-B17+1)/365),0)</f>
        <v>23279</v>
      </c>
      <c r="I17" s="154">
        <f>(H17-G17)/H17</f>
        <v>0.48034709394733449</v>
      </c>
      <c r="J17" s="140">
        <v>0</v>
      </c>
      <c r="K17" s="217">
        <f>G17-J17</f>
        <v>12097</v>
      </c>
    </row>
    <row r="18" spans="2:19" x14ac:dyDescent="0.3">
      <c r="B18" s="270" t="s">
        <v>3</v>
      </c>
      <c r="C18" s="270"/>
      <c r="D18" s="139">
        <f>SUM(D16:D17)</f>
        <v>32648</v>
      </c>
      <c r="E18" s="139">
        <f>SUM(E16:E17)</f>
        <v>6076</v>
      </c>
      <c r="F18" s="139">
        <f>SUM(F16:F17)</f>
        <v>3483</v>
      </c>
      <c r="G18" s="139">
        <f>D18-E18-F18</f>
        <v>23089</v>
      </c>
      <c r="H18" s="139">
        <f>H16+H17</f>
        <v>48719</v>
      </c>
      <c r="I18" s="236">
        <f>(H18-G18)/H18</f>
        <v>0.52607812147211563</v>
      </c>
      <c r="J18" s="140">
        <f>SUM(J16:J17)</f>
        <v>9465</v>
      </c>
      <c r="K18" s="217">
        <f>SUM(K16:K17)</f>
        <v>13624</v>
      </c>
      <c r="L18" s="224"/>
    </row>
    <row r="19" spans="2:19" x14ac:dyDescent="0.3">
      <c r="B19" s="66"/>
      <c r="C19" s="66"/>
      <c r="D19" s="67"/>
      <c r="E19" s="67"/>
      <c r="F19" s="67"/>
      <c r="G19" s="68"/>
    </row>
    <row r="21" spans="2:19" x14ac:dyDescent="0.3">
      <c r="B21" s="271" t="s">
        <v>24</v>
      </c>
      <c r="C21" s="271"/>
      <c r="D21" s="271"/>
      <c r="E21" s="271"/>
      <c r="F21" s="271"/>
      <c r="G21" s="271"/>
      <c r="I21" s="271" t="s">
        <v>28</v>
      </c>
      <c r="J21" s="271"/>
      <c r="K21" s="271"/>
      <c r="L21" s="271"/>
      <c r="M21" s="271"/>
      <c r="N21" s="271"/>
      <c r="O21" s="64"/>
      <c r="P21" s="64"/>
      <c r="Q21" s="64"/>
      <c r="R21" s="64"/>
      <c r="S21" s="64"/>
    </row>
    <row r="22" spans="2:19" ht="42.6" x14ac:dyDescent="0.3">
      <c r="B22" s="270" t="s">
        <v>138</v>
      </c>
      <c r="C22" s="270"/>
      <c r="D22" s="63" t="s">
        <v>100</v>
      </c>
      <c r="E22" s="63" t="s">
        <v>101</v>
      </c>
      <c r="F22" s="63" t="s">
        <v>102</v>
      </c>
      <c r="G22" s="63" t="s">
        <v>103</v>
      </c>
      <c r="I22" s="270" t="s">
        <v>138</v>
      </c>
      <c r="J22" s="270"/>
      <c r="K22" s="63" t="s">
        <v>100</v>
      </c>
      <c r="L22" s="63" t="s">
        <v>101</v>
      </c>
      <c r="M22" s="63" t="s">
        <v>102</v>
      </c>
      <c r="N22" s="63" t="s">
        <v>103</v>
      </c>
    </row>
    <row r="23" spans="2:19" ht="15" x14ac:dyDescent="0.3">
      <c r="B23" s="65" t="s">
        <v>1</v>
      </c>
      <c r="C23" s="65" t="s">
        <v>2</v>
      </c>
      <c r="D23" s="63" t="s">
        <v>99</v>
      </c>
      <c r="E23" s="63" t="s">
        <v>99</v>
      </c>
      <c r="F23" s="63" t="s">
        <v>99</v>
      </c>
      <c r="G23" s="63" t="s">
        <v>99</v>
      </c>
      <c r="I23" s="65" t="s">
        <v>1</v>
      </c>
      <c r="J23" s="65" t="s">
        <v>2</v>
      </c>
      <c r="K23" s="63" t="s">
        <v>99</v>
      </c>
      <c r="L23" s="63" t="s">
        <v>99</v>
      </c>
      <c r="M23" s="63" t="s">
        <v>99</v>
      </c>
      <c r="N23" s="63" t="s">
        <v>99</v>
      </c>
    </row>
    <row r="24" spans="2:19" x14ac:dyDescent="0.3">
      <c r="B24" s="70">
        <v>44562</v>
      </c>
      <c r="C24" s="70">
        <v>44926</v>
      </c>
      <c r="D24" s="140">
        <f>ROUNDDOWN(('Baseline Emissions'!P18+'Baseline Emissions'!P20+'Baseline Emissions'!P21+'Baseline Emissions'!P22+'Baseline Emissions'!P23),0)</f>
        <v>4185</v>
      </c>
      <c r="E24" s="140">
        <f>ROUNDUP(('Project Emissions'!J12),0)</f>
        <v>975</v>
      </c>
      <c r="F24" s="140">
        <f>'Leakage Emissions'!G9</f>
        <v>647</v>
      </c>
      <c r="G24" s="140">
        <f>D24-E24-F24</f>
        <v>2563</v>
      </c>
      <c r="I24" s="70">
        <v>44562</v>
      </c>
      <c r="J24" s="70">
        <v>44926</v>
      </c>
      <c r="K24" s="140">
        <f>ROUNDDOWN(('Baseline Emissions'!P44+'Baseline Emissions'!P46+'Baseline Emissions'!P47+'Baseline Emissions'!P48+'Baseline Emissions'!P49),0)</f>
        <v>4728</v>
      </c>
      <c r="L24" s="140">
        <f>ROUNDUP(('Project Emissions'!U12),0)</f>
        <v>697</v>
      </c>
      <c r="M24" s="140">
        <f>'Leakage Emissions'!G14</f>
        <v>748</v>
      </c>
      <c r="N24" s="140">
        <f>K24-L24-M24</f>
        <v>3283</v>
      </c>
    </row>
    <row r="25" spans="2:19" x14ac:dyDescent="0.3">
      <c r="B25" s="70">
        <v>44927</v>
      </c>
      <c r="C25" s="70">
        <v>45260</v>
      </c>
      <c r="D25" s="140">
        <f>ROUNDDOWN(('Baseline Emissions'!P24+'Baseline Emissions'!P31),0)</f>
        <v>4559</v>
      </c>
      <c r="E25" s="140">
        <f>ROUNDUP(('Project Emissions'!J13),0)</f>
        <v>1099</v>
      </c>
      <c r="F25" s="140">
        <f>'Leakage Emissions'!G10</f>
        <v>1001</v>
      </c>
      <c r="G25" s="140">
        <f>D25-E25-F25</f>
        <v>2459</v>
      </c>
      <c r="I25" s="70">
        <v>44927</v>
      </c>
      <c r="J25" s="70">
        <v>45260</v>
      </c>
      <c r="K25" s="140">
        <f>ROUNDDOWN(('Baseline Emissions'!P50+'Baseline Emissions'!P57),0)</f>
        <v>4764</v>
      </c>
      <c r="L25" s="140">
        <f>ROUNDUP(('Project Emissions'!U13),0)</f>
        <v>693</v>
      </c>
      <c r="M25" s="140">
        <f>'Leakage Emissions'!G15</f>
        <v>743</v>
      </c>
      <c r="N25" s="140">
        <f>K25-L25-M25</f>
        <v>3328</v>
      </c>
    </row>
    <row r="26" spans="2:19" x14ac:dyDescent="0.3">
      <c r="B26" s="270" t="s">
        <v>3</v>
      </c>
      <c r="C26" s="270"/>
      <c r="D26" s="139">
        <f>SUM(D24:D25)</f>
        <v>8744</v>
      </c>
      <c r="E26" s="139">
        <f>SUM(E24:E25)</f>
        <v>2074</v>
      </c>
      <c r="F26" s="139">
        <f>SUM(F24:F25)</f>
        <v>1648</v>
      </c>
      <c r="G26" s="139">
        <f>D26-E26-F26</f>
        <v>5022</v>
      </c>
      <c r="I26" s="270" t="s">
        <v>3</v>
      </c>
      <c r="J26" s="270"/>
      <c r="K26" s="139">
        <f>SUM(K24:K25)</f>
        <v>9492</v>
      </c>
      <c r="L26" s="139">
        <f>SUM(L24:L25)</f>
        <v>1390</v>
      </c>
      <c r="M26" s="139">
        <f>SUM(M24:M25)</f>
        <v>1491</v>
      </c>
      <c r="N26" s="139">
        <f>K26-L26-M26</f>
        <v>6611</v>
      </c>
    </row>
    <row r="27" spans="2:19" x14ac:dyDescent="0.3">
      <c r="K27" s="69"/>
    </row>
    <row r="29" spans="2:19" x14ac:dyDescent="0.3">
      <c r="B29" s="271" t="s">
        <v>29</v>
      </c>
      <c r="C29" s="271"/>
      <c r="D29" s="271"/>
      <c r="E29" s="271"/>
      <c r="F29" s="271"/>
      <c r="G29" s="271"/>
      <c r="I29" s="271" t="s">
        <v>27</v>
      </c>
      <c r="J29" s="271"/>
      <c r="K29" s="271"/>
      <c r="L29" s="271"/>
      <c r="M29" s="271"/>
      <c r="N29" s="271"/>
    </row>
    <row r="30" spans="2:19" ht="42.6" x14ac:dyDescent="0.3">
      <c r="B30" s="270" t="s">
        <v>138</v>
      </c>
      <c r="C30" s="270"/>
      <c r="D30" s="63" t="s">
        <v>100</v>
      </c>
      <c r="E30" s="63" t="s">
        <v>101</v>
      </c>
      <c r="F30" s="63" t="s">
        <v>102</v>
      </c>
      <c r="G30" s="63" t="s">
        <v>103</v>
      </c>
      <c r="I30" s="270" t="s">
        <v>138</v>
      </c>
      <c r="J30" s="270"/>
      <c r="K30" s="63" t="s">
        <v>100</v>
      </c>
      <c r="L30" s="63" t="s">
        <v>101</v>
      </c>
      <c r="M30" s="63" t="s">
        <v>102</v>
      </c>
      <c r="N30" s="63" t="s">
        <v>103</v>
      </c>
    </row>
    <row r="31" spans="2:19" ht="15" x14ac:dyDescent="0.3">
      <c r="B31" s="65" t="s">
        <v>1</v>
      </c>
      <c r="C31" s="65" t="s">
        <v>2</v>
      </c>
      <c r="D31" s="63" t="s">
        <v>99</v>
      </c>
      <c r="E31" s="63" t="s">
        <v>99</v>
      </c>
      <c r="F31" s="63" t="s">
        <v>99</v>
      </c>
      <c r="G31" s="63" t="s">
        <v>99</v>
      </c>
      <c r="I31" s="65" t="s">
        <v>1</v>
      </c>
      <c r="J31" s="65" t="s">
        <v>2</v>
      </c>
      <c r="K31" s="63" t="s">
        <v>99</v>
      </c>
      <c r="L31" s="63" t="s">
        <v>99</v>
      </c>
      <c r="M31" s="63" t="s">
        <v>99</v>
      </c>
      <c r="N31" s="63" t="s">
        <v>99</v>
      </c>
    </row>
    <row r="32" spans="2:19" x14ac:dyDescent="0.3">
      <c r="B32" s="70">
        <v>44562</v>
      </c>
      <c r="C32" s="70">
        <v>44926</v>
      </c>
      <c r="D32" s="140">
        <f>ROUNDDOWN(('Baseline Emissions'!P70+'Baseline Emissions'!P72+'Baseline Emissions'!P73+'Baseline Emissions'!P74+'Baseline Emissions'!P75),0)</f>
        <v>3534</v>
      </c>
      <c r="E32" s="140">
        <f>ROUNDUP(('Project Emissions'!J18),0)</f>
        <v>686</v>
      </c>
      <c r="F32" s="140">
        <f>'Leakage Emissions'!G19</f>
        <v>158</v>
      </c>
      <c r="G32" s="140">
        <f>D32-E32-F32</f>
        <v>2690</v>
      </c>
      <c r="I32" s="70">
        <v>44562</v>
      </c>
      <c r="J32" s="70">
        <v>44926</v>
      </c>
      <c r="K32" s="140">
        <f>ROUNDDOWN(('Baseline Emissions'!P96+'Baseline Emissions'!P98+'Baseline Emissions'!P99+'Baseline Emissions'!P100+'Baseline Emissions'!P101),0)</f>
        <v>3098</v>
      </c>
      <c r="L32" s="140">
        <f>ROUNDUP(('Project Emissions'!U18),0)</f>
        <v>613</v>
      </c>
      <c r="M32" s="140">
        <f>'Leakage Emissions'!G24</f>
        <v>29</v>
      </c>
      <c r="N32" s="140">
        <f>K32-L32-M32</f>
        <v>2456</v>
      </c>
    </row>
    <row r="33" spans="2:14" x14ac:dyDescent="0.3">
      <c r="B33" s="70">
        <v>44927</v>
      </c>
      <c r="C33" s="70">
        <v>45260</v>
      </c>
      <c r="D33" s="140">
        <f>ROUNDDOWN(('Baseline Emissions'!P76+'Baseline Emissions'!P83),0)</f>
        <v>4117</v>
      </c>
      <c r="E33" s="140">
        <f>ROUNDUP(('Project Emissions'!J19),0)</f>
        <v>693</v>
      </c>
      <c r="F33" s="140">
        <f>'Leakage Emissions'!G20</f>
        <v>157</v>
      </c>
      <c r="G33" s="140">
        <f>D33-E33-F33</f>
        <v>3267</v>
      </c>
      <c r="I33" s="70">
        <v>44927</v>
      </c>
      <c r="J33" s="70">
        <v>45260</v>
      </c>
      <c r="K33" s="140">
        <f>ROUNDDOWN(('Baseline Emissions'!P102+'Baseline Emissions'!P109),0)</f>
        <v>3663</v>
      </c>
      <c r="L33" s="140">
        <f>ROUNDUP(('Project Emissions'!U19),0)</f>
        <v>620</v>
      </c>
      <c r="M33" s="140">
        <f>'Leakage Emissions'!I23</f>
        <v>0</v>
      </c>
      <c r="N33" s="140">
        <f>K33-L33-M33</f>
        <v>3043</v>
      </c>
    </row>
    <row r="34" spans="2:14" x14ac:dyDescent="0.3">
      <c r="B34" s="270" t="s">
        <v>3</v>
      </c>
      <c r="C34" s="270"/>
      <c r="D34" s="139">
        <f>SUM(D32:D33)</f>
        <v>7651</v>
      </c>
      <c r="E34" s="139">
        <f>SUM(E32:E33)</f>
        <v>1379</v>
      </c>
      <c r="F34" s="139">
        <f>SUM(F32:F33)</f>
        <v>315</v>
      </c>
      <c r="G34" s="139">
        <f>D34-E34-F34</f>
        <v>5957</v>
      </c>
      <c r="I34" s="270" t="s">
        <v>3</v>
      </c>
      <c r="J34" s="270"/>
      <c r="K34" s="139">
        <f>SUM(K32:K33)</f>
        <v>6761</v>
      </c>
      <c r="L34" s="139">
        <f>SUM(L32:L33)</f>
        <v>1233</v>
      </c>
      <c r="M34" s="139">
        <f>SUM(M32:M33)</f>
        <v>29</v>
      </c>
      <c r="N34" s="139">
        <f>K34-L34-M34</f>
        <v>5499</v>
      </c>
    </row>
  </sheetData>
  <mergeCells count="25">
    <mergeCell ref="L7:M7"/>
    <mergeCell ref="I3:J3"/>
    <mergeCell ref="B4:C4"/>
    <mergeCell ref="B5:C5"/>
    <mergeCell ref="B6:C6"/>
    <mergeCell ref="B3:D3"/>
    <mergeCell ref="B14:C14"/>
    <mergeCell ref="B18:C18"/>
    <mergeCell ref="I34:J34"/>
    <mergeCell ref="I21:N21"/>
    <mergeCell ref="I22:J22"/>
    <mergeCell ref="I26:J26"/>
    <mergeCell ref="B29:G29"/>
    <mergeCell ref="B30:C30"/>
    <mergeCell ref="B34:C34"/>
    <mergeCell ref="I29:N29"/>
    <mergeCell ref="I30:J30"/>
    <mergeCell ref="B21:G21"/>
    <mergeCell ref="B22:C22"/>
    <mergeCell ref="B26:C26"/>
    <mergeCell ref="B8:C8"/>
    <mergeCell ref="B9:C9"/>
    <mergeCell ref="B10:C10"/>
    <mergeCell ref="B7:C7"/>
    <mergeCell ref="B13:I13"/>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7:AQ123"/>
  <sheetViews>
    <sheetView topLeftCell="A15" zoomScale="70" zoomScaleNormal="70" workbookViewId="0">
      <selection activeCell="K30" sqref="K30"/>
    </sheetView>
  </sheetViews>
  <sheetFormatPr defaultColWidth="9.109375" defaultRowHeight="15" x14ac:dyDescent="0.35"/>
  <cols>
    <col min="1" max="1" width="20.88671875" style="19" customWidth="1"/>
    <col min="2" max="3" width="10.33203125" style="19" customWidth="1"/>
    <col min="4" max="5" width="9.109375" style="19"/>
    <col min="6" max="6" width="11.109375" style="19" customWidth="1"/>
    <col min="7" max="7" width="14.33203125" style="19" customWidth="1"/>
    <col min="8" max="8" width="9.109375" style="19"/>
    <col min="9" max="9" width="13.88671875" style="19" customWidth="1"/>
    <col min="10" max="10" width="9.109375" style="19"/>
    <col min="11" max="11" width="11.33203125" style="19" bestFit="1" customWidth="1"/>
    <col min="12" max="12" width="9.109375" style="19"/>
    <col min="13" max="13" width="14" style="19" customWidth="1"/>
    <col min="14" max="15" width="15.33203125" style="19" customWidth="1"/>
    <col min="16" max="16" width="22.5546875" style="19" bestFit="1" customWidth="1"/>
    <col min="17" max="16384" width="9.109375" style="19"/>
  </cols>
  <sheetData>
    <row r="7" spans="1:19" s="16" customFormat="1" x14ac:dyDescent="0.35">
      <c r="A7" s="292" t="s">
        <v>26</v>
      </c>
      <c r="B7" s="292"/>
      <c r="C7" s="292"/>
      <c r="D7" s="292"/>
      <c r="E7" s="292"/>
      <c r="F7" s="292"/>
      <c r="G7" s="292"/>
      <c r="H7" s="292"/>
      <c r="I7" s="292"/>
      <c r="J7" s="292"/>
      <c r="K7" s="292"/>
      <c r="L7" s="292"/>
      <c r="M7" s="292"/>
      <c r="N7" s="292"/>
      <c r="O7" s="292"/>
      <c r="P7" s="292"/>
    </row>
    <row r="8" spans="1:19" s="16" customFormat="1" x14ac:dyDescent="0.35">
      <c r="A8" s="292" t="s">
        <v>19</v>
      </c>
      <c r="B8" s="292"/>
      <c r="C8" s="292"/>
      <c r="D8" s="292"/>
      <c r="E8" s="292"/>
      <c r="F8" s="292"/>
      <c r="G8" s="292"/>
      <c r="H8" s="292"/>
      <c r="I8" s="292"/>
      <c r="J8" s="292"/>
      <c r="K8" s="292"/>
      <c r="L8" s="292"/>
      <c r="M8" s="292"/>
      <c r="N8" s="292"/>
      <c r="O8" s="292"/>
      <c r="P8" s="292"/>
    </row>
    <row r="9" spans="1:19" s="17" customFormat="1" ht="18.600000000000001" x14ac:dyDescent="0.35">
      <c r="A9" s="15" t="s">
        <v>0</v>
      </c>
      <c r="B9" s="14" t="s">
        <v>39</v>
      </c>
      <c r="C9" s="14" t="s">
        <v>40</v>
      </c>
      <c r="D9" s="14" t="s">
        <v>43</v>
      </c>
      <c r="E9" s="14" t="s">
        <v>44</v>
      </c>
      <c r="F9" s="14" t="s">
        <v>45</v>
      </c>
      <c r="G9" s="14" t="s">
        <v>41</v>
      </c>
      <c r="H9" s="14" t="s">
        <v>42</v>
      </c>
      <c r="I9" s="14" t="s">
        <v>46</v>
      </c>
      <c r="J9" s="14" t="s">
        <v>47</v>
      </c>
      <c r="K9" s="14" t="s">
        <v>48</v>
      </c>
      <c r="L9" s="14" t="s">
        <v>49</v>
      </c>
      <c r="M9" s="14" t="s">
        <v>50</v>
      </c>
      <c r="N9" s="14" t="s">
        <v>51</v>
      </c>
      <c r="O9" s="14" t="s">
        <v>53</v>
      </c>
      <c r="P9" s="14" t="s">
        <v>52</v>
      </c>
    </row>
    <row r="10" spans="1:19" s="16" customFormat="1" ht="30" x14ac:dyDescent="0.35">
      <c r="A10" s="15" t="s">
        <v>82</v>
      </c>
      <c r="B10" s="21">
        <v>1</v>
      </c>
      <c r="C10" s="21">
        <v>1</v>
      </c>
      <c r="D10" s="21">
        <f>+'Default Values'!$C$3</f>
        <v>0.85</v>
      </c>
      <c r="E10" s="21">
        <f>+(1-'Default Values'!$C$4)</f>
        <v>1</v>
      </c>
      <c r="F10" s="21">
        <f>+'Default Values'!$C$5</f>
        <v>28</v>
      </c>
      <c r="G10" s="21">
        <f>+(1-'Default Values'!$C$6)</f>
        <v>0.9</v>
      </c>
      <c r="H10" s="21">
        <f>+'Default Values'!$C$7</f>
        <v>0.5</v>
      </c>
      <c r="I10" s="21">
        <f>+'Default Values'!$C$8</f>
        <v>0.5</v>
      </c>
      <c r="J10" s="21">
        <f>+'Default Values'!$C$9</f>
        <v>1</v>
      </c>
      <c r="K10" s="120">
        <f>'Previous verification data'!E4</f>
        <v>4517</v>
      </c>
      <c r="L10" s="21">
        <f>+'Default Values'!$C$10</f>
        <v>0.15</v>
      </c>
      <c r="M10" s="22">
        <f>+EXP((-'Default Values'!$C$11)*(C10-B10))</f>
        <v>1</v>
      </c>
      <c r="N10" s="23">
        <f>(1-EXP(-'Default Values'!$C$11))</f>
        <v>0.32967995396436067</v>
      </c>
      <c r="O10" s="175">
        <f>+'Default Values'!$C$25</f>
        <v>0.49959999999999999</v>
      </c>
      <c r="P10" s="119">
        <f>(D10*E10*F10*G10*(16/12)*H10*I10*J10*K10*L10*M10*N10)*(1-O10%)</f>
        <v>1586.9269255278844</v>
      </c>
      <c r="Q10" s="18"/>
    </row>
    <row r="11" spans="1:19" s="16" customFormat="1" ht="16.2" x14ac:dyDescent="0.35">
      <c r="A11" s="25"/>
      <c r="B11" s="26"/>
      <c r="C11" s="26"/>
      <c r="D11" s="26"/>
      <c r="E11" s="26"/>
      <c r="F11" s="26"/>
      <c r="G11" s="26"/>
      <c r="H11" s="26"/>
      <c r="I11" s="26"/>
      <c r="J11" s="26"/>
      <c r="K11" s="92"/>
      <c r="L11" s="26"/>
      <c r="M11" s="26"/>
      <c r="N11" s="26"/>
      <c r="O11" s="27" t="s">
        <v>86</v>
      </c>
      <c r="P11" s="122">
        <f>SUM(P10)</f>
        <v>1586.9269255278844</v>
      </c>
    </row>
    <row r="12" spans="1:19" s="16" customFormat="1" x14ac:dyDescent="0.35">
      <c r="A12" s="293" t="s">
        <v>85</v>
      </c>
      <c r="B12" s="21">
        <v>1</v>
      </c>
      <c r="C12" s="21">
        <v>2</v>
      </c>
      <c r="D12" s="21">
        <f>+'Default Values'!$C$3</f>
        <v>0.85</v>
      </c>
      <c r="E12" s="21">
        <f>+(1-'Default Values'!$C$4)</f>
        <v>1</v>
      </c>
      <c r="F12" s="21">
        <f>+'Default Values'!$C$5</f>
        <v>28</v>
      </c>
      <c r="G12" s="21">
        <f>+(1-'Default Values'!$C$6)</f>
        <v>0.9</v>
      </c>
      <c r="H12" s="21">
        <f>+'Default Values'!$C$7</f>
        <v>0.5</v>
      </c>
      <c r="I12" s="21">
        <f>+'Default Values'!$C$8</f>
        <v>0.5</v>
      </c>
      <c r="J12" s="21">
        <f>+'Default Values'!$C$9</f>
        <v>1</v>
      </c>
      <c r="K12" s="120">
        <f>K10</f>
        <v>4517</v>
      </c>
      <c r="L12" s="21">
        <f>+'Default Values'!$C$10</f>
        <v>0.15</v>
      </c>
      <c r="M12" s="22">
        <f>+EXP((-'Default Values'!$C$11)*(C12-B12))</f>
        <v>0.67032004603563933</v>
      </c>
      <c r="N12" s="23">
        <f>(1-EXP(-'Default Values'!$C$11))</f>
        <v>0.32967995396436067</v>
      </c>
      <c r="O12" s="175">
        <f>+'Default Values'!$C$25</f>
        <v>0.49959999999999999</v>
      </c>
      <c r="P12" s="119">
        <f>(D12*E12*F12*G12*(16/12)*H12*I12*J12*K12*L12*M12*N12)*(1-O12%)</f>
        <v>1063.7489297750469</v>
      </c>
      <c r="Q12" s="18"/>
      <c r="S12" s="158"/>
    </row>
    <row r="13" spans="1:19" s="16" customFormat="1" x14ac:dyDescent="0.35">
      <c r="A13" s="294"/>
      <c r="B13" s="21">
        <v>2</v>
      </c>
      <c r="C13" s="21">
        <v>2</v>
      </c>
      <c r="D13" s="21">
        <f>+'Default Values'!$C$3</f>
        <v>0.85</v>
      </c>
      <c r="E13" s="21">
        <f>+(1-'Default Values'!$C$4)</f>
        <v>1</v>
      </c>
      <c r="F13" s="21">
        <f>+'Default Values'!$C$5</f>
        <v>28</v>
      </c>
      <c r="G13" s="21">
        <f>+(1-'Default Values'!$C$6)</f>
        <v>0.9</v>
      </c>
      <c r="H13" s="21">
        <f>+'Default Values'!$C$7</f>
        <v>0.5</v>
      </c>
      <c r="I13" s="21">
        <f>+'Default Values'!$C$8</f>
        <v>0.5</v>
      </c>
      <c r="J13" s="21">
        <f>+'Default Values'!$C$9</f>
        <v>1</v>
      </c>
      <c r="K13" s="120">
        <f>'Previous verification data'!E5</f>
        <v>1661</v>
      </c>
      <c r="L13" s="21">
        <f>+'Default Values'!$C$10</f>
        <v>0.15</v>
      </c>
      <c r="M13" s="22">
        <f>+EXP((-'Default Values'!$C$11)*(C13-B13))</f>
        <v>1</v>
      </c>
      <c r="N13" s="23">
        <f>(1-EXP(-'Default Values'!$C$11))</f>
        <v>0.32967995396436067</v>
      </c>
      <c r="O13" s="175">
        <f>+'Default Values'!$C$25</f>
        <v>0.49959999999999999</v>
      </c>
      <c r="P13" s="119">
        <f>(D13*E13*F13*G13*(16/12)*H13*I13*J13*K13*L13*M13*N13)*(1-O13%)</f>
        <v>583.5478466464059</v>
      </c>
      <c r="Q13" s="18"/>
    </row>
    <row r="14" spans="1:19" s="16" customFormat="1" ht="16.2" x14ac:dyDescent="0.35">
      <c r="A14" s="25"/>
      <c r="B14" s="25"/>
      <c r="C14" s="26"/>
      <c r="D14" s="26"/>
      <c r="E14" s="26"/>
      <c r="F14" s="26"/>
      <c r="G14" s="26"/>
      <c r="H14" s="26"/>
      <c r="I14" s="26"/>
      <c r="J14" s="26"/>
      <c r="K14" s="121"/>
      <c r="L14" s="26"/>
      <c r="M14" s="26"/>
      <c r="N14" s="26"/>
      <c r="O14" s="27" t="s">
        <v>87</v>
      </c>
      <c r="P14" s="122">
        <f>SUM(P12:P13)</f>
        <v>1647.2967764214527</v>
      </c>
      <c r="Q14" s="18"/>
      <c r="S14" s="158"/>
    </row>
    <row r="15" spans="1:19" s="16" customFormat="1" ht="31.5" customHeight="1" x14ac:dyDescent="0.35">
      <c r="A15" s="293" t="s">
        <v>104</v>
      </c>
      <c r="B15" s="21">
        <v>1</v>
      </c>
      <c r="C15" s="21">
        <v>3</v>
      </c>
      <c r="D15" s="21">
        <f>+'Default Values'!$C$3</f>
        <v>0.85</v>
      </c>
      <c r="E15" s="21">
        <f>+(1-'Default Values'!$C$4)</f>
        <v>1</v>
      </c>
      <c r="F15" s="21">
        <f>+'Default Values'!$C$5</f>
        <v>28</v>
      </c>
      <c r="G15" s="21">
        <f>+(1-'Default Values'!$C$6)</f>
        <v>0.9</v>
      </c>
      <c r="H15" s="21">
        <f>+'Default Values'!$C$7</f>
        <v>0.5</v>
      </c>
      <c r="I15" s="21">
        <f>+'Default Values'!$C$8</f>
        <v>0.5</v>
      </c>
      <c r="J15" s="21">
        <f>+'Default Values'!$C$9</f>
        <v>1</v>
      </c>
      <c r="K15" s="120">
        <f>K10</f>
        <v>4517</v>
      </c>
      <c r="L15" s="21">
        <f>+'Default Values'!$C$10</f>
        <v>0.15</v>
      </c>
      <c r="M15" s="22">
        <f>+EXP((-'Default Values'!$C$11)*(C15-B15))</f>
        <v>0.44932896411722156</v>
      </c>
      <c r="N15" s="23">
        <f>(1-EXP(-'Default Values'!$C$11))</f>
        <v>0.32967995396436067</v>
      </c>
      <c r="O15" s="175">
        <f>+'Default Values'!$C$25</f>
        <v>0.49959999999999999</v>
      </c>
      <c r="P15" s="119">
        <f t="shared" ref="P15:P20" si="0">(D15*E15*F15*G15*(16/12)*H15*I15*J15*K15*L15*M15*N15)*(1-O15%)</f>
        <v>713.05223157717148</v>
      </c>
      <c r="Q15" s="18"/>
    </row>
    <row r="16" spans="1:19" s="16" customFormat="1" x14ac:dyDescent="0.35">
      <c r="A16" s="295"/>
      <c r="B16" s="21">
        <v>2</v>
      </c>
      <c r="C16" s="21">
        <v>3</v>
      </c>
      <c r="D16" s="21">
        <f>+'Default Values'!$C$3</f>
        <v>0.85</v>
      </c>
      <c r="E16" s="21">
        <f>+(1-'Default Values'!$C$4)</f>
        <v>1</v>
      </c>
      <c r="F16" s="21">
        <f>+'Default Values'!$C$5</f>
        <v>28</v>
      </c>
      <c r="G16" s="21">
        <f>+(1-'Default Values'!$C$6)</f>
        <v>0.9</v>
      </c>
      <c r="H16" s="21">
        <f>+'Default Values'!$C$7</f>
        <v>0.5</v>
      </c>
      <c r="I16" s="21">
        <f>+'Default Values'!$C$8</f>
        <v>0.5</v>
      </c>
      <c r="J16" s="21">
        <f>+'Default Values'!$C$9</f>
        <v>1</v>
      </c>
      <c r="K16" s="120">
        <f>K13</f>
        <v>1661</v>
      </c>
      <c r="L16" s="21">
        <f>+'Default Values'!$C$10</f>
        <v>0.15</v>
      </c>
      <c r="M16" s="22">
        <f>+EXP((-'Default Values'!$C$11)*(C16-B16))</f>
        <v>0.67032004603563933</v>
      </c>
      <c r="N16" s="23">
        <f>(1-EXP(-'Default Values'!$C$11))</f>
        <v>0.32967995396436067</v>
      </c>
      <c r="O16" s="175">
        <f>+'Default Values'!$C$25</f>
        <v>0.49959999999999999</v>
      </c>
      <c r="P16" s="119">
        <f t="shared" si="0"/>
        <v>391.16381942801706</v>
      </c>
      <c r="Q16" s="18"/>
    </row>
    <row r="17" spans="1:43" s="16" customFormat="1" x14ac:dyDescent="0.35">
      <c r="A17" s="294"/>
      <c r="B17" s="21">
        <v>3</v>
      </c>
      <c r="C17" s="21">
        <v>3</v>
      </c>
      <c r="D17" s="21">
        <f>+'Default Values'!$C$3</f>
        <v>0.85</v>
      </c>
      <c r="E17" s="21">
        <f>+(1-'Default Values'!$C$4)</f>
        <v>1</v>
      </c>
      <c r="F17" s="21">
        <f>+'Default Values'!$C$5</f>
        <v>28</v>
      </c>
      <c r="G17" s="21">
        <f>+(1-'Default Values'!$C$6)</f>
        <v>0.9</v>
      </c>
      <c r="H17" s="21">
        <f>+'Default Values'!$C$7</f>
        <v>0.5</v>
      </c>
      <c r="I17" s="21">
        <f>+'Default Values'!$C$8</f>
        <v>0.5</v>
      </c>
      <c r="J17" s="21">
        <f>+'Default Values'!$C$9</f>
        <v>1</v>
      </c>
      <c r="K17" s="120">
        <f>'Previous verification data'!E6</f>
        <v>3067</v>
      </c>
      <c r="L17" s="21">
        <f>+'Default Values'!$C$10</f>
        <v>0.15</v>
      </c>
      <c r="M17" s="22">
        <f>+EXP((-'Default Values'!$C$11)*(C17-B17))</f>
        <v>1</v>
      </c>
      <c r="N17" s="23">
        <f>(1-EXP(-'Default Values'!$C$11))</f>
        <v>0.32967995396436067</v>
      </c>
      <c r="O17" s="175">
        <f>+'Default Values'!$C$25</f>
        <v>0.49959999999999999</v>
      </c>
      <c r="P17" s="119">
        <f t="shared" si="0"/>
        <v>1077.508275535537</v>
      </c>
      <c r="Q17" s="18"/>
    </row>
    <row r="18" spans="1:43" s="16" customFormat="1" ht="30" x14ac:dyDescent="0.35">
      <c r="A18" s="71" t="s">
        <v>105</v>
      </c>
      <c r="B18" s="21">
        <v>3</v>
      </c>
      <c r="C18" s="21">
        <v>3</v>
      </c>
      <c r="D18" s="21">
        <f>+'Default Values'!$C$3</f>
        <v>0.85</v>
      </c>
      <c r="E18" s="21">
        <f>+(1-'Default Values'!$C$4)</f>
        <v>1</v>
      </c>
      <c r="F18" s="21">
        <f>+'Default Values'!$C$5</f>
        <v>28</v>
      </c>
      <c r="G18" s="21">
        <f>+(1-'Default Values'!$C$6)</f>
        <v>0.9</v>
      </c>
      <c r="H18" s="21">
        <f>+'Default Values'!$C$7</f>
        <v>0.5</v>
      </c>
      <c r="I18" s="21">
        <f>+'Default Values'!$C$8</f>
        <v>0.5</v>
      </c>
      <c r="J18" s="21">
        <f>+'Default Values'!$C$9</f>
        <v>1</v>
      </c>
      <c r="K18" s="120">
        <f>SUM('Data Sheet'!E5:E8)</f>
        <v>1868.269</v>
      </c>
      <c r="L18" s="21">
        <f>+'Default Values'!$C$10</f>
        <v>0.15</v>
      </c>
      <c r="M18" s="22">
        <f>+EXP((-'Default Values'!$C$11)*(C18-B18))</f>
        <v>1</v>
      </c>
      <c r="N18" s="23">
        <f>(1-EXP(-'Default Values'!$C$11))</f>
        <v>0.32967995396436067</v>
      </c>
      <c r="O18" s="175">
        <f>+'Default Values'!$C$25</f>
        <v>0.49959999999999999</v>
      </c>
      <c r="P18" s="119">
        <f t="shared" ref="P18" si="1">(D18*E18*F18*G18*(16/12)*H18*I18*J18*K18*L18*M18*N18)*(1-O18%)</f>
        <v>656.36625641555338</v>
      </c>
      <c r="Q18" s="18"/>
    </row>
    <row r="19" spans="1:43" s="16" customFormat="1" ht="16.2" x14ac:dyDescent="0.35">
      <c r="A19" s="25"/>
      <c r="B19" s="24"/>
      <c r="C19" s="24"/>
      <c r="D19" s="24"/>
      <c r="E19" s="24"/>
      <c r="F19" s="24"/>
      <c r="G19" s="24"/>
      <c r="H19" s="24"/>
      <c r="I19" s="24"/>
      <c r="J19" s="24"/>
      <c r="K19" s="121"/>
      <c r="L19" s="24"/>
      <c r="M19" s="24"/>
      <c r="N19" s="24"/>
      <c r="O19" s="27" t="s">
        <v>88</v>
      </c>
      <c r="P19" s="122">
        <f>SUM(P15:P18)</f>
        <v>2838.0905829562789</v>
      </c>
      <c r="Q19" s="18"/>
    </row>
    <row r="20" spans="1:43" s="16" customFormat="1" ht="31.5" customHeight="1" x14ac:dyDescent="0.35">
      <c r="A20" s="293" t="s">
        <v>106</v>
      </c>
      <c r="B20" s="21">
        <v>1</v>
      </c>
      <c r="C20" s="21">
        <v>4</v>
      </c>
      <c r="D20" s="21">
        <f>+'Default Values'!$C$3</f>
        <v>0.85</v>
      </c>
      <c r="E20" s="21">
        <f>+(1-'Default Values'!$C$4)</f>
        <v>1</v>
      </c>
      <c r="F20" s="21">
        <f>+'Default Values'!$C$5</f>
        <v>28</v>
      </c>
      <c r="G20" s="21">
        <f>+(1-'Default Values'!$C$6)</f>
        <v>0.9</v>
      </c>
      <c r="H20" s="21">
        <f>+'Default Values'!$C$7</f>
        <v>0.5</v>
      </c>
      <c r="I20" s="21">
        <f>+'Default Values'!$C$8</f>
        <v>0.5</v>
      </c>
      <c r="J20" s="21">
        <f>+'Default Values'!$C$9</f>
        <v>1</v>
      </c>
      <c r="K20" s="120">
        <f>K10</f>
        <v>4517</v>
      </c>
      <c r="L20" s="21">
        <f>+'Default Values'!$C$10</f>
        <v>0.15</v>
      </c>
      <c r="M20" s="22">
        <f>+EXP((-'Default Values'!$C$11)*(C20-B20))</f>
        <v>0.30119421191220203</v>
      </c>
      <c r="N20" s="23">
        <f>(1-EXP(-'Default Values'!$C$11))</f>
        <v>0.32967995396436067</v>
      </c>
      <c r="O20" s="175">
        <f>+'Default Values'!$C$25</f>
        <v>0.49959999999999999</v>
      </c>
      <c r="P20" s="119">
        <f t="shared" si="0"/>
        <v>477.97320469662486</v>
      </c>
    </row>
    <row r="21" spans="1:43" x14ac:dyDescent="0.35">
      <c r="A21" s="295"/>
      <c r="B21" s="21">
        <v>2</v>
      </c>
      <c r="C21" s="21">
        <v>4</v>
      </c>
      <c r="D21" s="21">
        <f>+'Default Values'!$C$3</f>
        <v>0.85</v>
      </c>
      <c r="E21" s="21">
        <f>+(1-'Default Values'!$C$4)</f>
        <v>1</v>
      </c>
      <c r="F21" s="21">
        <f>+'Default Values'!$C$5</f>
        <v>28</v>
      </c>
      <c r="G21" s="21">
        <f>+(1-'Default Values'!$C$6)</f>
        <v>0.9</v>
      </c>
      <c r="H21" s="21">
        <f>+'Default Values'!$C$7</f>
        <v>0.5</v>
      </c>
      <c r="I21" s="21">
        <f>+'Default Values'!$C$8</f>
        <v>0.5</v>
      </c>
      <c r="J21" s="21">
        <f>+'Default Values'!$C$9</f>
        <v>1</v>
      </c>
      <c r="K21" s="120">
        <f>K13</f>
        <v>1661</v>
      </c>
      <c r="L21" s="21">
        <f>+'Default Values'!$C$10</f>
        <v>0.15</v>
      </c>
      <c r="M21" s="22">
        <f>+EXP((-'Default Values'!$C$11)*(C21-B21))</f>
        <v>0.44932896411722156</v>
      </c>
      <c r="N21" s="23">
        <f>(1-EXP(-'Default Values'!$C$11))</f>
        <v>0.32967995396436067</v>
      </c>
      <c r="O21" s="175">
        <f>+'Default Values'!$C$25</f>
        <v>0.49959999999999999</v>
      </c>
      <c r="P21" s="119">
        <f t="shared" ref="P21:P23" si="2">(D21*E21*F21*G21*(16/12)*H21*I21*J21*K21*L21*M21*N21)*(1-O21%)</f>
        <v>262.20494944646487</v>
      </c>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row>
    <row r="22" spans="1:43" x14ac:dyDescent="0.35">
      <c r="A22" s="295"/>
      <c r="B22" s="21">
        <v>3</v>
      </c>
      <c r="C22" s="21">
        <v>4</v>
      </c>
      <c r="D22" s="21">
        <f>+'Default Values'!$C$3</f>
        <v>0.85</v>
      </c>
      <c r="E22" s="21">
        <f>+(1-'Default Values'!$C$4)</f>
        <v>1</v>
      </c>
      <c r="F22" s="21">
        <f>+'Default Values'!$C$5</f>
        <v>28</v>
      </c>
      <c r="G22" s="21">
        <f>+(1-'Default Values'!$C$6)</f>
        <v>0.9</v>
      </c>
      <c r="H22" s="21">
        <f>+'Default Values'!$C$7</f>
        <v>0.5</v>
      </c>
      <c r="I22" s="21">
        <f>+'Default Values'!$C$8</f>
        <v>0.5</v>
      </c>
      <c r="J22" s="21">
        <f>+'Default Values'!$C$9</f>
        <v>1</v>
      </c>
      <c r="K22" s="120">
        <f>K17+K18</f>
        <v>4935.2690000000002</v>
      </c>
      <c r="L22" s="21">
        <f>+'Default Values'!$C$10</f>
        <v>0.15</v>
      </c>
      <c r="M22" s="22">
        <f>+EXP((-'Default Values'!$C$11)*(C22-B22))</f>
        <v>0.67032004603563933</v>
      </c>
      <c r="N22" s="23">
        <f>(1-EXP(-'Default Values'!$C$11))</f>
        <v>0.32967995396436067</v>
      </c>
      <c r="O22" s="175">
        <f>+'Default Values'!$C$25</f>
        <v>0.49959999999999999</v>
      </c>
      <c r="P22" s="119">
        <f t="shared" si="2"/>
        <v>1162.2508560774777</v>
      </c>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row>
    <row r="23" spans="1:43" x14ac:dyDescent="0.35">
      <c r="A23" s="294"/>
      <c r="B23" s="21">
        <v>4</v>
      </c>
      <c r="C23" s="21">
        <v>4</v>
      </c>
      <c r="D23" s="21">
        <f>+'Default Values'!$C$3</f>
        <v>0.85</v>
      </c>
      <c r="E23" s="21">
        <f>+(1-'Default Values'!$C$4)</f>
        <v>1</v>
      </c>
      <c r="F23" s="21">
        <f>+'Default Values'!$C$5</f>
        <v>28</v>
      </c>
      <c r="G23" s="21">
        <f>+(1-'Default Values'!$C$6)</f>
        <v>0.9</v>
      </c>
      <c r="H23" s="21">
        <f>+'Default Values'!$C$7</f>
        <v>0.5</v>
      </c>
      <c r="I23" s="21">
        <f>+'Default Values'!$C$8</f>
        <v>0.5</v>
      </c>
      <c r="J23" s="21">
        <f>+'Default Values'!$C$9</f>
        <v>1</v>
      </c>
      <c r="K23" s="120">
        <f>SUM('Data Sheet'!E9:E16)</f>
        <v>4631.2</v>
      </c>
      <c r="L23" s="21">
        <f>+'Default Values'!$C$10</f>
        <v>0.15</v>
      </c>
      <c r="M23" s="22">
        <f>+EXP((-'Default Values'!$C$11)*(C23-B23))</f>
        <v>1</v>
      </c>
      <c r="N23" s="23">
        <f>(1-EXP(-'Default Values'!$C$11))</f>
        <v>0.32967995396436067</v>
      </c>
      <c r="O23" s="175">
        <f>+'Default Values'!$C$25</f>
        <v>0.49959999999999999</v>
      </c>
      <c r="P23" s="119">
        <f t="shared" si="2"/>
        <v>1627.0480357548681</v>
      </c>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row>
    <row r="24" spans="1:43" ht="30" x14ac:dyDescent="0.35">
      <c r="A24" s="15" t="s">
        <v>129</v>
      </c>
      <c r="B24" s="21">
        <v>4</v>
      </c>
      <c r="C24" s="21">
        <v>4</v>
      </c>
      <c r="D24" s="21">
        <f>+'Default Values'!$C$3</f>
        <v>0.85</v>
      </c>
      <c r="E24" s="21">
        <f>+(1-'Default Values'!$C$4)</f>
        <v>1</v>
      </c>
      <c r="F24" s="21">
        <f>+'Default Values'!$C$5</f>
        <v>28</v>
      </c>
      <c r="G24" s="21">
        <f>+(1-'Default Values'!$C$6)</f>
        <v>0.9</v>
      </c>
      <c r="H24" s="21">
        <f>+'Default Values'!$C$7</f>
        <v>0.5</v>
      </c>
      <c r="I24" s="21">
        <f>+'Default Values'!$C$8</f>
        <v>0.5</v>
      </c>
      <c r="J24" s="21">
        <f>+'Default Values'!$C$9</f>
        <v>1</v>
      </c>
      <c r="K24" s="120">
        <f>SUM('Data Sheet'!E17:E20)</f>
        <v>2240.9699999999998</v>
      </c>
      <c r="L24" s="21">
        <f>+'Default Values'!$C$10</f>
        <v>0.15</v>
      </c>
      <c r="M24" s="22">
        <f>+EXP((-'Default Values'!$C$11)*(C24-B24))</f>
        <v>1</v>
      </c>
      <c r="N24" s="23">
        <f>(1-EXP(-'Default Values'!$C$11))</f>
        <v>0.32967995396436067</v>
      </c>
      <c r="O24" s="175">
        <f>+'Default Values'!$C$25</f>
        <v>0.49959999999999999</v>
      </c>
      <c r="P24" s="119">
        <f t="shared" ref="P24" si="3">(D24*E24*F24*G24*(16/12)*H24*I24*J24*K24*L24*M24*N24)*(1-O24%)</f>
        <v>787.30476694713809</v>
      </c>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row>
    <row r="25" spans="1:43" s="16" customFormat="1" ht="16.2" x14ac:dyDescent="0.35">
      <c r="A25" s="25"/>
      <c r="B25" s="24"/>
      <c r="C25" s="24"/>
      <c r="D25" s="24"/>
      <c r="E25" s="24"/>
      <c r="F25" s="24"/>
      <c r="G25" s="24"/>
      <c r="H25" s="24"/>
      <c r="I25" s="24"/>
      <c r="J25" s="24"/>
      <c r="K25" s="121"/>
      <c r="L25" s="24"/>
      <c r="M25" s="24"/>
      <c r="N25" s="24"/>
      <c r="O25" s="27" t="s">
        <v>89</v>
      </c>
      <c r="P25" s="122">
        <f>SUM(P20:P24)</f>
        <v>4316.7818129225734</v>
      </c>
    </row>
    <row r="26" spans="1:43" ht="31.5" customHeight="1" x14ac:dyDescent="0.35">
      <c r="A26" s="278" t="s">
        <v>130</v>
      </c>
      <c r="B26" s="21">
        <v>1</v>
      </c>
      <c r="C26" s="21">
        <v>5</v>
      </c>
      <c r="D26" s="21">
        <f>+'Default Values'!$C$3</f>
        <v>0.85</v>
      </c>
      <c r="E26" s="21">
        <f>+(1-'Default Values'!$C$4)</f>
        <v>1</v>
      </c>
      <c r="F26" s="21">
        <f>+'Default Values'!$C$5</f>
        <v>28</v>
      </c>
      <c r="G26" s="21">
        <f>+(1-'Default Values'!$C$6)</f>
        <v>0.9</v>
      </c>
      <c r="H26" s="21">
        <f>+'Default Values'!$C$7</f>
        <v>0.5</v>
      </c>
      <c r="I26" s="21">
        <f>+'Default Values'!$C$8</f>
        <v>0.5</v>
      </c>
      <c r="J26" s="21">
        <f>+'Default Values'!$C$9</f>
        <v>1</v>
      </c>
      <c r="K26" s="120">
        <f>K10</f>
        <v>4517</v>
      </c>
      <c r="L26" s="21">
        <f>+'Default Values'!$C$10</f>
        <v>0.15</v>
      </c>
      <c r="M26" s="22">
        <f>+EXP((-'Default Values'!$C$11)*(C26-B26))</f>
        <v>0.20189651799465538</v>
      </c>
      <c r="N26" s="23">
        <f>(1-EXP(-'Default Values'!$C$11))</f>
        <v>0.32967995396436067</v>
      </c>
      <c r="O26" s="175">
        <f>+'Default Values'!$C$25</f>
        <v>0.49959999999999999</v>
      </c>
      <c r="P26" s="119">
        <f t="shared" ref="P26:P30" si="4">(D26*E26*F26*G26*(16/12)*H26*I26*J26*K26*L26*M26*N26)*(1-O26%)</f>
        <v>320.39502057604363</v>
      </c>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row>
    <row r="27" spans="1:43" x14ac:dyDescent="0.35">
      <c r="A27" s="278"/>
      <c r="B27" s="21">
        <v>2</v>
      </c>
      <c r="C27" s="21">
        <v>5</v>
      </c>
      <c r="D27" s="21">
        <f>+'Default Values'!$C$3</f>
        <v>0.85</v>
      </c>
      <c r="E27" s="21">
        <f>+(1-'Default Values'!$C$4)</f>
        <v>1</v>
      </c>
      <c r="F27" s="21">
        <f>+'Default Values'!$C$5</f>
        <v>28</v>
      </c>
      <c r="G27" s="21">
        <f>+(1-'Default Values'!$C$6)</f>
        <v>0.9</v>
      </c>
      <c r="H27" s="21">
        <f>+'Default Values'!$C$7</f>
        <v>0.5</v>
      </c>
      <c r="I27" s="21">
        <f>+'Default Values'!$C$8</f>
        <v>0.5</v>
      </c>
      <c r="J27" s="21">
        <f>+'Default Values'!$C$9</f>
        <v>1</v>
      </c>
      <c r="K27" s="120">
        <f>K13</f>
        <v>1661</v>
      </c>
      <c r="L27" s="21">
        <f>+'Default Values'!$C$10</f>
        <v>0.15</v>
      </c>
      <c r="M27" s="22">
        <f>+EXP((-'Default Values'!$C$11)*(C27-B27))</f>
        <v>0.30119421191220203</v>
      </c>
      <c r="N27" s="23">
        <f>(1-EXP(-'Default Values'!$C$11))</f>
        <v>0.32967995396436067</v>
      </c>
      <c r="O27" s="175">
        <f>+'Default Values'!$C$25</f>
        <v>0.49959999999999999</v>
      </c>
      <c r="P27" s="119">
        <f t="shared" si="4"/>
        <v>175.76123378372677</v>
      </c>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row>
    <row r="28" spans="1:43" x14ac:dyDescent="0.35">
      <c r="A28" s="278"/>
      <c r="B28" s="21">
        <v>3</v>
      </c>
      <c r="C28" s="21">
        <v>5</v>
      </c>
      <c r="D28" s="21">
        <f>+'Default Values'!$C$3</f>
        <v>0.85</v>
      </c>
      <c r="E28" s="21">
        <f>+(1-'Default Values'!$C$4)</f>
        <v>1</v>
      </c>
      <c r="F28" s="21">
        <f>+'Default Values'!$C$5</f>
        <v>28</v>
      </c>
      <c r="G28" s="21">
        <f>+(1-'Default Values'!$C$6)</f>
        <v>0.9</v>
      </c>
      <c r="H28" s="21">
        <f>+'Default Values'!$C$7</f>
        <v>0.5</v>
      </c>
      <c r="I28" s="21">
        <f>+'Default Values'!$C$8</f>
        <v>0.5</v>
      </c>
      <c r="J28" s="21">
        <f>+'Default Values'!$C$9</f>
        <v>1</v>
      </c>
      <c r="K28" s="120">
        <f>K17+K18</f>
        <v>4935.2690000000002</v>
      </c>
      <c r="L28" s="21">
        <f>+'Default Values'!$C$10</f>
        <v>0.15</v>
      </c>
      <c r="M28" s="22">
        <f>+EXP((-'Default Values'!$C$11)*(C28-B28))</f>
        <v>0.44932896411722156</v>
      </c>
      <c r="N28" s="23">
        <f>(1-EXP(-'Default Values'!$C$11))</f>
        <v>0.32967995396436067</v>
      </c>
      <c r="O28" s="175">
        <f>+'Default Values'!$C$25</f>
        <v>0.49959999999999999</v>
      </c>
      <c r="P28" s="119">
        <f t="shared" si="4"/>
        <v>779.08004735081579</v>
      </c>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row>
    <row r="29" spans="1:43" x14ac:dyDescent="0.35">
      <c r="A29" s="278"/>
      <c r="B29" s="21">
        <v>4</v>
      </c>
      <c r="C29" s="21">
        <v>5</v>
      </c>
      <c r="D29" s="21">
        <f>+'Default Values'!$C$3</f>
        <v>0.85</v>
      </c>
      <c r="E29" s="21">
        <f>+(1-'Default Values'!$C$4)</f>
        <v>1</v>
      </c>
      <c r="F29" s="21">
        <f>+'Default Values'!$C$5</f>
        <v>28</v>
      </c>
      <c r="G29" s="21">
        <f>+(1-'Default Values'!$C$6)</f>
        <v>0.9</v>
      </c>
      <c r="H29" s="21">
        <f>+'Default Values'!$C$7</f>
        <v>0.5</v>
      </c>
      <c r="I29" s="21">
        <f>+'Default Values'!$C$8</f>
        <v>0.5</v>
      </c>
      <c r="J29" s="21">
        <f>+'Default Values'!$C$9</f>
        <v>1</v>
      </c>
      <c r="K29" s="120">
        <f>K23+K24</f>
        <v>6872.17</v>
      </c>
      <c r="L29" s="21">
        <f>+'Default Values'!$C$10</f>
        <v>0.15</v>
      </c>
      <c r="M29" s="22">
        <f>+EXP((-'Default Values'!$C$11)*(C29-B29))</f>
        <v>0.67032004603563933</v>
      </c>
      <c r="N29" s="23">
        <f>(1-EXP(-'Default Values'!$C$11))</f>
        <v>0.32967995396436067</v>
      </c>
      <c r="O29" s="175">
        <f>+'Default Values'!$C$25</f>
        <v>0.49959999999999999</v>
      </c>
      <c r="P29" s="119">
        <f t="shared" si="4"/>
        <v>1618.3890818534837</v>
      </c>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row>
    <row r="30" spans="1:43" x14ac:dyDescent="0.35">
      <c r="A30" s="278"/>
      <c r="B30" s="21">
        <v>5</v>
      </c>
      <c r="C30" s="21">
        <v>5</v>
      </c>
      <c r="D30" s="21">
        <f>+'Default Values'!$C$3</f>
        <v>0.85</v>
      </c>
      <c r="E30" s="21">
        <f>+(1-'Default Values'!$C$4)</f>
        <v>1</v>
      </c>
      <c r="F30" s="21">
        <f>+'Default Values'!$C$5</f>
        <v>28</v>
      </c>
      <c r="G30" s="21">
        <f>+(1-'Default Values'!$C$6)</f>
        <v>0.9</v>
      </c>
      <c r="H30" s="21">
        <f>+'Default Values'!$C$7</f>
        <v>0.5</v>
      </c>
      <c r="I30" s="21">
        <f>+'Default Values'!$C$8</f>
        <v>0.5</v>
      </c>
      <c r="J30" s="21">
        <f>+'Default Values'!$C$9</f>
        <v>1</v>
      </c>
      <c r="K30" s="120">
        <f>SUM('Data Sheet'!E21:E27)</f>
        <v>2500.9499999999998</v>
      </c>
      <c r="L30" s="21">
        <f>+'Default Values'!$C$10</f>
        <v>0.15</v>
      </c>
      <c r="M30" s="22">
        <f>+EXP((-'Default Values'!$C$11)*(C30-B30))</f>
        <v>1</v>
      </c>
      <c r="N30" s="23">
        <f>(1-EXP(-'Default Values'!$C$11))</f>
        <v>0.32967995396436067</v>
      </c>
      <c r="O30" s="175">
        <f>+'Default Values'!$C$25</f>
        <v>0.49959999999999999</v>
      </c>
      <c r="P30" s="119">
        <f t="shared" si="4"/>
        <v>878.64177427473146</v>
      </c>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row>
    <row r="31" spans="1:43" ht="16.2" x14ac:dyDescent="0.35">
      <c r="A31" s="72"/>
      <c r="B31" s="28"/>
      <c r="C31" s="28"/>
      <c r="D31" s="28"/>
      <c r="E31" s="28"/>
      <c r="F31" s="28"/>
      <c r="G31" s="28"/>
      <c r="H31" s="28"/>
      <c r="I31" s="28"/>
      <c r="J31" s="28"/>
      <c r="K31" s="28"/>
      <c r="L31" s="28"/>
      <c r="M31" s="28"/>
      <c r="N31" s="28"/>
      <c r="O31" s="27" t="s">
        <v>131</v>
      </c>
      <c r="P31" s="122">
        <f>SUM(P26:P30)</f>
        <v>3772.2671578388017</v>
      </c>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row>
    <row r="32" spans="1:43" x14ac:dyDescent="0.35">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row>
    <row r="33" spans="1:43" x14ac:dyDescent="0.35">
      <c r="A33" s="277" t="s">
        <v>28</v>
      </c>
      <c r="B33" s="277"/>
      <c r="C33" s="277"/>
      <c r="D33" s="277"/>
      <c r="E33" s="277"/>
      <c r="F33" s="277"/>
      <c r="G33" s="277"/>
      <c r="H33" s="277"/>
      <c r="I33" s="277"/>
      <c r="J33" s="277"/>
      <c r="K33" s="277"/>
      <c r="L33" s="277"/>
      <c r="M33" s="277"/>
      <c r="N33" s="277"/>
      <c r="O33" s="277"/>
      <c r="P33" s="27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row>
    <row r="34" spans="1:43" x14ac:dyDescent="0.35">
      <c r="A34" s="277" t="s">
        <v>19</v>
      </c>
      <c r="B34" s="277"/>
      <c r="C34" s="277"/>
      <c r="D34" s="277"/>
      <c r="E34" s="277"/>
      <c r="F34" s="277"/>
      <c r="G34" s="277"/>
      <c r="H34" s="277"/>
      <c r="I34" s="277"/>
      <c r="J34" s="277"/>
      <c r="K34" s="277"/>
      <c r="L34" s="277"/>
      <c r="M34" s="277"/>
      <c r="N34" s="277"/>
      <c r="O34" s="277"/>
      <c r="P34" s="27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row>
    <row r="35" spans="1:43" ht="18.600000000000001" x14ac:dyDescent="0.35">
      <c r="A35" s="31" t="s">
        <v>0</v>
      </c>
      <c r="B35" s="32" t="s">
        <v>39</v>
      </c>
      <c r="C35" s="32" t="s">
        <v>40</v>
      </c>
      <c r="D35" s="32" t="s">
        <v>43</v>
      </c>
      <c r="E35" s="32" t="s">
        <v>44</v>
      </c>
      <c r="F35" s="32" t="s">
        <v>45</v>
      </c>
      <c r="G35" s="32" t="s">
        <v>41</v>
      </c>
      <c r="H35" s="32" t="s">
        <v>42</v>
      </c>
      <c r="I35" s="32" t="s">
        <v>46</v>
      </c>
      <c r="J35" s="32" t="s">
        <v>47</v>
      </c>
      <c r="K35" s="32" t="s">
        <v>48</v>
      </c>
      <c r="L35" s="32" t="s">
        <v>49</v>
      </c>
      <c r="M35" s="32" t="s">
        <v>50</v>
      </c>
      <c r="N35" s="32" t="s">
        <v>51</v>
      </c>
      <c r="O35" s="32" t="s">
        <v>53</v>
      </c>
      <c r="P35" s="32" t="s">
        <v>52</v>
      </c>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row>
    <row r="36" spans="1:43" ht="30" x14ac:dyDescent="0.35">
      <c r="A36" s="31" t="s">
        <v>82</v>
      </c>
      <c r="B36" s="33">
        <v>1</v>
      </c>
      <c r="C36" s="33">
        <v>1</v>
      </c>
      <c r="D36" s="33">
        <f>+'Default Values'!$C$3</f>
        <v>0.85</v>
      </c>
      <c r="E36" s="33">
        <f>+(1-'Default Values'!$C$4)</f>
        <v>1</v>
      </c>
      <c r="F36" s="33">
        <f>+'Default Values'!$C$5</f>
        <v>28</v>
      </c>
      <c r="G36" s="33">
        <f>+(1-'Default Values'!$C$6)</f>
        <v>0.9</v>
      </c>
      <c r="H36" s="33">
        <f>+'Default Values'!$C$7</f>
        <v>0.5</v>
      </c>
      <c r="I36" s="33">
        <f>+'Default Values'!$C$8</f>
        <v>0.5</v>
      </c>
      <c r="J36" s="33">
        <f>+'Default Values'!$C$9</f>
        <v>1</v>
      </c>
      <c r="K36" s="123">
        <f>'Previous verification data'!E12</f>
        <v>4426</v>
      </c>
      <c r="L36" s="33">
        <f>+'Default Values'!$C$10</f>
        <v>0.15</v>
      </c>
      <c r="M36" s="34">
        <f>+EXP((-'Default Values'!$C$11)*(C36-B36))</f>
        <v>1</v>
      </c>
      <c r="N36" s="35">
        <f>(1-EXP(-'Default Values'!$C$11))</f>
        <v>0.32967995396436067</v>
      </c>
      <c r="O36" s="35">
        <f>+'Default Values'!$C$25</f>
        <v>0.49959999999999999</v>
      </c>
      <c r="P36" s="123">
        <f>(D36*E36*F36*G36*(16/12)*H36*I36*J36*K36*L36*M36*N36)*(1-O36%)</f>
        <v>1554.9565137007785</v>
      </c>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row>
    <row r="37" spans="1:43" ht="16.2" x14ac:dyDescent="0.35">
      <c r="A37" s="36"/>
      <c r="B37" s="37"/>
      <c r="C37" s="37"/>
      <c r="D37" s="37"/>
      <c r="E37" s="37"/>
      <c r="F37" s="37"/>
      <c r="G37" s="37"/>
      <c r="H37" s="37"/>
      <c r="I37" s="37"/>
      <c r="J37" s="37"/>
      <c r="K37" s="124"/>
      <c r="L37" s="37"/>
      <c r="M37" s="37"/>
      <c r="N37" s="37"/>
      <c r="O37" s="38" t="s">
        <v>86</v>
      </c>
      <c r="P37" s="127">
        <f>SUM(P36)</f>
        <v>1554.9565137007785</v>
      </c>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row>
    <row r="38" spans="1:43" x14ac:dyDescent="0.35">
      <c r="A38" s="299" t="s">
        <v>85</v>
      </c>
      <c r="B38" s="33">
        <v>1</v>
      </c>
      <c r="C38" s="33">
        <v>2</v>
      </c>
      <c r="D38" s="33">
        <f>+'Default Values'!$C$3</f>
        <v>0.85</v>
      </c>
      <c r="E38" s="33">
        <f>+(1-'Default Values'!$C$4)</f>
        <v>1</v>
      </c>
      <c r="F38" s="33">
        <f>+'Default Values'!$C$5</f>
        <v>28</v>
      </c>
      <c r="G38" s="33">
        <f>+(1-'Default Values'!$C$6)</f>
        <v>0.9</v>
      </c>
      <c r="H38" s="33">
        <f>+'Default Values'!$C$7</f>
        <v>0.5</v>
      </c>
      <c r="I38" s="33">
        <f>+'Default Values'!$C$8</f>
        <v>0.5</v>
      </c>
      <c r="J38" s="33">
        <f>+'Default Values'!$C$9</f>
        <v>1</v>
      </c>
      <c r="K38" s="123">
        <f>K36</f>
        <v>4426</v>
      </c>
      <c r="L38" s="33">
        <f>+'Default Values'!$C$10</f>
        <v>0.15</v>
      </c>
      <c r="M38" s="34">
        <f>+EXP((-'Default Values'!$C$11)*(C38-B38))</f>
        <v>0.67032004603563933</v>
      </c>
      <c r="N38" s="35">
        <f>(1-EXP(-'Default Values'!$C$11))</f>
        <v>0.32967995396436067</v>
      </c>
      <c r="O38" s="35">
        <f>+'Default Values'!$C$25</f>
        <v>0.49959999999999999</v>
      </c>
      <c r="P38" s="123">
        <f>(D38*E38*F38*G38*(16/12)*H38*I38*J38*K38*L38*M38*N38)*(1-O38%)</f>
        <v>1042.3185218473229</v>
      </c>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row>
    <row r="39" spans="1:43" x14ac:dyDescent="0.35">
      <c r="A39" s="300"/>
      <c r="B39" s="33">
        <v>2</v>
      </c>
      <c r="C39" s="33">
        <v>2</v>
      </c>
      <c r="D39" s="33">
        <f>+'Default Values'!$C$3</f>
        <v>0.85</v>
      </c>
      <c r="E39" s="33">
        <f>+(1-'Default Values'!$C$4)</f>
        <v>1</v>
      </c>
      <c r="F39" s="33">
        <f>+'Default Values'!$C$5</f>
        <v>28</v>
      </c>
      <c r="G39" s="33">
        <f>+(1-'Default Values'!$C$6)</f>
        <v>0.9</v>
      </c>
      <c r="H39" s="33">
        <f>+'Default Values'!$C$7</f>
        <v>0.5</v>
      </c>
      <c r="I39" s="33">
        <f>+'Default Values'!$C$8</f>
        <v>0.5</v>
      </c>
      <c r="J39" s="33">
        <f>+'Default Values'!$C$9</f>
        <v>1</v>
      </c>
      <c r="K39" s="123">
        <f>'Previous verification data'!E13</f>
        <v>2927</v>
      </c>
      <c r="L39" s="33">
        <f>+'Default Values'!$C$10</f>
        <v>0.15</v>
      </c>
      <c r="M39" s="34">
        <f>+EXP((-'Default Values'!$C$11)*(C39-B39))</f>
        <v>1</v>
      </c>
      <c r="N39" s="35">
        <f>(1-EXP(-'Default Values'!$C$11))</f>
        <v>0.32967995396436067</v>
      </c>
      <c r="O39" s="35">
        <f>+'Default Values'!$C$25</f>
        <v>0.49959999999999999</v>
      </c>
      <c r="P39" s="123">
        <f>(D39*E39*F39*G39*(16/12)*H39*I39*J39*K39*L39*M39*N39)*(1-O39%)</f>
        <v>1028.3230265707589</v>
      </c>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row>
    <row r="40" spans="1:43" ht="16.2" x14ac:dyDescent="0.35">
      <c r="A40" s="36"/>
      <c r="B40" s="36"/>
      <c r="C40" s="37"/>
      <c r="D40" s="37"/>
      <c r="E40" s="37"/>
      <c r="F40" s="37"/>
      <c r="G40" s="37"/>
      <c r="H40" s="37"/>
      <c r="I40" s="37"/>
      <c r="J40" s="37"/>
      <c r="K40" s="124"/>
      <c r="L40" s="37"/>
      <c r="M40" s="37"/>
      <c r="N40" s="37"/>
      <c r="O40" s="38" t="s">
        <v>87</v>
      </c>
      <c r="P40" s="127">
        <f>SUM(P38:P39)</f>
        <v>2070.6415484180816</v>
      </c>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row>
    <row r="41" spans="1:43" x14ac:dyDescent="0.35">
      <c r="A41" s="299" t="s">
        <v>104</v>
      </c>
      <c r="B41" s="33">
        <v>1</v>
      </c>
      <c r="C41" s="33">
        <v>3</v>
      </c>
      <c r="D41" s="33">
        <f>+'Default Values'!$C$3</f>
        <v>0.85</v>
      </c>
      <c r="E41" s="33">
        <f>+(1-'Default Values'!$C$4)</f>
        <v>1</v>
      </c>
      <c r="F41" s="33">
        <f>+'Default Values'!$C$5</f>
        <v>28</v>
      </c>
      <c r="G41" s="33">
        <f>+(1-'Default Values'!$C$6)</f>
        <v>0.9</v>
      </c>
      <c r="H41" s="33">
        <f>+'Default Values'!$C$7</f>
        <v>0.5</v>
      </c>
      <c r="I41" s="33">
        <f>+'Default Values'!$C$8</f>
        <v>0.5</v>
      </c>
      <c r="J41" s="33">
        <f>+'Default Values'!$C$9</f>
        <v>1</v>
      </c>
      <c r="K41" s="123">
        <f>K36</f>
        <v>4426</v>
      </c>
      <c r="L41" s="33">
        <f>+'Default Values'!$C$10</f>
        <v>0.15</v>
      </c>
      <c r="M41" s="34">
        <f>+EXP((-'Default Values'!$C$11)*(C41-B41))</f>
        <v>0.44932896411722156</v>
      </c>
      <c r="N41" s="35">
        <f>(1-EXP(-'Default Values'!$C$11))</f>
        <v>0.32967995396436067</v>
      </c>
      <c r="O41" s="35">
        <f>+'Default Values'!$C$25</f>
        <v>0.49959999999999999</v>
      </c>
      <c r="P41" s="123">
        <f t="shared" ref="P41:P43" si="5">(D41*E41*F41*G41*(16/12)*H41*I41*J41*K41*L41*M41*N41)*(1-O41%)</f>
        <v>698.68699954849706</v>
      </c>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row>
    <row r="42" spans="1:43" x14ac:dyDescent="0.35">
      <c r="A42" s="301"/>
      <c r="B42" s="33">
        <v>2</v>
      </c>
      <c r="C42" s="33">
        <v>3</v>
      </c>
      <c r="D42" s="33">
        <f>+'Default Values'!$C$3</f>
        <v>0.85</v>
      </c>
      <c r="E42" s="33">
        <f>+(1-'Default Values'!$C$4)</f>
        <v>1</v>
      </c>
      <c r="F42" s="33">
        <f>+'Default Values'!$C$5</f>
        <v>28</v>
      </c>
      <c r="G42" s="33">
        <f>+(1-'Default Values'!$C$6)</f>
        <v>0.9</v>
      </c>
      <c r="H42" s="33">
        <f>+'Default Values'!$C$7</f>
        <v>0.5</v>
      </c>
      <c r="I42" s="33">
        <f>+'Default Values'!$C$8</f>
        <v>0.5</v>
      </c>
      <c r="J42" s="33">
        <f>+'Default Values'!$C$9</f>
        <v>1</v>
      </c>
      <c r="K42" s="123">
        <f>K39</f>
        <v>2927</v>
      </c>
      <c r="L42" s="33">
        <f>+'Default Values'!$C$10</f>
        <v>0.15</v>
      </c>
      <c r="M42" s="34">
        <f>+EXP((-'Default Values'!$C$11)*(C42-B42))</f>
        <v>0.67032004603563933</v>
      </c>
      <c r="N42" s="35">
        <f>(1-EXP(-'Default Values'!$C$11))</f>
        <v>0.32967995396436067</v>
      </c>
      <c r="O42" s="35">
        <f>+'Default Values'!$C$25</f>
        <v>0.49959999999999999</v>
      </c>
      <c r="P42" s="123">
        <f t="shared" si="5"/>
        <v>689.30553851041907</v>
      </c>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row>
    <row r="43" spans="1:43" x14ac:dyDescent="0.35">
      <c r="A43" s="300"/>
      <c r="B43" s="33">
        <v>3</v>
      </c>
      <c r="C43" s="33">
        <v>3</v>
      </c>
      <c r="D43" s="33">
        <f>+'Default Values'!$C$3</f>
        <v>0.85</v>
      </c>
      <c r="E43" s="33">
        <f>+(1-'Default Values'!$C$4)</f>
        <v>1</v>
      </c>
      <c r="F43" s="33">
        <f>+'Default Values'!$C$5</f>
        <v>28</v>
      </c>
      <c r="G43" s="33">
        <f>+(1-'Default Values'!$C$6)</f>
        <v>0.9</v>
      </c>
      <c r="H43" s="33">
        <f>+'Default Values'!$C$7</f>
        <v>0.5</v>
      </c>
      <c r="I43" s="33">
        <f>+'Default Values'!$C$8</f>
        <v>0.5</v>
      </c>
      <c r="J43" s="33">
        <f>+'Default Values'!$C$9</f>
        <v>1</v>
      </c>
      <c r="K43" s="123">
        <f>'Previous verification data'!E14</f>
        <v>4369</v>
      </c>
      <c r="L43" s="33">
        <f>+'Default Values'!$C$10</f>
        <v>0.15</v>
      </c>
      <c r="M43" s="34">
        <f>+EXP((-'Default Values'!$C$11)*(C43-B43))</f>
        <v>1</v>
      </c>
      <c r="N43" s="35">
        <f>(1-EXP(-'Default Values'!$C$11))</f>
        <v>0.32967995396436067</v>
      </c>
      <c r="O43" s="35">
        <f>+'Default Values'!$C$25</f>
        <v>0.49959999999999999</v>
      </c>
      <c r="P43" s="123">
        <f t="shared" si="5"/>
        <v>1534.9310909079759</v>
      </c>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row>
    <row r="44" spans="1:43" ht="30" x14ac:dyDescent="0.35">
      <c r="A44" s="31" t="s">
        <v>105</v>
      </c>
      <c r="B44" s="33">
        <v>3</v>
      </c>
      <c r="C44" s="33">
        <v>3</v>
      </c>
      <c r="D44" s="33">
        <f>+'Default Values'!$C$3</f>
        <v>0.85</v>
      </c>
      <c r="E44" s="33">
        <f>+(1-'Default Values'!$C$4)</f>
        <v>1</v>
      </c>
      <c r="F44" s="33">
        <f>+'Default Values'!$C$5</f>
        <v>28</v>
      </c>
      <c r="G44" s="33">
        <f>+(1-'Default Values'!$C$6)</f>
        <v>0.9</v>
      </c>
      <c r="H44" s="33">
        <f>+'Default Values'!$C$7</f>
        <v>0.5</v>
      </c>
      <c r="I44" s="33">
        <f>+'Default Values'!$C$8</f>
        <v>0.5</v>
      </c>
      <c r="J44" s="33">
        <f>+'Default Values'!$C$9</f>
        <v>1</v>
      </c>
      <c r="K44" s="123">
        <f>SUM('Data Sheet'!O34:O37)</f>
        <v>1557.6029999999998</v>
      </c>
      <c r="L44" s="33">
        <f>+'Default Values'!$C$10</f>
        <v>0.15</v>
      </c>
      <c r="M44" s="34">
        <f>+EXP((-'Default Values'!$C$11)*(C44-B44))</f>
        <v>1</v>
      </c>
      <c r="N44" s="35">
        <f>(1-EXP(-'Default Values'!$C$11))</f>
        <v>0.32967995396436067</v>
      </c>
      <c r="O44" s="35">
        <f>+'Default Values'!$C$25</f>
        <v>0.49959999999999999</v>
      </c>
      <c r="P44" s="123">
        <f t="shared" ref="P44" si="6">(D44*E44*F44*G44*(16/12)*H44*I44*J44*K44*L44*M44*N44)*(1-O44%)</f>
        <v>547.22208102346895</v>
      </c>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row>
    <row r="45" spans="1:43" ht="16.2" x14ac:dyDescent="0.35">
      <c r="A45" s="39"/>
      <c r="B45" s="40"/>
      <c r="C45" s="40"/>
      <c r="D45" s="40"/>
      <c r="E45" s="40"/>
      <c r="F45" s="40"/>
      <c r="G45" s="40"/>
      <c r="H45" s="40"/>
      <c r="I45" s="40"/>
      <c r="J45" s="40"/>
      <c r="K45" s="125"/>
      <c r="L45" s="40"/>
      <c r="M45" s="40"/>
      <c r="N45" s="40"/>
      <c r="O45" s="38" t="s">
        <v>88</v>
      </c>
      <c r="P45" s="127">
        <f>SUM(P41:P44)</f>
        <v>3470.145709990361</v>
      </c>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row>
    <row r="46" spans="1:43" x14ac:dyDescent="0.35">
      <c r="A46" s="302" t="s">
        <v>106</v>
      </c>
      <c r="B46" s="33">
        <v>1</v>
      </c>
      <c r="C46" s="33">
        <v>4</v>
      </c>
      <c r="D46" s="33">
        <f>+'Default Values'!$C$3</f>
        <v>0.85</v>
      </c>
      <c r="E46" s="33">
        <f>+(1-'Default Values'!$C$4)</f>
        <v>1</v>
      </c>
      <c r="F46" s="33">
        <f>+'Default Values'!$C$5</f>
        <v>28</v>
      </c>
      <c r="G46" s="33">
        <f>+(1-'Default Values'!$C$6)</f>
        <v>0.9</v>
      </c>
      <c r="H46" s="33">
        <f>+'Default Values'!$C$7</f>
        <v>0.5</v>
      </c>
      <c r="I46" s="33">
        <f>+'Default Values'!$C$8</f>
        <v>0.5</v>
      </c>
      <c r="J46" s="33">
        <f>+'Default Values'!$C$9</f>
        <v>1</v>
      </c>
      <c r="K46" s="123">
        <f>K36</f>
        <v>4426</v>
      </c>
      <c r="L46" s="33">
        <f>+'Default Values'!$C$10</f>
        <v>0.15</v>
      </c>
      <c r="M46" s="34">
        <f>+EXP((-'Default Values'!$C$11)*(C46-B46))</f>
        <v>0.30119421191220203</v>
      </c>
      <c r="N46" s="35">
        <f>(1-EXP(-'Default Values'!$C$11))</f>
        <v>0.32967995396436067</v>
      </c>
      <c r="O46" s="35">
        <f>+'Default Values'!$C$25</f>
        <v>0.49959999999999999</v>
      </c>
      <c r="P46" s="123">
        <f t="shared" ref="P46:P49" si="7">(D46*E46*F46*G46*(16/12)*H46*I46*J46*K46*L46*M46*N46)*(1-O46%)</f>
        <v>468.34390170185111</v>
      </c>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row>
    <row r="47" spans="1:43" x14ac:dyDescent="0.35">
      <c r="A47" s="302"/>
      <c r="B47" s="33">
        <v>2</v>
      </c>
      <c r="C47" s="33">
        <v>4</v>
      </c>
      <c r="D47" s="33">
        <f>+'Default Values'!$C$3</f>
        <v>0.85</v>
      </c>
      <c r="E47" s="33">
        <f>+(1-'Default Values'!$C$4)</f>
        <v>1</v>
      </c>
      <c r="F47" s="33">
        <f>+'Default Values'!$C$5</f>
        <v>28</v>
      </c>
      <c r="G47" s="33">
        <f>+(1-'Default Values'!$C$6)</f>
        <v>0.9</v>
      </c>
      <c r="H47" s="33">
        <f>+'Default Values'!$C$7</f>
        <v>0.5</v>
      </c>
      <c r="I47" s="33">
        <f>+'Default Values'!$C$8</f>
        <v>0.5</v>
      </c>
      <c r="J47" s="33">
        <f>+'Default Values'!$C$9</f>
        <v>1</v>
      </c>
      <c r="K47" s="123">
        <f>K39</f>
        <v>2927</v>
      </c>
      <c r="L47" s="33">
        <f>+'Default Values'!$C$10</f>
        <v>0.15</v>
      </c>
      <c r="M47" s="34">
        <f>+EXP((-'Default Values'!$C$11)*(C47-B47))</f>
        <v>0.44932896411722156</v>
      </c>
      <c r="N47" s="35">
        <f>(1-EXP(-'Default Values'!$C$11))</f>
        <v>0.32967995396436067</v>
      </c>
      <c r="O47" s="35">
        <f>+'Default Values'!$C$25</f>
        <v>0.49959999999999999</v>
      </c>
      <c r="P47" s="123">
        <f t="shared" si="7"/>
        <v>462.05532030692524</v>
      </c>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row>
    <row r="48" spans="1:43" x14ac:dyDescent="0.35">
      <c r="A48" s="302"/>
      <c r="B48" s="33">
        <v>3</v>
      </c>
      <c r="C48" s="33">
        <v>4</v>
      </c>
      <c r="D48" s="33">
        <f>+'Default Values'!$C$3</f>
        <v>0.85</v>
      </c>
      <c r="E48" s="33">
        <f>+(1-'Default Values'!$C$4)</f>
        <v>1</v>
      </c>
      <c r="F48" s="33">
        <f>+'Default Values'!$C$5</f>
        <v>28</v>
      </c>
      <c r="G48" s="33">
        <f>+(1-'Default Values'!$C$6)</f>
        <v>0.9</v>
      </c>
      <c r="H48" s="33">
        <f>+'Default Values'!$C$7</f>
        <v>0.5</v>
      </c>
      <c r="I48" s="33">
        <f>+'Default Values'!$C$8</f>
        <v>0.5</v>
      </c>
      <c r="J48" s="33">
        <f>+'Default Values'!$C$9</f>
        <v>1</v>
      </c>
      <c r="K48" s="123">
        <f>K43+K44</f>
        <v>5926.6030000000001</v>
      </c>
      <c r="L48" s="33">
        <f>+'Default Values'!$C$10</f>
        <v>0.15</v>
      </c>
      <c r="M48" s="34">
        <f>+EXP((-'Default Values'!$C$11)*(C48-B48))</f>
        <v>0.67032004603563933</v>
      </c>
      <c r="N48" s="35">
        <f>(1-EXP(-'Default Values'!$C$11))</f>
        <v>0.32967995396436067</v>
      </c>
      <c r="O48" s="35">
        <f>+'Default Values'!$C$25</f>
        <v>0.49959999999999999</v>
      </c>
      <c r="P48" s="123">
        <f t="shared" si="7"/>
        <v>1395.7090100623384</v>
      </c>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row>
    <row r="49" spans="1:43" x14ac:dyDescent="0.35">
      <c r="A49" s="302"/>
      <c r="B49" s="33">
        <v>4</v>
      </c>
      <c r="C49" s="33">
        <v>4</v>
      </c>
      <c r="D49" s="33">
        <f>+'Default Values'!$C$3</f>
        <v>0.85</v>
      </c>
      <c r="E49" s="33">
        <f>+(1-'Default Values'!$C$4)</f>
        <v>1</v>
      </c>
      <c r="F49" s="33">
        <f>+'Default Values'!$C$5</f>
        <v>28</v>
      </c>
      <c r="G49" s="33">
        <f>+(1-'Default Values'!$C$6)</f>
        <v>0.9</v>
      </c>
      <c r="H49" s="33">
        <f>+'Default Values'!$C$7</f>
        <v>0.5</v>
      </c>
      <c r="I49" s="33">
        <f>+'Default Values'!$C$8</f>
        <v>0.5</v>
      </c>
      <c r="J49" s="33">
        <f>+'Default Values'!$C$9</f>
        <v>1</v>
      </c>
      <c r="K49" s="123">
        <f>SUM('Data Sheet'!O38:O45)</f>
        <v>5279.7749999999996</v>
      </c>
      <c r="L49" s="33">
        <f>+'Default Values'!$C$10</f>
        <v>0.15</v>
      </c>
      <c r="M49" s="34">
        <f>+EXP((-'Default Values'!$C$11)*(C49-B49))</f>
        <v>1</v>
      </c>
      <c r="N49" s="35">
        <f>(1-EXP(-'Default Values'!$C$11))</f>
        <v>0.32967995396436067</v>
      </c>
      <c r="O49" s="35">
        <f>+'Default Values'!$C$25</f>
        <v>0.49959999999999999</v>
      </c>
      <c r="P49" s="123">
        <f t="shared" si="7"/>
        <v>1854.9074846643757</v>
      </c>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row>
    <row r="50" spans="1:43" ht="30" x14ac:dyDescent="0.35">
      <c r="A50" s="31" t="s">
        <v>129</v>
      </c>
      <c r="B50" s="33">
        <v>4</v>
      </c>
      <c r="C50" s="33">
        <v>4</v>
      </c>
      <c r="D50" s="33">
        <f>+'Default Values'!$C$3</f>
        <v>0.85</v>
      </c>
      <c r="E50" s="33">
        <f>+(1-'Default Values'!$C$4)</f>
        <v>1</v>
      </c>
      <c r="F50" s="33">
        <f>+'Default Values'!$C$5</f>
        <v>28</v>
      </c>
      <c r="G50" s="33">
        <f>+(1-'Default Values'!$C$6)</f>
        <v>0.9</v>
      </c>
      <c r="H50" s="33">
        <f>+'Default Values'!$C$7</f>
        <v>0.5</v>
      </c>
      <c r="I50" s="33">
        <f>+'Default Values'!$C$8</f>
        <v>0.5</v>
      </c>
      <c r="J50" s="33">
        <f>+'Default Values'!$C$9</f>
        <v>1</v>
      </c>
      <c r="K50" s="123">
        <f>SUM('Data Sheet'!O46:O49)</f>
        <v>1386.5880000000002</v>
      </c>
      <c r="L50" s="33">
        <f>+'Default Values'!$C$10</f>
        <v>0.15</v>
      </c>
      <c r="M50" s="34">
        <f>+EXP((-'Default Values'!$C$11)*(C50-B50))</f>
        <v>1</v>
      </c>
      <c r="N50" s="35">
        <f>(1-EXP(-'Default Values'!$C$11))</f>
        <v>0.32967995396436067</v>
      </c>
      <c r="O50" s="35">
        <f>+'Default Values'!$C$25</f>
        <v>0.49959999999999999</v>
      </c>
      <c r="P50" s="123">
        <f t="shared" ref="P50" si="8">(D50*E50*F50*G50*(16/12)*H50*I50*J50*K50*L50*M50*N50)*(1-O50%)</f>
        <v>487.14054279695779</v>
      </c>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row>
    <row r="51" spans="1:43" ht="16.2" x14ac:dyDescent="0.35">
      <c r="A51" s="41"/>
      <c r="B51" s="41"/>
      <c r="C51" s="41"/>
      <c r="D51" s="41"/>
      <c r="E51" s="41"/>
      <c r="F51" s="41"/>
      <c r="G51" s="41"/>
      <c r="H51" s="41"/>
      <c r="I51" s="41"/>
      <c r="J51" s="41"/>
      <c r="K51" s="126"/>
      <c r="L51" s="41"/>
      <c r="M51" s="41"/>
      <c r="N51" s="41"/>
      <c r="O51" s="38" t="s">
        <v>131</v>
      </c>
      <c r="P51" s="127">
        <f>SUM(P46:P50)</f>
        <v>4668.1562595324476</v>
      </c>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row>
    <row r="52" spans="1:43" ht="15.75" customHeight="1" x14ac:dyDescent="0.35">
      <c r="A52" s="297" t="s">
        <v>130</v>
      </c>
      <c r="B52" s="33">
        <v>1</v>
      </c>
      <c r="C52" s="33">
        <v>5</v>
      </c>
      <c r="D52" s="33">
        <f>+'Default Values'!$C$3</f>
        <v>0.85</v>
      </c>
      <c r="E52" s="33">
        <f>+(1-'Default Values'!$C$4)</f>
        <v>1</v>
      </c>
      <c r="F52" s="33">
        <f>+'Default Values'!$C$5</f>
        <v>28</v>
      </c>
      <c r="G52" s="33">
        <f>+(1-'Default Values'!$C$6)</f>
        <v>0.9</v>
      </c>
      <c r="H52" s="33">
        <f>+'Default Values'!$C$7</f>
        <v>0.5</v>
      </c>
      <c r="I52" s="33">
        <f>+'Default Values'!$C$8</f>
        <v>0.5</v>
      </c>
      <c r="J52" s="33">
        <f>+'Default Values'!$C$9</f>
        <v>1</v>
      </c>
      <c r="K52" s="123">
        <f>K36</f>
        <v>4426</v>
      </c>
      <c r="L52" s="33">
        <f>+'Default Values'!$C$10</f>
        <v>0.15</v>
      </c>
      <c r="M52" s="34">
        <f>+EXP((-'Default Values'!$C$11)*(C52-B52))</f>
        <v>0.20189651799465538</v>
      </c>
      <c r="N52" s="35">
        <f>(1-EXP(-'Default Values'!$C$11))</f>
        <v>0.32967995396436067</v>
      </c>
      <c r="O52" s="35">
        <f>+'Default Values'!$C$25</f>
        <v>0.49959999999999999</v>
      </c>
      <c r="P52" s="123">
        <f t="shared" ref="P52:P56" si="9">(D52*E52*F52*G52*(16/12)*H52*I52*J52*K52*L52*M52*N52)*(1-O52%)</f>
        <v>313.94030574929582</v>
      </c>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row>
    <row r="53" spans="1:43" x14ac:dyDescent="0.35">
      <c r="A53" s="298"/>
      <c r="B53" s="33">
        <v>2</v>
      </c>
      <c r="C53" s="33">
        <v>5</v>
      </c>
      <c r="D53" s="33">
        <f>+'Default Values'!$C$3</f>
        <v>0.85</v>
      </c>
      <c r="E53" s="33">
        <f>+(1-'Default Values'!$C$4)</f>
        <v>1</v>
      </c>
      <c r="F53" s="33">
        <f>+'Default Values'!$C$5</f>
        <v>28</v>
      </c>
      <c r="G53" s="33">
        <f>+(1-'Default Values'!$C$6)</f>
        <v>0.9</v>
      </c>
      <c r="H53" s="33">
        <f>+'Default Values'!$C$7</f>
        <v>0.5</v>
      </c>
      <c r="I53" s="33">
        <f>+'Default Values'!$C$8</f>
        <v>0.5</v>
      </c>
      <c r="J53" s="33">
        <f>+'Default Values'!$C$9</f>
        <v>1</v>
      </c>
      <c r="K53" s="123">
        <f>K39</f>
        <v>2927</v>
      </c>
      <c r="L53" s="33">
        <f>+'Default Values'!$C$10</f>
        <v>0.15</v>
      </c>
      <c r="M53" s="34">
        <f>+EXP((-'Default Values'!$C$11)*(C53-B53))</f>
        <v>0.30119421191220203</v>
      </c>
      <c r="N53" s="35">
        <f>(1-EXP(-'Default Values'!$C$11))</f>
        <v>0.32967995396436067</v>
      </c>
      <c r="O53" s="35">
        <f>+'Default Values'!$C$25</f>
        <v>0.49959999999999999</v>
      </c>
      <c r="P53" s="123">
        <f t="shared" si="9"/>
        <v>309.72494357915014</v>
      </c>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row>
    <row r="54" spans="1:43" x14ac:dyDescent="0.35">
      <c r="A54" s="298"/>
      <c r="B54" s="33">
        <v>3</v>
      </c>
      <c r="C54" s="33">
        <v>5</v>
      </c>
      <c r="D54" s="33">
        <f>+'Default Values'!$C$3</f>
        <v>0.85</v>
      </c>
      <c r="E54" s="33">
        <f>+(1-'Default Values'!$C$4)</f>
        <v>1</v>
      </c>
      <c r="F54" s="33">
        <f>+'Default Values'!$C$5</f>
        <v>28</v>
      </c>
      <c r="G54" s="33">
        <f>+(1-'Default Values'!$C$6)</f>
        <v>0.9</v>
      </c>
      <c r="H54" s="33">
        <f>+'Default Values'!$C$7</f>
        <v>0.5</v>
      </c>
      <c r="I54" s="33">
        <f>+'Default Values'!$C$8</f>
        <v>0.5</v>
      </c>
      <c r="J54" s="33">
        <f>+'Default Values'!$C$9</f>
        <v>1</v>
      </c>
      <c r="K54" s="123">
        <f>K48</f>
        <v>5926.6030000000001</v>
      </c>
      <c r="L54" s="33">
        <f>+'Default Values'!$C$10</f>
        <v>0.15</v>
      </c>
      <c r="M54" s="34">
        <f>+EXP((-'Default Values'!$C$11)*(C54-B54))</f>
        <v>0.44932896411722156</v>
      </c>
      <c r="N54" s="35">
        <f>(1-EXP(-'Default Values'!$C$11))</f>
        <v>0.32967995396436067</v>
      </c>
      <c r="O54" s="35">
        <f>+'Default Values'!$C$25</f>
        <v>0.49959999999999999</v>
      </c>
      <c r="P54" s="123">
        <f t="shared" si="9"/>
        <v>935.57172787734316</v>
      </c>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row>
    <row r="55" spans="1:43" x14ac:dyDescent="0.35">
      <c r="A55" s="298"/>
      <c r="B55" s="33">
        <v>4</v>
      </c>
      <c r="C55" s="33">
        <v>5</v>
      </c>
      <c r="D55" s="33">
        <f>+'Default Values'!$C$3</f>
        <v>0.85</v>
      </c>
      <c r="E55" s="33">
        <f>+(1-'Default Values'!$C$4)</f>
        <v>1</v>
      </c>
      <c r="F55" s="33">
        <f>+'Default Values'!$C$5</f>
        <v>28</v>
      </c>
      <c r="G55" s="33">
        <f>+(1-'Default Values'!$C$6)</f>
        <v>0.9</v>
      </c>
      <c r="H55" s="33">
        <f>+'Default Values'!$C$7</f>
        <v>0.5</v>
      </c>
      <c r="I55" s="33">
        <f>+'Default Values'!$C$8</f>
        <v>0.5</v>
      </c>
      <c r="J55" s="33">
        <f>+'Default Values'!$C$9</f>
        <v>1</v>
      </c>
      <c r="K55" s="123">
        <f>K49+K50</f>
        <v>6666.3629999999994</v>
      </c>
      <c r="L55" s="33">
        <f>+'Default Values'!$C$10</f>
        <v>0.15</v>
      </c>
      <c r="M55" s="34">
        <f>+EXP((-'Default Values'!$C$11)*(C55-B55))</f>
        <v>0.67032004603563933</v>
      </c>
      <c r="N55" s="35">
        <f>(1-EXP(-'Default Values'!$C$11))</f>
        <v>0.32967995396436067</v>
      </c>
      <c r="O55" s="35">
        <f>+'Default Values'!$C$25</f>
        <v>0.49959999999999999</v>
      </c>
      <c r="P55" s="123">
        <f t="shared" si="9"/>
        <v>1569.9217415855594</v>
      </c>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row>
    <row r="56" spans="1:43" x14ac:dyDescent="0.35">
      <c r="A56" s="298"/>
      <c r="B56" s="33">
        <v>5</v>
      </c>
      <c r="C56" s="33">
        <v>5</v>
      </c>
      <c r="D56" s="33">
        <f>+'Default Values'!$C$3</f>
        <v>0.85</v>
      </c>
      <c r="E56" s="33">
        <f>+(1-'Default Values'!$C$4)</f>
        <v>1</v>
      </c>
      <c r="F56" s="33">
        <f>+'Default Values'!$C$5</f>
        <v>28</v>
      </c>
      <c r="G56" s="33">
        <f>+(1-'Default Values'!$C$6)</f>
        <v>0.9</v>
      </c>
      <c r="H56" s="33">
        <f>+'Default Values'!$C$7</f>
        <v>0.5</v>
      </c>
      <c r="I56" s="33">
        <f>+'Default Values'!$C$8</f>
        <v>0.5</v>
      </c>
      <c r="J56" s="33">
        <f>+'Default Values'!$C$9</f>
        <v>1</v>
      </c>
      <c r="K56" s="123">
        <f>SUM('Data Sheet'!O50:O56)</f>
        <v>3268.9749999999999</v>
      </c>
      <c r="L56" s="33">
        <f>+'Default Values'!$C$10</f>
        <v>0.15</v>
      </c>
      <c r="M56" s="34">
        <f>+EXP((-'Default Values'!$C$11)*(C56-B56))</f>
        <v>1</v>
      </c>
      <c r="N56" s="35">
        <f>(1-EXP(-'Default Values'!$C$11))</f>
        <v>0.32967995396436067</v>
      </c>
      <c r="O56" s="35">
        <f>+'Default Values'!$C$25</f>
        <v>0.49959999999999999</v>
      </c>
      <c r="P56" s="123">
        <f t="shared" si="9"/>
        <v>1148.4667802474023</v>
      </c>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row>
    <row r="57" spans="1:43" ht="16.2" x14ac:dyDescent="0.35">
      <c r="A57" s="99"/>
      <c r="B57" s="41"/>
      <c r="C57" s="41"/>
      <c r="D57" s="41"/>
      <c r="E57" s="41"/>
      <c r="F57" s="41"/>
      <c r="G57" s="41"/>
      <c r="H57" s="41"/>
      <c r="I57" s="41"/>
      <c r="J57" s="41"/>
      <c r="K57" s="41"/>
      <c r="L57" s="41"/>
      <c r="M57" s="41"/>
      <c r="N57" s="41"/>
      <c r="O57" s="38" t="s">
        <v>131</v>
      </c>
      <c r="P57" s="127">
        <f>SUM(P52:P56)</f>
        <v>4277.6254990387506</v>
      </c>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row>
    <row r="58" spans="1:43" x14ac:dyDescent="0.35">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row>
    <row r="59" spans="1:43" x14ac:dyDescent="0.35">
      <c r="A59" s="282" t="s">
        <v>31</v>
      </c>
      <c r="B59" s="282"/>
      <c r="C59" s="282"/>
      <c r="D59" s="282"/>
      <c r="E59" s="282"/>
      <c r="F59" s="282"/>
      <c r="G59" s="282"/>
      <c r="H59" s="282"/>
      <c r="I59" s="282"/>
      <c r="J59" s="282"/>
      <c r="K59" s="282"/>
      <c r="L59" s="282"/>
      <c r="M59" s="282"/>
      <c r="N59" s="282"/>
      <c r="O59" s="282"/>
      <c r="P59" s="282"/>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row>
    <row r="60" spans="1:43" x14ac:dyDescent="0.35">
      <c r="A60" s="282" t="s">
        <v>19</v>
      </c>
      <c r="B60" s="282"/>
      <c r="C60" s="282"/>
      <c r="D60" s="282"/>
      <c r="E60" s="282"/>
      <c r="F60" s="282"/>
      <c r="G60" s="282"/>
      <c r="H60" s="282"/>
      <c r="I60" s="282"/>
      <c r="J60" s="282"/>
      <c r="K60" s="282"/>
      <c r="L60" s="282"/>
      <c r="M60" s="282"/>
      <c r="N60" s="282"/>
      <c r="O60" s="282"/>
      <c r="P60" s="282"/>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row>
    <row r="61" spans="1:43" ht="18.600000000000001" x14ac:dyDescent="0.35">
      <c r="A61" s="42" t="s">
        <v>0</v>
      </c>
      <c r="B61" s="43" t="s">
        <v>39</v>
      </c>
      <c r="C61" s="43" t="s">
        <v>40</v>
      </c>
      <c r="D61" s="43" t="s">
        <v>43</v>
      </c>
      <c r="E61" s="43" t="s">
        <v>44</v>
      </c>
      <c r="F61" s="43" t="s">
        <v>45</v>
      </c>
      <c r="G61" s="43" t="s">
        <v>41</v>
      </c>
      <c r="H61" s="43" t="s">
        <v>42</v>
      </c>
      <c r="I61" s="43" t="s">
        <v>46</v>
      </c>
      <c r="J61" s="43" t="s">
        <v>47</v>
      </c>
      <c r="K61" s="43" t="s">
        <v>48</v>
      </c>
      <c r="L61" s="43" t="s">
        <v>49</v>
      </c>
      <c r="M61" s="43" t="s">
        <v>50</v>
      </c>
      <c r="N61" s="43" t="s">
        <v>51</v>
      </c>
      <c r="O61" s="43" t="s">
        <v>53</v>
      </c>
      <c r="P61" s="43" t="s">
        <v>52</v>
      </c>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row>
    <row r="62" spans="1:43" ht="30" x14ac:dyDescent="0.35">
      <c r="A62" s="42" t="s">
        <v>82</v>
      </c>
      <c r="B62" s="44">
        <v>1</v>
      </c>
      <c r="C62" s="44">
        <v>1</v>
      </c>
      <c r="D62" s="44">
        <f>+'Default Values'!$C$3</f>
        <v>0.85</v>
      </c>
      <c r="E62" s="44">
        <f>+(1-'Default Values'!$C$4)</f>
        <v>1</v>
      </c>
      <c r="F62" s="44">
        <f>+'Default Values'!$C$5</f>
        <v>28</v>
      </c>
      <c r="G62" s="44">
        <f>+(1-'Default Values'!$C$6)</f>
        <v>0.9</v>
      </c>
      <c r="H62" s="44">
        <f>+'Default Values'!$C$7</f>
        <v>0.5</v>
      </c>
      <c r="I62" s="44">
        <f>+'Default Values'!$C$8</f>
        <v>0.5</v>
      </c>
      <c r="J62" s="44">
        <f>+'Default Values'!$C$9</f>
        <v>1</v>
      </c>
      <c r="K62" s="128">
        <f>'Previous verification data'!E19</f>
        <v>4510</v>
      </c>
      <c r="L62" s="44">
        <f>+'Default Values'!$C$10</f>
        <v>0.15</v>
      </c>
      <c r="M62" s="45">
        <f>+EXP((-'Default Values'!$C$11)*(C62-B62))</f>
        <v>1</v>
      </c>
      <c r="N62" s="46">
        <f>(1-EXP(-'Default Values'!$C$11))</f>
        <v>0.32967995396436067</v>
      </c>
      <c r="O62" s="46">
        <f>+'Default Values'!$C$25</f>
        <v>0.49959999999999999</v>
      </c>
      <c r="P62" s="128">
        <f>(D62*E62*F62*G62*(16/12)*H62*I62*J62*K62*L62*M62*N62)*(1-O62%)</f>
        <v>1584.4676630796455</v>
      </c>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row>
    <row r="63" spans="1:43" ht="16.2" x14ac:dyDescent="0.35">
      <c r="A63" s="47"/>
      <c r="B63" s="48"/>
      <c r="C63" s="48"/>
      <c r="D63" s="48"/>
      <c r="E63" s="48"/>
      <c r="F63" s="48"/>
      <c r="G63" s="48"/>
      <c r="H63" s="48"/>
      <c r="I63" s="48"/>
      <c r="J63" s="48"/>
      <c r="K63" s="129"/>
      <c r="L63" s="48"/>
      <c r="M63" s="48"/>
      <c r="N63" s="48"/>
      <c r="O63" s="49" t="s">
        <v>86</v>
      </c>
      <c r="P63" s="132">
        <f>SUM(P62)</f>
        <v>1584.4676630796455</v>
      </c>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row>
    <row r="64" spans="1:43" x14ac:dyDescent="0.35">
      <c r="A64" s="283" t="s">
        <v>85</v>
      </c>
      <c r="B64" s="44">
        <v>1</v>
      </c>
      <c r="C64" s="44">
        <v>2</v>
      </c>
      <c r="D64" s="44">
        <f>+'Default Values'!$C$3</f>
        <v>0.85</v>
      </c>
      <c r="E64" s="44">
        <f>+(1-'Default Values'!$C$4)</f>
        <v>1</v>
      </c>
      <c r="F64" s="44">
        <f>+'Default Values'!$C$5</f>
        <v>28</v>
      </c>
      <c r="G64" s="44">
        <f>+(1-'Default Values'!$C$6)</f>
        <v>0.9</v>
      </c>
      <c r="H64" s="44">
        <f>+'Default Values'!$C$7</f>
        <v>0.5</v>
      </c>
      <c r="I64" s="44">
        <f>+'Default Values'!$C$8</f>
        <v>0.5</v>
      </c>
      <c r="J64" s="44">
        <f>+'Default Values'!$C$9</f>
        <v>1</v>
      </c>
      <c r="K64" s="128">
        <f>K62</f>
        <v>4510</v>
      </c>
      <c r="L64" s="44">
        <f>+'Default Values'!$C$10</f>
        <v>0.15</v>
      </c>
      <c r="M64" s="45">
        <f>+EXP((-'Default Values'!$C$11)*(C64-B64))</f>
        <v>0.67032004603563933</v>
      </c>
      <c r="N64" s="46">
        <f>(1-EXP(-'Default Values'!$C$11))</f>
        <v>0.32967995396436067</v>
      </c>
      <c r="O64" s="46">
        <f>+'Default Values'!$C$25</f>
        <v>0.49959999999999999</v>
      </c>
      <c r="P64" s="128">
        <f>(D64*E64*F64*G64*(16/12)*H64*I64*J64*K64*L64*M64*N64)*(1-O64%)</f>
        <v>1062.1004368575298</v>
      </c>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row>
    <row r="65" spans="1:42" x14ac:dyDescent="0.35">
      <c r="A65" s="284"/>
      <c r="B65" s="44">
        <v>2</v>
      </c>
      <c r="C65" s="44">
        <v>2</v>
      </c>
      <c r="D65" s="44">
        <f>+'Default Values'!$C$3</f>
        <v>0.85</v>
      </c>
      <c r="E65" s="44">
        <f>+(1-'Default Values'!$C$4)</f>
        <v>1</v>
      </c>
      <c r="F65" s="44">
        <f>+'Default Values'!$C$5</f>
        <v>28</v>
      </c>
      <c r="G65" s="44">
        <f>+(1-'Default Values'!$C$6)</f>
        <v>0.9</v>
      </c>
      <c r="H65" s="44">
        <f>+'Default Values'!$C$7</f>
        <v>0.5</v>
      </c>
      <c r="I65" s="44">
        <f>+'Default Values'!$C$8</f>
        <v>0.5</v>
      </c>
      <c r="J65" s="44">
        <f>+'Default Values'!$C$9</f>
        <v>1</v>
      </c>
      <c r="K65" s="128">
        <f>'Previous verification data'!E20</f>
        <v>1823</v>
      </c>
      <c r="L65" s="44">
        <f>+'Default Values'!$C$10</f>
        <v>0.15</v>
      </c>
      <c r="M65" s="45">
        <f>+EXP((-'Default Values'!$C$11)*(C65-B65))</f>
        <v>1</v>
      </c>
      <c r="N65" s="46">
        <f>(1-EXP(-'Default Values'!$C$11))</f>
        <v>0.32967995396436067</v>
      </c>
      <c r="O65" s="46">
        <f>+'Default Values'!$C$25</f>
        <v>0.49959999999999999</v>
      </c>
      <c r="P65" s="128">
        <f>(D65*E65*F65*G65*(16/12)*H65*I65*J65*K65*L65*M65*N65)*(1-O65%)</f>
        <v>640.46220616279231</v>
      </c>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row>
    <row r="66" spans="1:42" ht="16.2" x14ac:dyDescent="0.35">
      <c r="A66" s="47"/>
      <c r="B66" s="47"/>
      <c r="C66" s="48"/>
      <c r="D66" s="48"/>
      <c r="E66" s="48"/>
      <c r="F66" s="48"/>
      <c r="G66" s="48"/>
      <c r="H66" s="48"/>
      <c r="I66" s="48"/>
      <c r="J66" s="48"/>
      <c r="K66" s="129"/>
      <c r="L66" s="48"/>
      <c r="M66" s="48"/>
      <c r="N66" s="48"/>
      <c r="O66" s="49" t="s">
        <v>87</v>
      </c>
      <c r="P66" s="132">
        <f>SUM(P64:P65)</f>
        <v>1702.562643020322</v>
      </c>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row>
    <row r="67" spans="1:42" x14ac:dyDescent="0.35">
      <c r="A67" s="283" t="s">
        <v>104</v>
      </c>
      <c r="B67" s="44">
        <v>1</v>
      </c>
      <c r="C67" s="44">
        <v>3</v>
      </c>
      <c r="D67" s="44">
        <f>+'Default Values'!$C$3</f>
        <v>0.85</v>
      </c>
      <c r="E67" s="44">
        <f>+(1-'Default Values'!$C$4)</f>
        <v>1</v>
      </c>
      <c r="F67" s="44">
        <f>+'Default Values'!$C$5</f>
        <v>28</v>
      </c>
      <c r="G67" s="44">
        <f>+(1-'Default Values'!$C$6)</f>
        <v>0.9</v>
      </c>
      <c r="H67" s="44">
        <f>+'Default Values'!$C$7</f>
        <v>0.5</v>
      </c>
      <c r="I67" s="44">
        <f>+'Default Values'!$C$8</f>
        <v>0.5</v>
      </c>
      <c r="J67" s="44">
        <f>+'Default Values'!$C$9</f>
        <v>1</v>
      </c>
      <c r="K67" s="128">
        <f>K62</f>
        <v>4510</v>
      </c>
      <c r="L67" s="44">
        <f>+'Default Values'!$C$10</f>
        <v>0.15</v>
      </c>
      <c r="M67" s="45">
        <f>+EXP((-'Default Values'!$C$11)*(C67-B67))</f>
        <v>0.44932896411722156</v>
      </c>
      <c r="N67" s="46">
        <f>(1-EXP(-'Default Values'!$C$11))</f>
        <v>0.32967995396436067</v>
      </c>
      <c r="O67" s="46">
        <f>+'Default Values'!$C$25</f>
        <v>0.49959999999999999</v>
      </c>
      <c r="P67" s="128">
        <f t="shared" ref="P67:P69" si="10">(D67*E67*F67*G67*(16/12)*H67*I67*J67*K67*L67*M67*N67)*(1-O67%)</f>
        <v>711.9472137288119</v>
      </c>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row>
    <row r="68" spans="1:42" x14ac:dyDescent="0.35">
      <c r="A68" s="285"/>
      <c r="B68" s="44">
        <v>2</v>
      </c>
      <c r="C68" s="44">
        <v>3</v>
      </c>
      <c r="D68" s="44">
        <f>+'Default Values'!$C$3</f>
        <v>0.85</v>
      </c>
      <c r="E68" s="44">
        <f>+(1-'Default Values'!$C$4)</f>
        <v>1</v>
      </c>
      <c r="F68" s="44">
        <f>+'Default Values'!$C$5</f>
        <v>28</v>
      </c>
      <c r="G68" s="44">
        <f>+(1-'Default Values'!$C$6)</f>
        <v>0.9</v>
      </c>
      <c r="H68" s="44">
        <f>+'Default Values'!$C$7</f>
        <v>0.5</v>
      </c>
      <c r="I68" s="44">
        <f>+'Default Values'!$C$8</f>
        <v>0.5</v>
      </c>
      <c r="J68" s="44">
        <f>+'Default Values'!$C$9</f>
        <v>1</v>
      </c>
      <c r="K68" s="128">
        <f>K65</f>
        <v>1823</v>
      </c>
      <c r="L68" s="44">
        <f>+'Default Values'!$C$10</f>
        <v>0.15</v>
      </c>
      <c r="M68" s="45">
        <f>+EXP((-'Default Values'!$C$11)*(C68-B68))</f>
        <v>0.67032004603563933</v>
      </c>
      <c r="N68" s="46">
        <f>(1-EXP(-'Default Values'!$C$11))</f>
        <v>0.32967995396436067</v>
      </c>
      <c r="O68" s="46">
        <f>+'Default Values'!$C$25</f>
        <v>0.49959999999999999</v>
      </c>
      <c r="P68" s="128">
        <f t="shared" si="10"/>
        <v>429.3146555191301</v>
      </c>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row>
    <row r="69" spans="1:42" x14ac:dyDescent="0.35">
      <c r="A69" s="284"/>
      <c r="B69" s="44">
        <v>3</v>
      </c>
      <c r="C69" s="44">
        <v>3</v>
      </c>
      <c r="D69" s="44">
        <f>+'Default Values'!$C$3</f>
        <v>0.85</v>
      </c>
      <c r="E69" s="44">
        <f>+(1-'Default Values'!$C$4)</f>
        <v>1</v>
      </c>
      <c r="F69" s="44">
        <f>+'Default Values'!$C$5</f>
        <v>28</v>
      </c>
      <c r="G69" s="44">
        <f>+(1-'Default Values'!$C$6)</f>
        <v>0.9</v>
      </c>
      <c r="H69" s="44">
        <f>+'Default Values'!$C$7</f>
        <v>0.5</v>
      </c>
      <c r="I69" s="44">
        <f>+'Default Values'!$C$8</f>
        <v>0.5</v>
      </c>
      <c r="J69" s="44">
        <f>+'Default Values'!$C$9</f>
        <v>1</v>
      </c>
      <c r="K69" s="128">
        <f>'Previous verification data'!E21</f>
        <v>3133</v>
      </c>
      <c r="L69" s="44">
        <f>+'Default Values'!$C$10</f>
        <v>0.15</v>
      </c>
      <c r="M69" s="45">
        <f>+EXP((-'Default Values'!$C$11)*(C69-B69))</f>
        <v>1</v>
      </c>
      <c r="N69" s="46">
        <f>(1-EXP(-'Default Values'!$C$11))</f>
        <v>0.32967995396436067</v>
      </c>
      <c r="O69" s="46">
        <f>+'Default Values'!$C$25</f>
        <v>0.49959999999999999</v>
      </c>
      <c r="P69" s="128">
        <f t="shared" si="10"/>
        <v>1100.6956071903612</v>
      </c>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row>
    <row r="70" spans="1:42" ht="30" x14ac:dyDescent="0.35">
      <c r="A70" s="42" t="s">
        <v>105</v>
      </c>
      <c r="B70" s="44">
        <v>3</v>
      </c>
      <c r="C70" s="44">
        <v>3</v>
      </c>
      <c r="D70" s="44">
        <f>+'Default Values'!$C$3</f>
        <v>0.85</v>
      </c>
      <c r="E70" s="44">
        <f>+(1-'Default Values'!$C$4)</f>
        <v>1</v>
      </c>
      <c r="F70" s="44">
        <f>+'Default Values'!$C$5</f>
        <v>28</v>
      </c>
      <c r="G70" s="44">
        <f>+(1-'Default Values'!$C$6)</f>
        <v>0.9</v>
      </c>
      <c r="H70" s="44">
        <f>+'Default Values'!$C$7</f>
        <v>0.5</v>
      </c>
      <c r="I70" s="44">
        <f>+'Default Values'!$C$8</f>
        <v>0.5</v>
      </c>
      <c r="J70" s="44">
        <f>+'Default Values'!$C$9</f>
        <v>1</v>
      </c>
      <c r="K70" s="128">
        <f>SUM('Data Sheet'!E34:E37)</f>
        <v>1468.9099999999999</v>
      </c>
      <c r="L70" s="44">
        <f>+'Default Values'!$C$10</f>
        <v>0.15</v>
      </c>
      <c r="M70" s="45">
        <f>+EXP((-'Default Values'!$C$11)*(C70-B70))</f>
        <v>1</v>
      </c>
      <c r="N70" s="46">
        <f>(1-EXP(-'Default Values'!$C$11))</f>
        <v>0.32967995396436067</v>
      </c>
      <c r="O70" s="46">
        <f>+'Default Values'!$C$25</f>
        <v>0.49959999999999999</v>
      </c>
      <c r="P70" s="128">
        <f t="shared" ref="P70" si="11">(D70*E70*F70*G70*(16/12)*H70*I70*J70*K70*L70*M70*N70)*(1-O70%)</f>
        <v>516.06217183466117</v>
      </c>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row>
    <row r="71" spans="1:42" ht="16.2" x14ac:dyDescent="0.35">
      <c r="A71" s="50"/>
      <c r="B71" s="51"/>
      <c r="C71" s="51"/>
      <c r="D71" s="51"/>
      <c r="E71" s="51"/>
      <c r="F71" s="51"/>
      <c r="G71" s="51"/>
      <c r="H71" s="51"/>
      <c r="I71" s="51"/>
      <c r="J71" s="51"/>
      <c r="K71" s="130"/>
      <c r="L71" s="51"/>
      <c r="M71" s="51"/>
      <c r="N71" s="51"/>
      <c r="O71" s="49" t="s">
        <v>88</v>
      </c>
      <c r="P71" s="132">
        <f>SUM(P67:P70)</f>
        <v>2758.0196482729643</v>
      </c>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row>
    <row r="72" spans="1:42" ht="15.75" customHeight="1" x14ac:dyDescent="0.35">
      <c r="A72" s="286" t="s">
        <v>106</v>
      </c>
      <c r="B72" s="44">
        <v>1</v>
      </c>
      <c r="C72" s="44">
        <v>4</v>
      </c>
      <c r="D72" s="44">
        <f>+'Default Values'!$C$3</f>
        <v>0.85</v>
      </c>
      <c r="E72" s="44">
        <f>+(1-'Default Values'!$C$4)</f>
        <v>1</v>
      </c>
      <c r="F72" s="44">
        <f>+'Default Values'!$C$5</f>
        <v>28</v>
      </c>
      <c r="G72" s="44">
        <f>+(1-'Default Values'!$C$6)</f>
        <v>0.9</v>
      </c>
      <c r="H72" s="44">
        <f>+'Default Values'!$C$7</f>
        <v>0.5</v>
      </c>
      <c r="I72" s="44">
        <f>+'Default Values'!$C$8</f>
        <v>0.5</v>
      </c>
      <c r="J72" s="44">
        <f>+'Default Values'!$C$9</f>
        <v>1</v>
      </c>
      <c r="K72" s="128">
        <f>K62</f>
        <v>4510</v>
      </c>
      <c r="L72" s="44">
        <f>+'Default Values'!$C$10</f>
        <v>0.15</v>
      </c>
      <c r="M72" s="45">
        <f>+EXP((-'Default Values'!$C$11)*(C72-B72))</f>
        <v>0.30119421191220203</v>
      </c>
      <c r="N72" s="46">
        <f>(1-EXP(-'Default Values'!$C$11))</f>
        <v>0.32967995396436067</v>
      </c>
      <c r="O72" s="46">
        <f>+'Default Values'!$C$25</f>
        <v>0.49959999999999999</v>
      </c>
      <c r="P72" s="128">
        <f t="shared" ref="P72:P75" si="12">(D72*E72*F72*G72*(16/12)*H72*I72*J72*K72*L72*M72*N72)*(1-O72%)</f>
        <v>477.2324890816422</v>
      </c>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row>
    <row r="73" spans="1:42" x14ac:dyDescent="0.35">
      <c r="A73" s="287"/>
      <c r="B73" s="44">
        <v>2</v>
      </c>
      <c r="C73" s="44">
        <v>4</v>
      </c>
      <c r="D73" s="44">
        <f>+'Default Values'!$C$3</f>
        <v>0.85</v>
      </c>
      <c r="E73" s="44">
        <f>+(1-'Default Values'!$C$4)</f>
        <v>1</v>
      </c>
      <c r="F73" s="44">
        <f>+'Default Values'!$C$5</f>
        <v>28</v>
      </c>
      <c r="G73" s="44">
        <f>+(1-'Default Values'!$C$6)</f>
        <v>0.9</v>
      </c>
      <c r="H73" s="44">
        <f>+'Default Values'!$C$7</f>
        <v>0.5</v>
      </c>
      <c r="I73" s="44">
        <f>+'Default Values'!$C$8</f>
        <v>0.5</v>
      </c>
      <c r="J73" s="44">
        <f>+'Default Values'!$C$9</f>
        <v>1</v>
      </c>
      <c r="K73" s="128">
        <f>K65</f>
        <v>1823</v>
      </c>
      <c r="L73" s="44">
        <f>+'Default Values'!$C$10</f>
        <v>0.15</v>
      </c>
      <c r="M73" s="45">
        <f>+EXP((-'Default Values'!$C$11)*(C73-B73))</f>
        <v>0.44932896411722156</v>
      </c>
      <c r="N73" s="46">
        <f>(1-EXP(-'Default Values'!$C$11))</f>
        <v>0.32967995396436067</v>
      </c>
      <c r="O73" s="46">
        <f>+'Default Values'!$C$25</f>
        <v>0.49959999999999999</v>
      </c>
      <c r="P73" s="128">
        <f t="shared" si="12"/>
        <v>287.77821965135792</v>
      </c>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row>
    <row r="74" spans="1:42" x14ac:dyDescent="0.35">
      <c r="A74" s="287"/>
      <c r="B74" s="44">
        <v>3</v>
      </c>
      <c r="C74" s="44">
        <v>4</v>
      </c>
      <c r="D74" s="44">
        <f>+'Default Values'!$C$3</f>
        <v>0.85</v>
      </c>
      <c r="E74" s="44">
        <f>+(1-'Default Values'!$C$4)</f>
        <v>1</v>
      </c>
      <c r="F74" s="44">
        <f>+'Default Values'!$C$5</f>
        <v>28</v>
      </c>
      <c r="G74" s="44">
        <f>+(1-'Default Values'!$C$6)</f>
        <v>0.9</v>
      </c>
      <c r="H74" s="44">
        <f>+'Default Values'!$C$7</f>
        <v>0.5</v>
      </c>
      <c r="I74" s="44">
        <f>+'Default Values'!$C$8</f>
        <v>0.5</v>
      </c>
      <c r="J74" s="44">
        <f>+'Default Values'!$C$9</f>
        <v>1</v>
      </c>
      <c r="K74" s="128">
        <f>K69+K70</f>
        <v>4601.91</v>
      </c>
      <c r="L74" s="44">
        <f>+'Default Values'!$C$10</f>
        <v>0.15</v>
      </c>
      <c r="M74" s="45">
        <f>+EXP((-'Default Values'!$C$11)*(C74-B74))</f>
        <v>0.67032004603563933</v>
      </c>
      <c r="N74" s="46">
        <f>(1-EXP(-'Default Values'!$C$11))</f>
        <v>0.32967995396436067</v>
      </c>
      <c r="O74" s="46">
        <f>+'Default Values'!$C$25</f>
        <v>0.49959999999999999</v>
      </c>
      <c r="P74" s="128">
        <f t="shared" si="12"/>
        <v>1083.7451488645311</v>
      </c>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row>
    <row r="75" spans="1:42" x14ac:dyDescent="0.35">
      <c r="A75" s="288"/>
      <c r="B75" s="44">
        <v>4</v>
      </c>
      <c r="C75" s="44">
        <v>4</v>
      </c>
      <c r="D75" s="44">
        <f>+'Default Values'!$C$3</f>
        <v>0.85</v>
      </c>
      <c r="E75" s="44">
        <f>+(1-'Default Values'!$C$4)</f>
        <v>1</v>
      </c>
      <c r="F75" s="44">
        <f>+'Default Values'!$C$5</f>
        <v>28</v>
      </c>
      <c r="G75" s="44">
        <f>+(1-'Default Values'!$C$6)</f>
        <v>0.9</v>
      </c>
      <c r="H75" s="44">
        <f>+'Default Values'!$C$7</f>
        <v>0.5</v>
      </c>
      <c r="I75" s="44">
        <f>+'Default Values'!$C$8</f>
        <v>0.5</v>
      </c>
      <c r="J75" s="44">
        <f>+'Default Values'!$C$9</f>
        <v>1</v>
      </c>
      <c r="K75" s="128">
        <f>SUM('Data Sheet'!E38:E45)</f>
        <v>3328.15</v>
      </c>
      <c r="L75" s="44">
        <f>+'Default Values'!$C$10</f>
        <v>0.15</v>
      </c>
      <c r="M75" s="45">
        <f>+EXP((-'Default Values'!$C$11)*(C75-B75))</f>
        <v>1</v>
      </c>
      <c r="N75" s="46">
        <f>(1-EXP(-'Default Values'!$C$11))</f>
        <v>0.32967995396436067</v>
      </c>
      <c r="O75" s="46">
        <f>+'Default Values'!$C$25</f>
        <v>0.49959999999999999</v>
      </c>
      <c r="P75" s="128">
        <f t="shared" si="12"/>
        <v>1169.2563310151934</v>
      </c>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row>
    <row r="76" spans="1:42" ht="30" x14ac:dyDescent="0.35">
      <c r="A76" s="73" t="s">
        <v>129</v>
      </c>
      <c r="B76" s="44">
        <v>4</v>
      </c>
      <c r="C76" s="44">
        <v>4</v>
      </c>
      <c r="D76" s="44">
        <f>+'Default Values'!$C$3</f>
        <v>0.85</v>
      </c>
      <c r="E76" s="44">
        <f>+(1-'Default Values'!$C$4)</f>
        <v>1</v>
      </c>
      <c r="F76" s="44">
        <f>+'Default Values'!$C$5</f>
        <v>28</v>
      </c>
      <c r="G76" s="44">
        <f>+(1-'Default Values'!$C$6)</f>
        <v>0.9</v>
      </c>
      <c r="H76" s="44">
        <f>+'Default Values'!$C$7</f>
        <v>0.5</v>
      </c>
      <c r="I76" s="44">
        <f>+'Default Values'!$C$8</f>
        <v>0.5</v>
      </c>
      <c r="J76" s="44">
        <f>+'Default Values'!$C$9</f>
        <v>1</v>
      </c>
      <c r="K76" s="128">
        <f>SUM('Data Sheet'!E46:E49)</f>
        <v>1720.0899999999997</v>
      </c>
      <c r="L76" s="44">
        <f>+'Default Values'!$C$10</f>
        <v>0.15</v>
      </c>
      <c r="M76" s="45">
        <f>+EXP((-'Default Values'!$C$11)*(C76-B76))</f>
        <v>1</v>
      </c>
      <c r="N76" s="46">
        <f>(1-EXP(-'Default Values'!$C$11))</f>
        <v>0.32967995396436067</v>
      </c>
      <c r="O76" s="46">
        <f>+'Default Values'!$C$25</f>
        <v>0.49959999999999999</v>
      </c>
      <c r="P76" s="128">
        <f t="shared" ref="P76" si="13">(D76*E76*F76*G76*(16/12)*H76*I76*J76*K76*L76*M76*N76)*(1-O76%)</f>
        <v>604.30753494161127</v>
      </c>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row>
    <row r="77" spans="1:42" ht="16.2" x14ac:dyDescent="0.35">
      <c r="A77" s="52"/>
      <c r="B77" s="52"/>
      <c r="C77" s="52"/>
      <c r="D77" s="52"/>
      <c r="E77" s="52"/>
      <c r="F77" s="52"/>
      <c r="G77" s="52"/>
      <c r="H77" s="52"/>
      <c r="I77" s="52"/>
      <c r="J77" s="52"/>
      <c r="K77" s="131"/>
      <c r="L77" s="52"/>
      <c r="M77" s="52"/>
      <c r="N77" s="52"/>
      <c r="O77" s="49" t="s">
        <v>89</v>
      </c>
      <c r="P77" s="132">
        <f>SUM(P72:P76)</f>
        <v>3622.3197235543357</v>
      </c>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row>
    <row r="78" spans="1:42" ht="31.5" customHeight="1" x14ac:dyDescent="0.35">
      <c r="A78" s="286" t="s">
        <v>130</v>
      </c>
      <c r="B78" s="44">
        <v>1</v>
      </c>
      <c r="C78" s="44">
        <v>5</v>
      </c>
      <c r="D78" s="44">
        <f>+'Default Values'!$C$3</f>
        <v>0.85</v>
      </c>
      <c r="E78" s="44">
        <f>+(1-'Default Values'!$C$4)</f>
        <v>1</v>
      </c>
      <c r="F78" s="44">
        <f>+'Default Values'!$C$5</f>
        <v>28</v>
      </c>
      <c r="G78" s="44">
        <f>+(1-'Default Values'!$C$6)</f>
        <v>0.9</v>
      </c>
      <c r="H78" s="44">
        <f>+'Default Values'!$C$7</f>
        <v>0.5</v>
      </c>
      <c r="I78" s="44">
        <f>+'Default Values'!$C$8</f>
        <v>0.5</v>
      </c>
      <c r="J78" s="44">
        <f>+'Default Values'!$C$9</f>
        <v>1</v>
      </c>
      <c r="K78" s="128">
        <f>K62</f>
        <v>4510</v>
      </c>
      <c r="L78" s="44">
        <f>+'Default Values'!$C$10</f>
        <v>0.15</v>
      </c>
      <c r="M78" s="45">
        <f>+EXP((-'Default Values'!$C$11)*(C78-B78))</f>
        <v>0.20189651799465538</v>
      </c>
      <c r="N78" s="46">
        <f>(1-EXP(-'Default Values'!$C$11))</f>
        <v>0.32967995396436067</v>
      </c>
      <c r="O78" s="46">
        <f>+'Default Values'!$C$25</f>
        <v>0.49959999999999999</v>
      </c>
      <c r="P78" s="128">
        <f t="shared" ref="P78" si="14">(D78*E78*F78*G78*(16/12)*H78*I78*J78*K78*L78*M78*N78)*(1-O78%)</f>
        <v>319.8985040509092</v>
      </c>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row>
    <row r="79" spans="1:42" x14ac:dyDescent="0.35">
      <c r="A79" s="287"/>
      <c r="B79" s="44">
        <v>2</v>
      </c>
      <c r="C79" s="44">
        <v>5</v>
      </c>
      <c r="D79" s="44">
        <f>+'Default Values'!$C$3</f>
        <v>0.85</v>
      </c>
      <c r="E79" s="44">
        <f>+(1-'Default Values'!$C$4)</f>
        <v>1</v>
      </c>
      <c r="F79" s="44">
        <f>+'Default Values'!$C$5</f>
        <v>28</v>
      </c>
      <c r="G79" s="44">
        <f>+(1-'Default Values'!$C$6)</f>
        <v>0.9</v>
      </c>
      <c r="H79" s="44">
        <f>+'Default Values'!$C$7</f>
        <v>0.5</v>
      </c>
      <c r="I79" s="44">
        <f>+'Default Values'!$C$8</f>
        <v>0.5</v>
      </c>
      <c r="J79" s="44">
        <f>+'Default Values'!$C$9</f>
        <v>1</v>
      </c>
      <c r="K79" s="128">
        <f>K65</f>
        <v>1823</v>
      </c>
      <c r="L79" s="44">
        <f>+'Default Values'!$C$10</f>
        <v>0.15</v>
      </c>
      <c r="M79" s="45">
        <f>+EXP((-'Default Values'!$C$11)*(C79-B79))</f>
        <v>0.30119421191220203</v>
      </c>
      <c r="N79" s="46">
        <f>(1-EXP(-'Default Values'!$C$11))</f>
        <v>0.32967995396436067</v>
      </c>
      <c r="O79" s="46">
        <f>+'Default Values'!$C$25</f>
        <v>0.49959999999999999</v>
      </c>
      <c r="P79" s="128">
        <f t="shared" ref="P79:P82" si="15">(D79*E79*F79*G79*(16/12)*H79*I79*J79*K79*L79*M79*N79)*(1-O79%)</f>
        <v>192.9035094447525</v>
      </c>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row>
    <row r="80" spans="1:42" x14ac:dyDescent="0.35">
      <c r="A80" s="287"/>
      <c r="B80" s="44">
        <v>3</v>
      </c>
      <c r="C80" s="44">
        <v>5</v>
      </c>
      <c r="D80" s="44">
        <f>+'Default Values'!$C$3</f>
        <v>0.85</v>
      </c>
      <c r="E80" s="44">
        <f>+(1-'Default Values'!$C$4)</f>
        <v>1</v>
      </c>
      <c r="F80" s="44">
        <f>+'Default Values'!$C$5</f>
        <v>28</v>
      </c>
      <c r="G80" s="44">
        <f>+(1-'Default Values'!$C$6)</f>
        <v>0.9</v>
      </c>
      <c r="H80" s="44">
        <f>+'Default Values'!$C$7</f>
        <v>0.5</v>
      </c>
      <c r="I80" s="44">
        <f>+'Default Values'!$C$8</f>
        <v>0.5</v>
      </c>
      <c r="J80" s="44">
        <f>+'Default Values'!$C$9</f>
        <v>1</v>
      </c>
      <c r="K80" s="128">
        <f>K74</f>
        <v>4601.91</v>
      </c>
      <c r="L80" s="44">
        <f>+'Default Values'!$C$10</f>
        <v>0.15</v>
      </c>
      <c r="M80" s="45">
        <f>+EXP((-'Default Values'!$C$11)*(C80-B80))</f>
        <v>0.44932896411722156</v>
      </c>
      <c r="N80" s="46">
        <f>(1-EXP(-'Default Values'!$C$11))</f>
        <v>0.32967995396436067</v>
      </c>
      <c r="O80" s="46">
        <f>+'Default Values'!$C$25</f>
        <v>0.49959999999999999</v>
      </c>
      <c r="P80" s="128">
        <f t="shared" si="15"/>
        <v>726.45609807777305</v>
      </c>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row>
    <row r="81" spans="1:42" x14ac:dyDescent="0.35">
      <c r="A81" s="287"/>
      <c r="B81" s="44">
        <v>4</v>
      </c>
      <c r="C81" s="44">
        <v>5</v>
      </c>
      <c r="D81" s="44">
        <f>+'Default Values'!$C$3</f>
        <v>0.85</v>
      </c>
      <c r="E81" s="44">
        <f>+(1-'Default Values'!$C$4)</f>
        <v>1</v>
      </c>
      <c r="F81" s="44">
        <f>+'Default Values'!$C$5</f>
        <v>28</v>
      </c>
      <c r="G81" s="44">
        <f>+(1-'Default Values'!$C$6)</f>
        <v>0.9</v>
      </c>
      <c r="H81" s="44">
        <f>+'Default Values'!$C$7</f>
        <v>0.5</v>
      </c>
      <c r="I81" s="44">
        <f>+'Default Values'!$C$8</f>
        <v>0.5</v>
      </c>
      <c r="J81" s="44">
        <f>+'Default Values'!$C$9</f>
        <v>1</v>
      </c>
      <c r="K81" s="128">
        <f>K75+K76</f>
        <v>5048.24</v>
      </c>
      <c r="L81" s="44">
        <f>+'Default Values'!$C$10</f>
        <v>0.15</v>
      </c>
      <c r="M81" s="45">
        <f>+EXP((-'Default Values'!$C$11)*(C81-B81))</f>
        <v>0.67032004603563933</v>
      </c>
      <c r="N81" s="46">
        <f>(1-EXP(-'Default Values'!$C$11))</f>
        <v>0.32967995396436067</v>
      </c>
      <c r="O81" s="46">
        <f>+'Default Values'!$C$25</f>
        <v>0.49959999999999999</v>
      </c>
      <c r="P81" s="128">
        <f t="shared" si="15"/>
        <v>1188.8554122753119</v>
      </c>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row>
    <row r="82" spans="1:42" x14ac:dyDescent="0.35">
      <c r="A82" s="288"/>
      <c r="B82" s="44">
        <v>5</v>
      </c>
      <c r="C82" s="44">
        <v>5</v>
      </c>
      <c r="D82" s="44">
        <f>+'Default Values'!$C$3</f>
        <v>0.85</v>
      </c>
      <c r="E82" s="44">
        <f>+(1-'Default Values'!$C$4)</f>
        <v>1</v>
      </c>
      <c r="F82" s="44">
        <f>+'Default Values'!$C$5</f>
        <v>28</v>
      </c>
      <c r="G82" s="44">
        <f>+(1-'Default Values'!$C$6)</f>
        <v>0.9</v>
      </c>
      <c r="H82" s="44">
        <f>+'Default Values'!$C$7</f>
        <v>0.5</v>
      </c>
      <c r="I82" s="44">
        <f>+'Default Values'!$C$8</f>
        <v>0.5</v>
      </c>
      <c r="J82" s="44">
        <f>+'Default Values'!$C$9</f>
        <v>1</v>
      </c>
      <c r="K82" s="128">
        <f>SUM('Data Sheet'!E50:E56)</f>
        <v>3089.12</v>
      </c>
      <c r="L82" s="44">
        <f>+'Default Values'!$C$10</f>
        <v>0.15</v>
      </c>
      <c r="M82" s="45">
        <f>+EXP((-'Default Values'!$C$11)*(C82-B82))</f>
        <v>1</v>
      </c>
      <c r="N82" s="46">
        <f>(1-EXP(-'Default Values'!$C$11))</f>
        <v>0.32967995396436067</v>
      </c>
      <c r="O82" s="46">
        <f>+'Default Values'!$C$25</f>
        <v>0.49959999999999999</v>
      </c>
      <c r="P82" s="128">
        <f t="shared" si="15"/>
        <v>1085.2795448719721</v>
      </c>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row>
    <row r="83" spans="1:42" ht="16.2" x14ac:dyDescent="0.35">
      <c r="A83" s="100"/>
      <c r="B83" s="52"/>
      <c r="C83" s="52"/>
      <c r="D83" s="52"/>
      <c r="E83" s="52"/>
      <c r="F83" s="52"/>
      <c r="G83" s="52"/>
      <c r="H83" s="52"/>
      <c r="I83" s="52"/>
      <c r="J83" s="52"/>
      <c r="K83" s="52"/>
      <c r="L83" s="52"/>
      <c r="M83" s="52"/>
      <c r="N83" s="101"/>
      <c r="O83" s="49" t="s">
        <v>89</v>
      </c>
      <c r="P83" s="132">
        <f>SUM(P78:P82)</f>
        <v>3513.3930687207189</v>
      </c>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row>
    <row r="84" spans="1:42" x14ac:dyDescent="0.35">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row>
    <row r="85" spans="1:42" x14ac:dyDescent="0.35">
      <c r="A85" s="289" t="s">
        <v>27</v>
      </c>
      <c r="B85" s="289"/>
      <c r="C85" s="289"/>
      <c r="D85" s="289"/>
      <c r="E85" s="289"/>
      <c r="F85" s="289"/>
      <c r="G85" s="289"/>
      <c r="H85" s="289"/>
      <c r="I85" s="289"/>
      <c r="J85" s="289"/>
      <c r="K85" s="289"/>
      <c r="L85" s="289"/>
      <c r="M85" s="289"/>
      <c r="N85" s="289"/>
      <c r="O85" s="289"/>
      <c r="P85" s="289"/>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row>
    <row r="86" spans="1:42" x14ac:dyDescent="0.35">
      <c r="A86" s="289" t="s">
        <v>19</v>
      </c>
      <c r="B86" s="289"/>
      <c r="C86" s="289"/>
      <c r="D86" s="289"/>
      <c r="E86" s="289"/>
      <c r="F86" s="289"/>
      <c r="G86" s="289"/>
      <c r="H86" s="289"/>
      <c r="I86" s="289"/>
      <c r="J86" s="289"/>
      <c r="K86" s="289"/>
      <c r="L86" s="289"/>
      <c r="M86" s="289"/>
      <c r="N86" s="289"/>
      <c r="O86" s="289"/>
      <c r="P86" s="289"/>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row>
    <row r="87" spans="1:42" ht="18.600000000000001" x14ac:dyDescent="0.35">
      <c r="A87" s="107" t="s">
        <v>0</v>
      </c>
      <c r="B87" s="108" t="s">
        <v>39</v>
      </c>
      <c r="C87" s="108" t="s">
        <v>40</v>
      </c>
      <c r="D87" s="108" t="s">
        <v>43</v>
      </c>
      <c r="E87" s="108" t="s">
        <v>44</v>
      </c>
      <c r="F87" s="108" t="s">
        <v>45</v>
      </c>
      <c r="G87" s="108" t="s">
        <v>41</v>
      </c>
      <c r="H87" s="108" t="s">
        <v>42</v>
      </c>
      <c r="I87" s="108" t="s">
        <v>46</v>
      </c>
      <c r="J87" s="108" t="s">
        <v>47</v>
      </c>
      <c r="K87" s="108" t="s">
        <v>48</v>
      </c>
      <c r="L87" s="108" t="s">
        <v>49</v>
      </c>
      <c r="M87" s="108" t="s">
        <v>50</v>
      </c>
      <c r="N87" s="108" t="s">
        <v>51</v>
      </c>
      <c r="O87" s="108" t="s">
        <v>53</v>
      </c>
      <c r="P87" s="108" t="s">
        <v>52</v>
      </c>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row>
    <row r="88" spans="1:42" ht="30" x14ac:dyDescent="0.35">
      <c r="A88" s="107" t="s">
        <v>82</v>
      </c>
      <c r="B88" s="109">
        <v>1</v>
      </c>
      <c r="C88" s="109">
        <v>1</v>
      </c>
      <c r="D88" s="109">
        <f>+'Default Values'!$C$3</f>
        <v>0.85</v>
      </c>
      <c r="E88" s="109">
        <f>+(1-'Default Values'!$C$4)</f>
        <v>1</v>
      </c>
      <c r="F88" s="109">
        <f>+'Default Values'!$C$5</f>
        <v>28</v>
      </c>
      <c r="G88" s="109">
        <f>+(1-'Default Values'!$C$6)</f>
        <v>0.9</v>
      </c>
      <c r="H88" s="109">
        <f>+'Default Values'!$C$7</f>
        <v>0.5</v>
      </c>
      <c r="I88" s="109">
        <f>+'Default Values'!$C$8</f>
        <v>0.5</v>
      </c>
      <c r="J88" s="109">
        <f>+'Default Values'!$C$9</f>
        <v>1</v>
      </c>
      <c r="K88" s="133">
        <f>'Previous verification data'!E26</f>
        <v>2679</v>
      </c>
      <c r="L88" s="109">
        <f>+'Default Values'!$C$10</f>
        <v>0.15</v>
      </c>
      <c r="M88" s="111">
        <f>+EXP((-'Default Values'!$C$11)*(C88-B88))</f>
        <v>1</v>
      </c>
      <c r="N88" s="110">
        <f>(1-EXP(-'Default Values'!$C$11))</f>
        <v>0.32967995396436067</v>
      </c>
      <c r="O88" s="110">
        <f>+'Default Values'!$C$25</f>
        <v>0.49959999999999999</v>
      </c>
      <c r="P88" s="133">
        <f>(D88*E88*F88*G88*(16/12)*H88*I88*J88*K88*L88*M88*N88)*(1-O88%)</f>
        <v>941.19487126172282</v>
      </c>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row>
    <row r="89" spans="1:42" ht="16.2" x14ac:dyDescent="0.35">
      <c r="A89" s="102"/>
      <c r="B89" s="103"/>
      <c r="C89" s="103"/>
      <c r="D89" s="103"/>
      <c r="E89" s="103"/>
      <c r="F89" s="103"/>
      <c r="G89" s="103"/>
      <c r="H89" s="103"/>
      <c r="I89" s="103"/>
      <c r="J89" s="103"/>
      <c r="K89" s="134"/>
      <c r="L89" s="103"/>
      <c r="M89" s="103"/>
      <c r="N89" s="103"/>
      <c r="O89" s="104" t="s">
        <v>86</v>
      </c>
      <c r="P89" s="137">
        <f>SUM(P88)</f>
        <v>941.19487126172282</v>
      </c>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row>
    <row r="90" spans="1:42" x14ac:dyDescent="0.35">
      <c r="A90" s="290" t="s">
        <v>85</v>
      </c>
      <c r="B90" s="109">
        <v>1</v>
      </c>
      <c r="C90" s="109">
        <v>2</v>
      </c>
      <c r="D90" s="109">
        <f>+'Default Values'!$C$3</f>
        <v>0.85</v>
      </c>
      <c r="E90" s="109">
        <f>+(1-'Default Values'!$C$4)</f>
        <v>1</v>
      </c>
      <c r="F90" s="109">
        <f>+'Default Values'!$C$5</f>
        <v>28</v>
      </c>
      <c r="G90" s="109">
        <f>+(1-'Default Values'!$C$6)</f>
        <v>0.9</v>
      </c>
      <c r="H90" s="109">
        <f>+'Default Values'!$C$7</f>
        <v>0.5</v>
      </c>
      <c r="I90" s="109">
        <f>+'Default Values'!$C$8</f>
        <v>0.5</v>
      </c>
      <c r="J90" s="109">
        <f>+'Default Values'!$C$9</f>
        <v>1</v>
      </c>
      <c r="K90" s="133">
        <f>K88</f>
        <v>2679</v>
      </c>
      <c r="L90" s="109">
        <f>+'Default Values'!$C$10</f>
        <v>0.15</v>
      </c>
      <c r="M90" s="111">
        <f>+EXP((-'Default Values'!$C$11)*(C90-B90))</f>
        <v>0.67032004603563933</v>
      </c>
      <c r="N90" s="110">
        <f>(1-EXP(-'Default Values'!$C$11))</f>
        <v>0.32967995396436067</v>
      </c>
      <c r="O90" s="110">
        <f>+'Default Values'!$C$25</f>
        <v>0.49959999999999999</v>
      </c>
      <c r="P90" s="133">
        <f>(D90*E90*F90*G90*(16/12)*H90*I90*J90*K90*L90*M90*N90)*(1-O90%)</f>
        <v>630.90178943266562</v>
      </c>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row>
    <row r="91" spans="1:42" x14ac:dyDescent="0.35">
      <c r="A91" s="291"/>
      <c r="B91" s="109">
        <v>2</v>
      </c>
      <c r="C91" s="109">
        <v>2</v>
      </c>
      <c r="D91" s="109">
        <f>+'Default Values'!$C$3</f>
        <v>0.85</v>
      </c>
      <c r="E91" s="109">
        <f>+(1-'Default Values'!$C$4)</f>
        <v>1</v>
      </c>
      <c r="F91" s="109">
        <f>+'Default Values'!$C$5</f>
        <v>28</v>
      </c>
      <c r="G91" s="109">
        <f>+(1-'Default Values'!$C$6)</f>
        <v>0.9</v>
      </c>
      <c r="H91" s="109">
        <f>+'Default Values'!$C$7</f>
        <v>0.5</v>
      </c>
      <c r="I91" s="109">
        <f>+'Default Values'!$C$8</f>
        <v>0.5</v>
      </c>
      <c r="J91" s="109">
        <f>+'Default Values'!$C$9</f>
        <v>1</v>
      </c>
      <c r="K91" s="133">
        <f>'Previous verification data'!E27</f>
        <v>1680</v>
      </c>
      <c r="L91" s="109">
        <f>+'Default Values'!$C$10</f>
        <v>0.15</v>
      </c>
      <c r="M91" s="111">
        <f>+EXP((-'Default Values'!$C$11)*(C91-B91))</f>
        <v>1</v>
      </c>
      <c r="N91" s="110">
        <f>(1-EXP(-'Default Values'!$C$11))</f>
        <v>0.32967995396436067</v>
      </c>
      <c r="O91" s="110">
        <f>+'Default Values'!$C$25</f>
        <v>0.49959999999999999</v>
      </c>
      <c r="P91" s="133">
        <f>(D91*E91*F91*G91*(16/12)*H91*I91*J91*K91*L91*M91*N91)*(1-O91%)</f>
        <v>590.22298757734018</v>
      </c>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row>
    <row r="92" spans="1:42" ht="16.2" x14ac:dyDescent="0.35">
      <c r="A92" s="102"/>
      <c r="B92" s="102"/>
      <c r="C92" s="103"/>
      <c r="D92" s="103"/>
      <c r="E92" s="103"/>
      <c r="F92" s="103"/>
      <c r="G92" s="103"/>
      <c r="H92" s="103"/>
      <c r="I92" s="103"/>
      <c r="J92" s="103"/>
      <c r="K92" s="134"/>
      <c r="L92" s="103"/>
      <c r="M92" s="103"/>
      <c r="N92" s="103"/>
      <c r="O92" s="104" t="s">
        <v>87</v>
      </c>
      <c r="P92" s="137">
        <f>SUM(P90:P91)</f>
        <v>1221.1247770100058</v>
      </c>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row>
    <row r="93" spans="1:42" ht="15.75" customHeight="1" x14ac:dyDescent="0.35">
      <c r="A93" s="279" t="s">
        <v>104</v>
      </c>
      <c r="B93" s="109">
        <v>1</v>
      </c>
      <c r="C93" s="109">
        <v>3</v>
      </c>
      <c r="D93" s="109">
        <f>+'Default Values'!$C$3</f>
        <v>0.85</v>
      </c>
      <c r="E93" s="109">
        <f>+(1-'Default Values'!$C$4)</f>
        <v>1</v>
      </c>
      <c r="F93" s="109">
        <f>+'Default Values'!$C$5</f>
        <v>28</v>
      </c>
      <c r="G93" s="109">
        <f>+(1-'Default Values'!$C$6)</f>
        <v>0.9</v>
      </c>
      <c r="H93" s="109">
        <f>+'Default Values'!$C$7</f>
        <v>0.5</v>
      </c>
      <c r="I93" s="109">
        <f>+'Default Values'!$C$8</f>
        <v>0.5</v>
      </c>
      <c r="J93" s="109">
        <f>+'Default Values'!$C$9</f>
        <v>1</v>
      </c>
      <c r="K93" s="133">
        <f>K88</f>
        <v>2679</v>
      </c>
      <c r="L93" s="109">
        <f>+'Default Values'!$C$10</f>
        <v>0.15</v>
      </c>
      <c r="M93" s="111">
        <f>+EXP((-'Default Values'!$C$11)*(C93-B93))</f>
        <v>0.44932896411722156</v>
      </c>
      <c r="N93" s="110">
        <f>(1-EXP(-'Default Values'!$C$11))</f>
        <v>0.32967995396436067</v>
      </c>
      <c r="O93" s="110">
        <f>+'Default Values'!$C$25</f>
        <v>0.49959999999999999</v>
      </c>
      <c r="P93" s="133">
        <f t="shared" ref="P93:P95" si="16">(D93*E93*F93*G93*(16/12)*H93*I93*J93*K93*L93*M93*N93)*(1-O93%)</f>
        <v>422.9061165364717</v>
      </c>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row>
    <row r="94" spans="1:42" x14ac:dyDescent="0.35">
      <c r="A94" s="280"/>
      <c r="B94" s="109">
        <v>2</v>
      </c>
      <c r="C94" s="109">
        <v>3</v>
      </c>
      <c r="D94" s="109">
        <f>+'Default Values'!$C$3</f>
        <v>0.85</v>
      </c>
      <c r="E94" s="109">
        <f>+(1-'Default Values'!$C$4)</f>
        <v>1</v>
      </c>
      <c r="F94" s="109">
        <f>+'Default Values'!$C$5</f>
        <v>28</v>
      </c>
      <c r="G94" s="109">
        <f>+(1-'Default Values'!$C$6)</f>
        <v>0.9</v>
      </c>
      <c r="H94" s="109">
        <f>+'Default Values'!$C$7</f>
        <v>0.5</v>
      </c>
      <c r="I94" s="109">
        <f>+'Default Values'!$C$8</f>
        <v>0.5</v>
      </c>
      <c r="J94" s="109">
        <f>+'Default Values'!$C$9</f>
        <v>1</v>
      </c>
      <c r="K94" s="133">
        <f>K91</f>
        <v>1680</v>
      </c>
      <c r="L94" s="109">
        <f>+'Default Values'!$C$10</f>
        <v>0.15</v>
      </c>
      <c r="M94" s="111">
        <f>+EXP((-'Default Values'!$C$11)*(C94-B94))</f>
        <v>0.67032004603563933</v>
      </c>
      <c r="N94" s="110">
        <f>(1-EXP(-'Default Values'!$C$11))</f>
        <v>0.32967995396436067</v>
      </c>
      <c r="O94" s="110">
        <f>+'Default Values'!$C$25</f>
        <v>0.49959999999999999</v>
      </c>
      <c r="P94" s="133">
        <f t="shared" si="16"/>
        <v>395.63830020413525</v>
      </c>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row>
    <row r="95" spans="1:42" x14ac:dyDescent="0.35">
      <c r="A95" s="281"/>
      <c r="B95" s="109">
        <v>3</v>
      </c>
      <c r="C95" s="109">
        <v>3</v>
      </c>
      <c r="D95" s="109">
        <f>+'Default Values'!$C$3</f>
        <v>0.85</v>
      </c>
      <c r="E95" s="109">
        <f>+(1-'Default Values'!$C$4)</f>
        <v>1</v>
      </c>
      <c r="F95" s="109">
        <f>+'Default Values'!$C$5</f>
        <v>28</v>
      </c>
      <c r="G95" s="109">
        <f>+(1-'Default Values'!$C$6)</f>
        <v>0.9</v>
      </c>
      <c r="H95" s="109">
        <f>+'Default Values'!$C$7</f>
        <v>0.5</v>
      </c>
      <c r="I95" s="109">
        <f>+'Default Values'!$C$8</f>
        <v>0.5</v>
      </c>
      <c r="J95" s="109">
        <f>+'Default Values'!$C$9</f>
        <v>1</v>
      </c>
      <c r="K95" s="133">
        <f>'Previous verification data'!E28</f>
        <v>2948</v>
      </c>
      <c r="L95" s="109">
        <f>+'Default Values'!$C$10</f>
        <v>0.15</v>
      </c>
      <c r="M95" s="111">
        <f>+EXP((-'Default Values'!$C$11)*(C95-B95))</f>
        <v>1</v>
      </c>
      <c r="N95" s="110">
        <f>(1-EXP(-'Default Values'!$C$11))</f>
        <v>0.32967995396436067</v>
      </c>
      <c r="O95" s="110">
        <f>+'Default Values'!$C$25</f>
        <v>0.49959999999999999</v>
      </c>
      <c r="P95" s="133">
        <f t="shared" si="16"/>
        <v>1035.7008139154755</v>
      </c>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row>
    <row r="96" spans="1:42" ht="30" x14ac:dyDescent="0.35">
      <c r="A96" s="107" t="s">
        <v>105</v>
      </c>
      <c r="B96" s="109">
        <v>3</v>
      </c>
      <c r="C96" s="109">
        <v>3</v>
      </c>
      <c r="D96" s="109">
        <f>+'Default Values'!$C$3</f>
        <v>0.85</v>
      </c>
      <c r="E96" s="109">
        <f>+(1-'Default Values'!$C$4)</f>
        <v>1</v>
      </c>
      <c r="F96" s="109">
        <f>+'Default Values'!$C$5</f>
        <v>28</v>
      </c>
      <c r="G96" s="109">
        <f>+(1-'Default Values'!$C$6)</f>
        <v>0.9</v>
      </c>
      <c r="H96" s="109">
        <f>+'Default Values'!$C$7</f>
        <v>0.5</v>
      </c>
      <c r="I96" s="109">
        <f>+'Default Values'!$C$8</f>
        <v>0.5</v>
      </c>
      <c r="J96" s="109">
        <f>+'Default Values'!$C$9</f>
        <v>1</v>
      </c>
      <c r="K96" s="133">
        <f>SUM('Data Sheet'!O5:O8)</f>
        <v>1365.1399999999999</v>
      </c>
      <c r="L96" s="109">
        <f>+'Default Values'!$C$10</f>
        <v>0.15</v>
      </c>
      <c r="M96" s="111">
        <f>+EXP((-'Default Values'!$C$11)*(C96-B96))</f>
        <v>1</v>
      </c>
      <c r="N96" s="110">
        <f>(1-EXP(-'Default Values'!$C$11))</f>
        <v>0.32967995396436067</v>
      </c>
      <c r="O96" s="110">
        <f>+'Default Values'!$C$25</f>
        <v>0.49959999999999999</v>
      </c>
      <c r="P96" s="133">
        <f t="shared" ref="P96" si="17">(D96*E96*F96*G96*(16/12)*H96*I96*J96*K96*L96*M96*N96)*(1-O96%)</f>
        <v>479.60536265555368</v>
      </c>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row>
    <row r="97" spans="1:42" ht="16.2" x14ac:dyDescent="0.35">
      <c r="A97" s="105"/>
      <c r="B97" s="105"/>
      <c r="C97" s="105"/>
      <c r="D97" s="105"/>
      <c r="E97" s="105"/>
      <c r="F97" s="105"/>
      <c r="G97" s="105"/>
      <c r="H97" s="105"/>
      <c r="I97" s="105"/>
      <c r="J97" s="105"/>
      <c r="K97" s="135"/>
      <c r="L97" s="105"/>
      <c r="M97" s="105"/>
      <c r="N97" s="105"/>
      <c r="O97" s="104" t="s">
        <v>88</v>
      </c>
      <c r="P97" s="137">
        <f>SUM(P93:P96)</f>
        <v>2333.8505933116362</v>
      </c>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row>
    <row r="98" spans="1:42" ht="15.75" customHeight="1" x14ac:dyDescent="0.35">
      <c r="A98" s="279" t="s">
        <v>106</v>
      </c>
      <c r="B98" s="109">
        <v>1</v>
      </c>
      <c r="C98" s="109">
        <v>4</v>
      </c>
      <c r="D98" s="109">
        <f>+'Default Values'!$C$3</f>
        <v>0.85</v>
      </c>
      <c r="E98" s="109">
        <f>+(1-'Default Values'!$C$4)</f>
        <v>1</v>
      </c>
      <c r="F98" s="109">
        <f>+'Default Values'!$C$5</f>
        <v>28</v>
      </c>
      <c r="G98" s="109">
        <f>+(1-'Default Values'!$C$6)</f>
        <v>0.9</v>
      </c>
      <c r="H98" s="109">
        <f>+'Default Values'!$C$7</f>
        <v>0.5</v>
      </c>
      <c r="I98" s="109">
        <f>+'Default Values'!$C$8</f>
        <v>0.5</v>
      </c>
      <c r="J98" s="109">
        <f>+'Default Values'!$C$9</f>
        <v>1</v>
      </c>
      <c r="K98" s="133">
        <f>K88</f>
        <v>2679</v>
      </c>
      <c r="L98" s="109">
        <f>+'Default Values'!$C$10</f>
        <v>0.15</v>
      </c>
      <c r="M98" s="111">
        <f>+EXP((-'Default Values'!$C$11)*(C98-B98))</f>
        <v>0.30119421191220203</v>
      </c>
      <c r="N98" s="110">
        <f>(1-EXP(-'Default Values'!$C$11))</f>
        <v>0.32967995396436067</v>
      </c>
      <c r="O98" s="110">
        <f>+'Default Values'!$C$25</f>
        <v>0.49959999999999999</v>
      </c>
      <c r="P98" s="133">
        <f t="shared" ref="P98:P101" si="18">(D98*E98*F98*G98*(16/12)*H98*I98*J98*K98*L98*M98*N98)*(1-O98%)</f>
        <v>283.48244750548105</v>
      </c>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row>
    <row r="99" spans="1:42" x14ac:dyDescent="0.35">
      <c r="A99" s="280"/>
      <c r="B99" s="109">
        <v>2</v>
      </c>
      <c r="C99" s="109">
        <v>4</v>
      </c>
      <c r="D99" s="109">
        <f>+'Default Values'!$C$3</f>
        <v>0.85</v>
      </c>
      <c r="E99" s="109">
        <f>+(1-'Default Values'!$C$4)</f>
        <v>1</v>
      </c>
      <c r="F99" s="109">
        <f>+'Default Values'!$C$5</f>
        <v>28</v>
      </c>
      <c r="G99" s="109">
        <f>+(1-'Default Values'!$C$6)</f>
        <v>0.9</v>
      </c>
      <c r="H99" s="109">
        <f>+'Default Values'!$C$7</f>
        <v>0.5</v>
      </c>
      <c r="I99" s="109">
        <f>+'Default Values'!$C$8</f>
        <v>0.5</v>
      </c>
      <c r="J99" s="109">
        <f>+'Default Values'!$C$9</f>
        <v>1</v>
      </c>
      <c r="K99" s="133">
        <f>K91</f>
        <v>1680</v>
      </c>
      <c r="L99" s="109">
        <f>+'Default Values'!$C$10</f>
        <v>0.15</v>
      </c>
      <c r="M99" s="111">
        <f>+EXP((-'Default Values'!$C$11)*(C99-B99))</f>
        <v>0.44932896411722156</v>
      </c>
      <c r="N99" s="110">
        <f>(1-EXP(-'Default Values'!$C$11))</f>
        <v>0.32967995396436067</v>
      </c>
      <c r="O99" s="110">
        <f>+'Default Values'!$C$25</f>
        <v>0.49959999999999999</v>
      </c>
      <c r="P99" s="133">
        <f t="shared" si="18"/>
        <v>265.20428360629802</v>
      </c>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row>
    <row r="100" spans="1:42" x14ac:dyDescent="0.35">
      <c r="A100" s="280"/>
      <c r="B100" s="109">
        <v>3</v>
      </c>
      <c r="C100" s="109">
        <v>4</v>
      </c>
      <c r="D100" s="109">
        <f>+'Default Values'!$C$3</f>
        <v>0.85</v>
      </c>
      <c r="E100" s="109">
        <f>+(1-'Default Values'!$C$4)</f>
        <v>1</v>
      </c>
      <c r="F100" s="109">
        <f>+'Default Values'!$C$5</f>
        <v>28</v>
      </c>
      <c r="G100" s="109">
        <f>+(1-'Default Values'!$C$6)</f>
        <v>0.9</v>
      </c>
      <c r="H100" s="109">
        <f>+'Default Values'!$C$7</f>
        <v>0.5</v>
      </c>
      <c r="I100" s="109">
        <f>+'Default Values'!$C$8</f>
        <v>0.5</v>
      </c>
      <c r="J100" s="109">
        <f>+'Default Values'!$C$9</f>
        <v>1</v>
      </c>
      <c r="K100" s="133">
        <f>K95+K96</f>
        <v>4313.1399999999994</v>
      </c>
      <c r="L100" s="109">
        <f>+'Default Values'!$C$10</f>
        <v>0.15</v>
      </c>
      <c r="M100" s="111">
        <f>+EXP((-'Default Values'!$C$11)*(C100-B100))</f>
        <v>0.67032004603563933</v>
      </c>
      <c r="N100" s="110">
        <f>(1-EXP(-'Default Values'!$C$11))</f>
        <v>0.32967995396436067</v>
      </c>
      <c r="O100" s="110">
        <f>+'Default Values'!$C$25</f>
        <v>0.49959999999999999</v>
      </c>
      <c r="P100" s="133">
        <f t="shared" si="18"/>
        <v>1015.7401060371807</v>
      </c>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row>
    <row r="101" spans="1:42" x14ac:dyDescent="0.35">
      <c r="A101" s="281"/>
      <c r="B101" s="109">
        <v>4</v>
      </c>
      <c r="C101" s="109">
        <v>4</v>
      </c>
      <c r="D101" s="109">
        <f>+'Default Values'!$C$3</f>
        <v>0.85</v>
      </c>
      <c r="E101" s="109">
        <f>+(1-'Default Values'!$C$4)</f>
        <v>1</v>
      </c>
      <c r="F101" s="109">
        <f>+'Default Values'!$C$5</f>
        <v>28</v>
      </c>
      <c r="G101" s="109">
        <f>+(1-'Default Values'!$C$6)</f>
        <v>0.9</v>
      </c>
      <c r="H101" s="109">
        <f>+'Default Values'!$C$7</f>
        <v>0.5</v>
      </c>
      <c r="I101" s="109">
        <f>+'Default Values'!$C$8</f>
        <v>0.5</v>
      </c>
      <c r="J101" s="109">
        <f>+'Default Values'!$C$9</f>
        <v>1</v>
      </c>
      <c r="K101" s="133">
        <f>SUM('Data Sheet'!O9:O16)</f>
        <v>3000.14</v>
      </c>
      <c r="L101" s="109">
        <f>+'Default Values'!$C$10</f>
        <v>0.15</v>
      </c>
      <c r="M101" s="111">
        <f>+EXP((-'Default Values'!$C$11)*(C101-B101))</f>
        <v>1</v>
      </c>
      <c r="N101" s="110">
        <f>(1-EXP(-'Default Values'!$C$11))</f>
        <v>0.32967995396436067</v>
      </c>
      <c r="O101" s="110">
        <f>+'Default Values'!$C$25</f>
        <v>0.49959999999999999</v>
      </c>
      <c r="P101" s="133">
        <f t="shared" si="18"/>
        <v>1054.0188059227864</v>
      </c>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row>
    <row r="102" spans="1:42" ht="30" x14ac:dyDescent="0.35">
      <c r="A102" s="107" t="s">
        <v>129</v>
      </c>
      <c r="B102" s="109">
        <v>4</v>
      </c>
      <c r="C102" s="109">
        <v>4</v>
      </c>
      <c r="D102" s="109">
        <f>+'Default Values'!$C$3</f>
        <v>0.85</v>
      </c>
      <c r="E102" s="109">
        <f>+(1-'Default Values'!$C$4)</f>
        <v>1</v>
      </c>
      <c r="F102" s="109">
        <f>+'Default Values'!$C$5</f>
        <v>28</v>
      </c>
      <c r="G102" s="109">
        <f>+(1-'Default Values'!$C$6)</f>
        <v>0.9</v>
      </c>
      <c r="H102" s="109">
        <f>+'Default Values'!$C$7</f>
        <v>0.5</v>
      </c>
      <c r="I102" s="109">
        <f>+'Default Values'!$C$8</f>
        <v>0.5</v>
      </c>
      <c r="J102" s="109">
        <f>+'Default Values'!$C$9</f>
        <v>1</v>
      </c>
      <c r="K102" s="133">
        <f>SUM('Data Sheet'!O17:O20)</f>
        <v>1486.7</v>
      </c>
      <c r="L102" s="109">
        <f>+'Default Values'!$C$10</f>
        <v>0.15</v>
      </c>
      <c r="M102" s="111">
        <f>+EXP((-'Default Values'!$C$11)*(C102-B102))</f>
        <v>1</v>
      </c>
      <c r="N102" s="110">
        <f>(1-EXP(-'Default Values'!$C$11))</f>
        <v>0.32967995396436067</v>
      </c>
      <c r="O102" s="110">
        <f>+'Default Values'!$C$25</f>
        <v>0.49959999999999999</v>
      </c>
      <c r="P102" s="133">
        <f t="shared" ref="P102" si="19">(D102*E102*F102*G102*(16/12)*H102*I102*J102*K102*L102*M102*N102)*(1-O102%)</f>
        <v>522.3122116852569</v>
      </c>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row>
    <row r="103" spans="1:42" ht="16.2" x14ac:dyDescent="0.35">
      <c r="A103" s="106"/>
      <c r="B103" s="106"/>
      <c r="C103" s="106"/>
      <c r="D103" s="106"/>
      <c r="E103" s="106"/>
      <c r="F103" s="106"/>
      <c r="G103" s="106"/>
      <c r="H103" s="106"/>
      <c r="I103" s="106"/>
      <c r="J103" s="106"/>
      <c r="K103" s="136"/>
      <c r="L103" s="106"/>
      <c r="M103" s="106"/>
      <c r="N103" s="106"/>
      <c r="O103" s="104" t="s">
        <v>89</v>
      </c>
      <c r="P103" s="137">
        <f>SUM(P98:P102)</f>
        <v>3140.7578547570033</v>
      </c>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row>
    <row r="104" spans="1:42" ht="15.75" customHeight="1" x14ac:dyDescent="0.35">
      <c r="A104" s="296" t="s">
        <v>130</v>
      </c>
      <c r="B104" s="109">
        <v>1</v>
      </c>
      <c r="C104" s="109">
        <v>5</v>
      </c>
      <c r="D104" s="109">
        <f>+'Default Values'!$C$3</f>
        <v>0.85</v>
      </c>
      <c r="E104" s="109">
        <f>+(1-'Default Values'!$C$4)</f>
        <v>1</v>
      </c>
      <c r="F104" s="109">
        <f>+'Default Values'!$C$5</f>
        <v>28</v>
      </c>
      <c r="G104" s="109">
        <f>+(1-'Default Values'!$C$6)</f>
        <v>0.9</v>
      </c>
      <c r="H104" s="109">
        <f>+'Default Values'!$C$7</f>
        <v>0.5</v>
      </c>
      <c r="I104" s="109">
        <f>+'Default Values'!$C$8</f>
        <v>0.5</v>
      </c>
      <c r="J104" s="109">
        <f>+'Default Values'!$C$9</f>
        <v>1</v>
      </c>
      <c r="K104" s="133">
        <f>K88</f>
        <v>2679</v>
      </c>
      <c r="L104" s="109">
        <f>+'Default Values'!$C$10</f>
        <v>0.15</v>
      </c>
      <c r="M104" s="111">
        <f>+EXP((-'Default Values'!$C$11)*(C104-B104))</f>
        <v>0.20189651799465538</v>
      </c>
      <c r="N104" s="110">
        <f>(1-EXP(-'Default Values'!$C$11))</f>
        <v>0.32967995396436067</v>
      </c>
      <c r="O104" s="110">
        <f>+'Default Values'!$C$25</f>
        <v>0.49959999999999999</v>
      </c>
      <c r="P104" s="133">
        <f t="shared" ref="P104:P107" si="20">(D104*E104*F104*G104*(16/12)*H104*I104*J104*K104*L104*M104*N104)*(1-O104%)</f>
        <v>190.0239672621698</v>
      </c>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row>
    <row r="105" spans="1:42" x14ac:dyDescent="0.35">
      <c r="A105" s="296"/>
      <c r="B105" s="109">
        <v>2</v>
      </c>
      <c r="C105" s="109">
        <v>5</v>
      </c>
      <c r="D105" s="109">
        <f>+'Default Values'!$C$3</f>
        <v>0.85</v>
      </c>
      <c r="E105" s="109">
        <f>+(1-'Default Values'!$C$4)</f>
        <v>1</v>
      </c>
      <c r="F105" s="109">
        <f>+'Default Values'!$C$5</f>
        <v>28</v>
      </c>
      <c r="G105" s="109">
        <f>+(1-'Default Values'!$C$6)</f>
        <v>0.9</v>
      </c>
      <c r="H105" s="109">
        <f>+'Default Values'!$C$7</f>
        <v>0.5</v>
      </c>
      <c r="I105" s="109">
        <f>+'Default Values'!$C$8</f>
        <v>0.5</v>
      </c>
      <c r="J105" s="109">
        <f>+'Default Values'!$C$9</f>
        <v>1</v>
      </c>
      <c r="K105" s="133">
        <f>K91</f>
        <v>1680</v>
      </c>
      <c r="L105" s="109">
        <f>+'Default Values'!$C$10</f>
        <v>0.15</v>
      </c>
      <c r="M105" s="111">
        <f>+EXP((-'Default Values'!$C$11)*(C105-B105))</f>
        <v>0.30119421191220203</v>
      </c>
      <c r="N105" s="110">
        <f>(1-EXP(-'Default Values'!$C$11))</f>
        <v>0.32967995396436067</v>
      </c>
      <c r="O105" s="110">
        <f>+'Default Values'!$C$25</f>
        <v>0.49959999999999999</v>
      </c>
      <c r="P105" s="133">
        <f t="shared" si="20"/>
        <v>177.77174759582238</v>
      </c>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row>
    <row r="106" spans="1:42" x14ac:dyDescent="0.35">
      <c r="A106" s="296"/>
      <c r="B106" s="109">
        <v>3</v>
      </c>
      <c r="C106" s="109">
        <v>5</v>
      </c>
      <c r="D106" s="109">
        <f>+'Default Values'!$C$3</f>
        <v>0.85</v>
      </c>
      <c r="E106" s="109">
        <f>+(1-'Default Values'!$C$4)</f>
        <v>1</v>
      </c>
      <c r="F106" s="109">
        <f>+'Default Values'!$C$5</f>
        <v>28</v>
      </c>
      <c r="G106" s="109">
        <f>+(1-'Default Values'!$C$6)</f>
        <v>0.9</v>
      </c>
      <c r="H106" s="109">
        <f>+'Default Values'!$C$7</f>
        <v>0.5</v>
      </c>
      <c r="I106" s="109">
        <f>+'Default Values'!$C$8</f>
        <v>0.5</v>
      </c>
      <c r="J106" s="109">
        <f>+'Default Values'!$C$9</f>
        <v>1</v>
      </c>
      <c r="K106" s="133">
        <f>K100</f>
        <v>4313.1399999999994</v>
      </c>
      <c r="L106" s="109">
        <f>+'Default Values'!$C$10</f>
        <v>0.15</v>
      </c>
      <c r="M106" s="111">
        <f>+EXP((-'Default Values'!$C$11)*(C106-B106))</f>
        <v>0.44932896411722156</v>
      </c>
      <c r="N106" s="110">
        <f>(1-EXP(-'Default Values'!$C$11))</f>
        <v>0.32967995396436067</v>
      </c>
      <c r="O106" s="110">
        <f>+'Default Values'!$C$25</f>
        <v>0.49959999999999999</v>
      </c>
      <c r="P106" s="133">
        <f t="shared" si="20"/>
        <v>680.87095463908804</v>
      </c>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row>
    <row r="107" spans="1:42" x14ac:dyDescent="0.35">
      <c r="A107" s="296"/>
      <c r="B107" s="109">
        <v>4</v>
      </c>
      <c r="C107" s="109">
        <v>5</v>
      </c>
      <c r="D107" s="109">
        <f>+'Default Values'!$C$3</f>
        <v>0.85</v>
      </c>
      <c r="E107" s="109">
        <f>+(1-'Default Values'!$C$4)</f>
        <v>1</v>
      </c>
      <c r="F107" s="109">
        <f>+'Default Values'!$C$5</f>
        <v>28</v>
      </c>
      <c r="G107" s="109">
        <f>+(1-'Default Values'!$C$6)</f>
        <v>0.9</v>
      </c>
      <c r="H107" s="109">
        <f>+'Default Values'!$C$7</f>
        <v>0.5</v>
      </c>
      <c r="I107" s="109">
        <f>+'Default Values'!$C$8</f>
        <v>0.5</v>
      </c>
      <c r="J107" s="109">
        <f>+'Default Values'!$C$9</f>
        <v>1</v>
      </c>
      <c r="K107" s="133">
        <f>K101+K102</f>
        <v>4486.84</v>
      </c>
      <c r="L107" s="109">
        <f>+'Default Values'!$C$10</f>
        <v>0.15</v>
      </c>
      <c r="M107" s="111">
        <f>+EXP((-'Default Values'!$C$11)*(C107-B107))</f>
        <v>0.67032004603563933</v>
      </c>
      <c r="N107" s="110">
        <f>(1-EXP(-'Default Values'!$C$11))</f>
        <v>0.32967995396436067</v>
      </c>
      <c r="O107" s="110">
        <f>+'Default Values'!$C$25</f>
        <v>0.49959999999999999</v>
      </c>
      <c r="P107" s="133">
        <f t="shared" si="20"/>
        <v>1056.6462802904298</v>
      </c>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row>
    <row r="108" spans="1:42" x14ac:dyDescent="0.35">
      <c r="A108" s="296"/>
      <c r="B108" s="109">
        <v>5</v>
      </c>
      <c r="C108" s="109">
        <v>5</v>
      </c>
      <c r="D108" s="109">
        <f>+'Default Values'!$C$3</f>
        <v>0.85</v>
      </c>
      <c r="E108" s="109">
        <f>+(1-'Default Values'!$C$4)</f>
        <v>1</v>
      </c>
      <c r="F108" s="109">
        <f>+'Default Values'!$C$5</f>
        <v>28</v>
      </c>
      <c r="G108" s="109">
        <f>+(1-'Default Values'!$C$6)</f>
        <v>0.9</v>
      </c>
      <c r="H108" s="109">
        <f>+'Default Values'!$C$7</f>
        <v>0.5</v>
      </c>
      <c r="I108" s="109">
        <f>+'Default Values'!$C$8</f>
        <v>0.5</v>
      </c>
      <c r="J108" s="109">
        <f>+'Default Values'!$C$9</f>
        <v>1</v>
      </c>
      <c r="K108" s="133">
        <f>SUM('Data Sheet'!O21:O27)</f>
        <v>2947.9000000000005</v>
      </c>
      <c r="L108" s="109">
        <f>+'Default Values'!$C$10</f>
        <v>0.15</v>
      </c>
      <c r="M108" s="111">
        <f>+EXP((-'Default Values'!$C$11)*(C108-B108))</f>
        <v>1</v>
      </c>
      <c r="N108" s="110">
        <f>(1-EXP(-'Default Values'!$C$11))</f>
        <v>0.32967995396436067</v>
      </c>
      <c r="O108" s="110">
        <f>+'Default Values'!$C$25</f>
        <v>0.49959999999999999</v>
      </c>
      <c r="P108" s="133">
        <f t="shared" ref="P108" si="21">(D108*E108*F108*G108*(16/12)*H108*I108*J108*K108*L108*M108*N108)*(1-O108%)</f>
        <v>1035.6656815947865</v>
      </c>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row>
    <row r="109" spans="1:42" ht="16.2" x14ac:dyDescent="0.35">
      <c r="A109" s="106"/>
      <c r="B109" s="106"/>
      <c r="C109" s="106"/>
      <c r="D109" s="106"/>
      <c r="E109" s="106"/>
      <c r="F109" s="106"/>
      <c r="G109" s="106"/>
      <c r="H109" s="106"/>
      <c r="I109" s="106"/>
      <c r="J109" s="106"/>
      <c r="K109" s="106"/>
      <c r="L109" s="106"/>
      <c r="M109" s="106"/>
      <c r="N109" s="106"/>
      <c r="O109" s="104" t="s">
        <v>131</v>
      </c>
      <c r="P109" s="137">
        <f>SUM(P104:P108)</f>
        <v>3140.978631382296</v>
      </c>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row>
    <row r="110" spans="1:42" x14ac:dyDescent="0.35">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row>
    <row r="111" spans="1:42" x14ac:dyDescent="0.35">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row>
    <row r="112" spans="1:42" x14ac:dyDescent="0.35">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row>
    <row r="113" spans="17:42" x14ac:dyDescent="0.35">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row>
    <row r="114" spans="17:42" x14ac:dyDescent="0.35">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row>
    <row r="115" spans="17:42" x14ac:dyDescent="0.35">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row>
    <row r="116" spans="17:42" x14ac:dyDescent="0.35">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row>
    <row r="117" spans="17:42" x14ac:dyDescent="0.35">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row>
    <row r="118" spans="17:42" x14ac:dyDescent="0.35">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row>
    <row r="119" spans="17:42" x14ac:dyDescent="0.35">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row>
    <row r="120" spans="17:42" x14ac:dyDescent="0.35">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row>
    <row r="121" spans="17:42" x14ac:dyDescent="0.35">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row>
    <row r="122" spans="17:42" x14ac:dyDescent="0.35">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row>
    <row r="123" spans="17:42" x14ac:dyDescent="0.35">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row>
  </sheetData>
  <mergeCells count="24">
    <mergeCell ref="A104:A108"/>
    <mergeCell ref="A52:A56"/>
    <mergeCell ref="A78:A82"/>
    <mergeCell ref="A34:P34"/>
    <mergeCell ref="A38:A39"/>
    <mergeCell ref="A41:A43"/>
    <mergeCell ref="A46:A49"/>
    <mergeCell ref="A7:P7"/>
    <mergeCell ref="A8:P8"/>
    <mergeCell ref="A12:A13"/>
    <mergeCell ref="A15:A17"/>
    <mergeCell ref="A20:A23"/>
    <mergeCell ref="A33:P33"/>
    <mergeCell ref="A26:A30"/>
    <mergeCell ref="A98:A101"/>
    <mergeCell ref="A59:P59"/>
    <mergeCell ref="A60:P60"/>
    <mergeCell ref="A64:A65"/>
    <mergeCell ref="A67:A69"/>
    <mergeCell ref="A72:A75"/>
    <mergeCell ref="A85:P85"/>
    <mergeCell ref="A86:P86"/>
    <mergeCell ref="A90:A91"/>
    <mergeCell ref="A93:A95"/>
  </mergeCells>
  <phoneticPr fontId="25" type="noConversion"/>
  <pageMargins left="0.7" right="0.7" top="0.75" bottom="0.75" header="0.3" footer="0.3"/>
  <pageSetup orientation="portrait" horizontalDpi="4294967293" verticalDpi="4294967293" r:id="rId1"/>
  <ignoredErrors>
    <ignoredError sqref="K44 K18 K23:K24 K49:K50 K30 K56 K70 K75:K76 K82 K96 K101:K102 K108" formulaRange="1"/>
    <ignoredError sqref="P19 P25 P77 P11 P14 P37 P40 P45 P51 P63 P66 P71 P89 P92 P97 P10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U99"/>
  <sheetViews>
    <sheetView topLeftCell="A37" zoomScaleNormal="100" workbookViewId="0">
      <selection activeCell="H25" sqref="H25"/>
    </sheetView>
  </sheetViews>
  <sheetFormatPr defaultColWidth="9.109375" defaultRowHeight="14.4" x14ac:dyDescent="0.3"/>
  <cols>
    <col min="1" max="1" width="9.88671875" style="1" customWidth="1"/>
    <col min="2" max="2" width="12.88671875" style="1" customWidth="1"/>
    <col min="3" max="3" width="15.21875" style="1" customWidth="1"/>
    <col min="4" max="4" width="13.33203125" style="1" bestFit="1" customWidth="1"/>
    <col min="5" max="5" width="9.109375" style="1"/>
    <col min="6" max="6" width="9.5546875" style="1" bestFit="1" customWidth="1"/>
    <col min="7" max="8" width="10.5546875" style="1" bestFit="1" customWidth="1"/>
    <col min="9" max="11" width="9.109375" style="1"/>
    <col min="12" max="12" width="11.109375" style="2" customWidth="1"/>
    <col min="13" max="13" width="10" style="1" bestFit="1" customWidth="1"/>
    <col min="14" max="14" width="10" style="1" customWidth="1"/>
    <col min="15" max="16" width="9.109375" style="1"/>
    <col min="17" max="17" width="10.33203125" style="1" customWidth="1"/>
    <col min="18" max="16384" width="9.109375" style="1"/>
  </cols>
  <sheetData>
    <row r="4" spans="1:21" x14ac:dyDescent="0.3">
      <c r="A4" s="1" t="s">
        <v>155</v>
      </c>
    </row>
    <row r="5" spans="1:21" ht="15.6" x14ac:dyDescent="0.35">
      <c r="A5" s="1" t="s">
        <v>156</v>
      </c>
    </row>
    <row r="9" spans="1:21" x14ac:dyDescent="0.3">
      <c r="L9" s="1"/>
    </row>
    <row r="10" spans="1:21" x14ac:dyDescent="0.3">
      <c r="A10" s="2" t="s">
        <v>94</v>
      </c>
      <c r="B10" s="2"/>
      <c r="C10" s="2"/>
      <c r="L10" s="2" t="s">
        <v>96</v>
      </c>
      <c r="M10" s="2"/>
      <c r="N10" s="2"/>
    </row>
    <row r="11" spans="1:21" ht="15.6" x14ac:dyDescent="0.3">
      <c r="A11" s="54" t="s">
        <v>1</v>
      </c>
      <c r="B11" s="54" t="s">
        <v>2</v>
      </c>
      <c r="C11" s="54" t="s">
        <v>143</v>
      </c>
      <c r="D11" s="53" t="s">
        <v>90</v>
      </c>
      <c r="E11" s="53" t="s">
        <v>91</v>
      </c>
      <c r="F11" s="53" t="s">
        <v>92</v>
      </c>
      <c r="G11" s="53" t="s">
        <v>93</v>
      </c>
      <c r="H11" s="53" t="s">
        <v>95</v>
      </c>
      <c r="I11" s="53" t="s">
        <v>166</v>
      </c>
      <c r="J11" s="53" t="s">
        <v>188</v>
      </c>
      <c r="L11" s="56" t="s">
        <v>1</v>
      </c>
      <c r="M11" s="56" t="s">
        <v>2</v>
      </c>
      <c r="N11" s="56" t="s">
        <v>144</v>
      </c>
      <c r="O11" s="55" t="s">
        <v>90</v>
      </c>
      <c r="P11" s="55" t="s">
        <v>91</v>
      </c>
      <c r="Q11" s="55" t="s">
        <v>92</v>
      </c>
      <c r="R11" s="55" t="s">
        <v>93</v>
      </c>
      <c r="S11" s="55" t="s">
        <v>95</v>
      </c>
      <c r="T11" s="55" t="s">
        <v>166</v>
      </c>
      <c r="U11" s="55" t="s">
        <v>188</v>
      </c>
    </row>
    <row r="12" spans="1:21" x14ac:dyDescent="0.3">
      <c r="A12" s="54">
        <v>44562</v>
      </c>
      <c r="B12" s="54">
        <v>44926</v>
      </c>
      <c r="C12" s="114">
        <f>(SUM('Data Sheet'!F5:F16))*'Default Values'!C14*'Default Values'!C15</f>
        <v>115.38606</v>
      </c>
      <c r="D12" s="114">
        <f>C12*'Default Values'!C16*'Default Values'!C17</f>
        <v>153.00191556000001</v>
      </c>
      <c r="E12" s="114">
        <f>(SUM('Data Sheet'!J5:J16))*'Default Values'!$C$24</f>
        <v>0</v>
      </c>
      <c r="F12" s="114">
        <f>C12*'Default Values'!$C$5*'Default Values'!$C$18</f>
        <v>90.462671040000004</v>
      </c>
      <c r="G12" s="114">
        <v>0</v>
      </c>
      <c r="H12" s="114">
        <f>SUM(D12:G12)</f>
        <v>243.46458660000002</v>
      </c>
      <c r="I12" s="197">
        <f>F46+D58+D71+D87</f>
        <v>372.36009539999998</v>
      </c>
      <c r="J12" s="197">
        <f>C12+D12+F12+H12+I12</f>
        <v>974.67532859999994</v>
      </c>
      <c r="L12" s="56">
        <v>44562</v>
      </c>
      <c r="M12" s="56">
        <v>44926</v>
      </c>
      <c r="N12" s="114">
        <f>(SUM('Data Sheet'!P34:P45))*'Default Values'!C14*'Default Values'!C15</f>
        <v>133.39365000000001</v>
      </c>
      <c r="O12" s="114">
        <f>N12*'Default Values'!C16*'Default Values'!C17</f>
        <v>176.87997990000002</v>
      </c>
      <c r="P12" s="114">
        <f>(SUM('Data Sheet'!T34:T45))*'Default Values'!$C$24</f>
        <v>0</v>
      </c>
      <c r="Q12" s="114">
        <f>N12*'Default Values'!$C$5*'Default Values'!$C$18</f>
        <v>104.58062160000001</v>
      </c>
      <c r="R12" s="114">
        <v>0</v>
      </c>
      <c r="S12" s="114">
        <f>SUM(O12:R12)</f>
        <v>281.46060150000005</v>
      </c>
      <c r="T12" s="197">
        <f>F50+D62+D75+D91</f>
        <v>0</v>
      </c>
      <c r="U12" s="197">
        <f>N12+O12+Q12+S12+T12</f>
        <v>696.31485300000008</v>
      </c>
    </row>
    <row r="13" spans="1:21" x14ac:dyDescent="0.3">
      <c r="A13" s="54">
        <v>44927</v>
      </c>
      <c r="B13" s="54">
        <v>45260</v>
      </c>
      <c r="C13" s="114">
        <f>(SUM('Data Sheet'!F17:F27))*'Default Values'!C16*'Default Values'!C15</f>
        <v>178.74668699999998</v>
      </c>
      <c r="D13" s="114">
        <f>C13*'Default Values'!C16*'Default Values'!C17</f>
        <v>237.01810696199999</v>
      </c>
      <c r="E13" s="114">
        <f>(SUM('Data Sheet'!J17:J27))*'Default Values'!$C$24</f>
        <v>0</v>
      </c>
      <c r="F13" s="114">
        <f>C13*'Default Values'!$C$5*'Default Values'!$C$18</f>
        <v>140.13740260799997</v>
      </c>
      <c r="G13" s="114">
        <v>0</v>
      </c>
      <c r="H13" s="114">
        <f>SUM(D13:G13)</f>
        <v>377.15550956999994</v>
      </c>
      <c r="I13" s="197">
        <f>F47+D59+D72+D88</f>
        <v>165.64094979999999</v>
      </c>
      <c r="J13" s="197">
        <f>C13+D13+F13+H13+I13</f>
        <v>1098.69865594</v>
      </c>
      <c r="L13" s="56">
        <v>44927</v>
      </c>
      <c r="M13" s="56">
        <v>45260</v>
      </c>
      <c r="N13" s="114">
        <f>(SUM('Data Sheet'!P46:P56))*'Default Values'!C14*'Default Values'!C15</f>
        <v>132.62582800000001</v>
      </c>
      <c r="O13" s="114">
        <f>N13*'Default Values'!C16*'Default Values'!C17</f>
        <v>175.86184792800003</v>
      </c>
      <c r="P13" s="114">
        <f>(SUM('Data Sheet'!T46:T56))*'Default Values'!$C$24</f>
        <v>0</v>
      </c>
      <c r="Q13" s="114">
        <f>N13*'Default Values'!$C$5*'Default Values'!$C$18</f>
        <v>103.97864915200002</v>
      </c>
      <c r="R13" s="114">
        <v>0</v>
      </c>
      <c r="S13" s="114">
        <f>SUM(O13:R13)</f>
        <v>279.84049708000003</v>
      </c>
      <c r="T13" s="197">
        <f>F51+D63+D76+D92</f>
        <v>0</v>
      </c>
      <c r="U13" s="197">
        <f>N13+O13+Q13+S13+T13</f>
        <v>692.30682216000014</v>
      </c>
    </row>
    <row r="14" spans="1:21" x14ac:dyDescent="0.3">
      <c r="A14" s="306" t="s">
        <v>3</v>
      </c>
      <c r="B14" s="307"/>
      <c r="C14" s="168"/>
      <c r="D14" s="115">
        <f>SUM(D12:D13)</f>
        <v>390.02002252199998</v>
      </c>
      <c r="E14" s="115">
        <f t="shared" ref="E14:G14" si="0">SUM(E12:E13)</f>
        <v>0</v>
      </c>
      <c r="F14" s="115">
        <f t="shared" si="0"/>
        <v>230.60007364799998</v>
      </c>
      <c r="G14" s="115">
        <f t="shared" si="0"/>
        <v>0</v>
      </c>
      <c r="H14" s="115">
        <f>SUM(H12:H13)</f>
        <v>620.6200961699999</v>
      </c>
      <c r="I14" s="115">
        <f t="shared" ref="I14" si="1">SUM(I12:I13)</f>
        <v>538.00104519999991</v>
      </c>
      <c r="J14" s="115">
        <f>J12+J13</f>
        <v>2073.37398454</v>
      </c>
      <c r="L14" s="310" t="s">
        <v>3</v>
      </c>
      <c r="M14" s="311"/>
      <c r="N14" s="170"/>
      <c r="O14" s="116">
        <f>SUM(O12:O13)</f>
        <v>352.74182782800005</v>
      </c>
      <c r="P14" s="116">
        <f t="shared" ref="P14:S14" si="2">SUM(P12:P13)</f>
        <v>0</v>
      </c>
      <c r="Q14" s="116">
        <f t="shared" si="2"/>
        <v>208.55927075200003</v>
      </c>
      <c r="R14" s="116">
        <f t="shared" si="2"/>
        <v>0</v>
      </c>
      <c r="S14" s="116">
        <f t="shared" si="2"/>
        <v>561.30109858000014</v>
      </c>
      <c r="T14" s="116">
        <f>T12+T13</f>
        <v>0</v>
      </c>
      <c r="U14" s="116">
        <f>U12+U13</f>
        <v>1388.6216751600002</v>
      </c>
    </row>
    <row r="16" spans="1:21" x14ac:dyDescent="0.3">
      <c r="A16" s="2" t="s">
        <v>97</v>
      </c>
      <c r="B16" s="2"/>
      <c r="C16" s="2"/>
      <c r="L16" s="2" t="s">
        <v>98</v>
      </c>
      <c r="M16" s="2"/>
      <c r="N16" s="2"/>
    </row>
    <row r="17" spans="1:21" ht="15.6" x14ac:dyDescent="0.3">
      <c r="A17" s="58" t="s">
        <v>1</v>
      </c>
      <c r="B17" s="58" t="s">
        <v>2</v>
      </c>
      <c r="C17" s="58" t="s">
        <v>144</v>
      </c>
      <c r="D17" s="57" t="s">
        <v>90</v>
      </c>
      <c r="E17" s="57" t="s">
        <v>91</v>
      </c>
      <c r="F17" s="57" t="s">
        <v>92</v>
      </c>
      <c r="G17" s="57" t="s">
        <v>93</v>
      </c>
      <c r="H17" s="57" t="s">
        <v>95</v>
      </c>
      <c r="I17" s="57" t="s">
        <v>166</v>
      </c>
      <c r="J17" s="57" t="s">
        <v>188</v>
      </c>
      <c r="L17" s="112" t="s">
        <v>1</v>
      </c>
      <c r="M17" s="112" t="s">
        <v>2</v>
      </c>
      <c r="N17" s="112" t="s">
        <v>143</v>
      </c>
      <c r="O17" s="113" t="s">
        <v>90</v>
      </c>
      <c r="P17" s="113" t="s">
        <v>91</v>
      </c>
      <c r="Q17" s="113" t="s">
        <v>92</v>
      </c>
      <c r="R17" s="113" t="s">
        <v>93</v>
      </c>
      <c r="S17" s="113" t="s">
        <v>95</v>
      </c>
      <c r="T17" s="113" t="s">
        <v>166</v>
      </c>
      <c r="U17" s="113" t="s">
        <v>188</v>
      </c>
    </row>
    <row r="18" spans="1:21" x14ac:dyDescent="0.3">
      <c r="A18" s="58">
        <v>44562</v>
      </c>
      <c r="B18" s="58">
        <v>44926</v>
      </c>
      <c r="C18" s="114">
        <f>(SUM('Data Sheet'!F34:F45))*'Default Values'!C14*'Default Values'!C15</f>
        <v>28.060002000000001</v>
      </c>
      <c r="D18" s="114">
        <f>C18*'Default Values'!C16*'Default Values'!C17</f>
        <v>37.207562652</v>
      </c>
      <c r="E18" s="114">
        <f>(SUM('Data Sheet'!J34:J45))*'Default Values'!$C$24</f>
        <v>0</v>
      </c>
      <c r="F18" s="114">
        <f>C18*'Default Values'!$C$5*'Default Values'!$C$18</f>
        <v>21.999041568000003</v>
      </c>
      <c r="G18" s="114">
        <v>0</v>
      </c>
      <c r="H18" s="114">
        <f>SUM(D18:G18)</f>
        <v>59.206604220000003</v>
      </c>
      <c r="I18" s="197">
        <f>F48+D60+D73+D89</f>
        <v>539.3334016</v>
      </c>
      <c r="J18" s="197">
        <f>C18+D18+F18+H18+I18</f>
        <v>685.80661204</v>
      </c>
      <c r="L18" s="112">
        <v>44562</v>
      </c>
      <c r="M18" s="112">
        <v>44926</v>
      </c>
      <c r="N18" s="114">
        <f>(SUM('Data Sheet'!P5:P16))*'Default Values'!C14*'Default Values'!C15</f>
        <v>5.0708279999999997</v>
      </c>
      <c r="O18" s="114">
        <f>N18*'Default Values'!C16*'Default Values'!C17</f>
        <v>6.7239179279999997</v>
      </c>
      <c r="P18" s="114">
        <f>(SUM('Data Sheet'!T5:T16))*'Default Values'!$C$24</f>
        <v>0</v>
      </c>
      <c r="Q18" s="114">
        <f>N18*'Default Values'!$C$5*'Default Values'!$C$18</f>
        <v>3.975529152</v>
      </c>
      <c r="R18" s="114">
        <v>0</v>
      </c>
      <c r="S18" s="114">
        <f>SUM(O18:R18)</f>
        <v>10.699447079999999</v>
      </c>
      <c r="T18" s="197">
        <f>F52+D64+D77+D93</f>
        <v>586.05665460000012</v>
      </c>
      <c r="U18" s="197">
        <f>N18+O18+Q18+S18+T18</f>
        <v>612.52637676000006</v>
      </c>
    </row>
    <row r="19" spans="1:21" x14ac:dyDescent="0.3">
      <c r="A19" s="58">
        <v>44927</v>
      </c>
      <c r="B19" s="58">
        <v>45260</v>
      </c>
      <c r="C19" s="114">
        <f>(SUM('Data Sheet'!F46:F56))*'Default Values'!C14*'Default Values'!C15</f>
        <v>28.002515999999996</v>
      </c>
      <c r="D19" s="114">
        <f>C19*'Default Values'!C16*'Default Values'!C17</f>
        <v>37.131336216000001</v>
      </c>
      <c r="E19" s="114">
        <f>(SUM('Data Sheet'!J46:J56))*'Default Values'!$C$24</f>
        <v>0</v>
      </c>
      <c r="F19" s="114">
        <f>C19*'Default Values'!$C$5*'Default Values'!$C$18</f>
        <v>21.953972543999999</v>
      </c>
      <c r="G19" s="114">
        <v>0</v>
      </c>
      <c r="H19" s="114">
        <f>SUM(D19:G19)</f>
        <v>59.085308760000004</v>
      </c>
      <c r="I19" s="197">
        <f>F49+D61+D74+D90</f>
        <v>545.87507599999992</v>
      </c>
      <c r="J19" s="197">
        <f>C19+D19+F19+H19+I19</f>
        <v>692.04820951999989</v>
      </c>
      <c r="L19" s="112">
        <v>44927</v>
      </c>
      <c r="M19" s="112">
        <v>45260</v>
      </c>
      <c r="N19" s="114">
        <f>(SUM('Data Sheet'!P17:P27))*'Default Values'!C14*'Default Values'!C15</f>
        <v>0</v>
      </c>
      <c r="O19" s="114">
        <f>N19*'Default Values'!C16*'Default Values'!C17</f>
        <v>0</v>
      </c>
      <c r="P19" s="114">
        <f>(SUM('Data Sheet'!T17:T27))*'Default Values'!$C$24</f>
        <v>0</v>
      </c>
      <c r="Q19" s="114">
        <f>N19*'Default Values'!$C$5*'Default Values'!$C$18</f>
        <v>0</v>
      </c>
      <c r="R19" s="114">
        <v>0</v>
      </c>
      <c r="S19" s="114">
        <f>SUM(O19:R19)</f>
        <v>0</v>
      </c>
      <c r="T19" s="197">
        <f>F53+D65+D78+D94</f>
        <v>619.3362360000001</v>
      </c>
      <c r="U19" s="197">
        <f>N19+O19+Q19+S19+T19</f>
        <v>619.3362360000001</v>
      </c>
    </row>
    <row r="20" spans="1:21" x14ac:dyDescent="0.3">
      <c r="A20" s="312" t="s">
        <v>3</v>
      </c>
      <c r="B20" s="313"/>
      <c r="C20" s="171"/>
      <c r="D20" s="118">
        <f>SUM(D18:D19)</f>
        <v>74.338898868000001</v>
      </c>
      <c r="E20" s="118">
        <f t="shared" ref="E20:H20" si="3">SUM(E18:E19)</f>
        <v>0</v>
      </c>
      <c r="F20" s="118">
        <f t="shared" si="3"/>
        <v>43.953014112000005</v>
      </c>
      <c r="G20" s="118">
        <f t="shared" si="3"/>
        <v>0</v>
      </c>
      <c r="H20" s="118">
        <f t="shared" si="3"/>
        <v>118.29191298000001</v>
      </c>
      <c r="I20" s="118">
        <f>I18+I19</f>
        <v>1085.2084775999999</v>
      </c>
      <c r="J20" s="118">
        <f>J18+J19</f>
        <v>1377.8548215599999</v>
      </c>
      <c r="L20" s="308" t="s">
        <v>3</v>
      </c>
      <c r="M20" s="309"/>
      <c r="N20" s="169"/>
      <c r="O20" s="117">
        <f>SUM(O18:O19)</f>
        <v>6.7239179279999997</v>
      </c>
      <c r="P20" s="117">
        <f t="shared" ref="P20:S20" si="4">SUM(P18:P19)</f>
        <v>0</v>
      </c>
      <c r="Q20" s="117">
        <f t="shared" si="4"/>
        <v>3.975529152</v>
      </c>
      <c r="R20" s="117">
        <f t="shared" si="4"/>
        <v>0</v>
      </c>
      <c r="S20" s="117">
        <f t="shared" si="4"/>
        <v>10.699447079999999</v>
      </c>
      <c r="T20" s="117">
        <f>T18+T19</f>
        <v>1205.3928906000001</v>
      </c>
      <c r="U20" s="117">
        <f>U18+U19</f>
        <v>1231.86261276</v>
      </c>
    </row>
    <row r="23" spans="1:21" ht="15.6" x14ac:dyDescent="0.35">
      <c r="A23" s="172" t="s">
        <v>142</v>
      </c>
    </row>
    <row r="30" spans="1:21" ht="15.6" x14ac:dyDescent="0.35">
      <c r="A30" s="172" t="s">
        <v>92</v>
      </c>
    </row>
    <row r="35" spans="1:6" x14ac:dyDescent="0.3">
      <c r="A35" s="1" t="s">
        <v>157</v>
      </c>
    </row>
    <row r="36" spans="1:6" x14ac:dyDescent="0.3">
      <c r="A36" s="1" t="s">
        <v>158</v>
      </c>
    </row>
    <row r="41" spans="1:6" ht="15.6" x14ac:dyDescent="0.35">
      <c r="A41" s="193" t="s">
        <v>159</v>
      </c>
      <c r="B41" t="s">
        <v>163</v>
      </c>
    </row>
    <row r="44" spans="1:6" ht="24.6" customHeight="1" x14ac:dyDescent="0.3">
      <c r="B44"/>
    </row>
    <row r="45" spans="1:6" ht="15.6" x14ac:dyDescent="0.35">
      <c r="B45" s="198" t="s">
        <v>171</v>
      </c>
      <c r="C45" s="201" t="s">
        <v>187</v>
      </c>
      <c r="D45" s="198" t="s">
        <v>162</v>
      </c>
      <c r="E45" s="176" t="s">
        <v>175</v>
      </c>
      <c r="F45" s="195" t="s">
        <v>142</v>
      </c>
    </row>
    <row r="46" spans="1:6" x14ac:dyDescent="0.3">
      <c r="B46" s="303" t="s">
        <v>167</v>
      </c>
      <c r="C46" s="195">
        <v>2022</v>
      </c>
      <c r="D46" s="197">
        <f>SUM('Data Sheet'!E64:E75)*'Default Values'!C26</f>
        <v>26.661900000000003</v>
      </c>
      <c r="E46" s="199">
        <f>'Default Values'!C12</f>
        <v>0.83</v>
      </c>
      <c r="F46" s="197">
        <f>D46*E46*(1+'Default Values'!C$27)</f>
        <v>26.555252400000001</v>
      </c>
    </row>
    <row r="47" spans="1:6" x14ac:dyDescent="0.3">
      <c r="B47" s="303"/>
      <c r="C47" s="195">
        <v>2023</v>
      </c>
      <c r="D47" s="197">
        <f>SUM('Data Sheet'!E76:E86)*'Default Values'!C26</f>
        <v>11.860300000000001</v>
      </c>
      <c r="E47" s="199">
        <f>'Default Values'!C12</f>
        <v>0.83</v>
      </c>
      <c r="F47" s="197">
        <f>D47*E47*(1+'Default Values'!C$27)</f>
        <v>11.812858799999999</v>
      </c>
    </row>
    <row r="48" spans="1:6" x14ac:dyDescent="0.3">
      <c r="B48" s="305" t="s">
        <v>168</v>
      </c>
      <c r="C48" s="195">
        <v>2022</v>
      </c>
      <c r="D48" s="197">
        <f>SUM('Data Sheet'!F64:F75)*'Default Values'!C26</f>
        <v>38.617599999999996</v>
      </c>
      <c r="E48" s="199">
        <f>'Default Values'!C12</f>
        <v>0.83</v>
      </c>
      <c r="F48" s="197">
        <f>D48*E48*(1+'Default Values'!C$27)</f>
        <v>38.463129599999988</v>
      </c>
    </row>
    <row r="49" spans="1:7" x14ac:dyDescent="0.3">
      <c r="B49" s="305"/>
      <c r="C49" s="195">
        <v>2023</v>
      </c>
      <c r="D49" s="197">
        <f>SUM('Data Sheet'!F76:F86)*'Default Values'!C26</f>
        <v>39.085999999999999</v>
      </c>
      <c r="E49" s="199">
        <f>'Default Values'!C12</f>
        <v>0.83</v>
      </c>
      <c r="F49" s="197">
        <f>D49*E49*(1+'Default Values'!C$27)</f>
        <v>38.929655999999994</v>
      </c>
    </row>
    <row r="50" spans="1:7" x14ac:dyDescent="0.3">
      <c r="B50" s="303" t="s">
        <v>169</v>
      </c>
      <c r="C50" s="195">
        <v>2022</v>
      </c>
      <c r="D50" s="197">
        <f>SUM('Data Sheet'!H64:H75)*'Default Values'!C26</f>
        <v>0</v>
      </c>
      <c r="E50" s="199">
        <f>'Default Values'!C12</f>
        <v>0.83</v>
      </c>
      <c r="F50" s="197">
        <f>D50*E50*(1+'Default Values'!C$27)</f>
        <v>0</v>
      </c>
    </row>
    <row r="51" spans="1:7" x14ac:dyDescent="0.3">
      <c r="B51" s="303"/>
      <c r="C51" s="195">
        <v>2023</v>
      </c>
      <c r="D51" s="197">
        <f>SUM('Data Sheet'!H76:H86)*'Default Values'!C26</f>
        <v>0</v>
      </c>
      <c r="E51" s="199">
        <f>'Default Values'!C12</f>
        <v>0.83</v>
      </c>
      <c r="F51" s="197">
        <f>D51*E51*(1+'Default Values'!C$27)</f>
        <v>0</v>
      </c>
    </row>
    <row r="52" spans="1:7" x14ac:dyDescent="0.3">
      <c r="B52" s="303" t="s">
        <v>170</v>
      </c>
      <c r="C52" s="195">
        <v>2022</v>
      </c>
      <c r="D52" s="197">
        <f>SUM('Data Sheet'!G64:G75)*'Default Values'!C26</f>
        <v>41.963100000000004</v>
      </c>
      <c r="E52" s="199">
        <f>'Default Values'!C12</f>
        <v>0.83</v>
      </c>
      <c r="F52" s="197">
        <f>D52*E52*(1+'Default Values'!C$27)</f>
        <v>41.795247600000003</v>
      </c>
    </row>
    <row r="53" spans="1:7" x14ac:dyDescent="0.3">
      <c r="B53" s="303"/>
      <c r="C53" s="195">
        <v>2023</v>
      </c>
      <c r="D53" s="197">
        <f>SUM('Data Sheet'!G76:G86)*'Default Values'!C26</f>
        <v>44.346000000000004</v>
      </c>
      <c r="E53" s="199">
        <f>'Default Values'!C12</f>
        <v>0.83</v>
      </c>
      <c r="F53" s="197">
        <f>D53*E53*(1+'Default Values'!C$27)</f>
        <v>44.168616</v>
      </c>
    </row>
    <row r="54" spans="1:7" ht="28.2" customHeight="1" x14ac:dyDescent="0.35">
      <c r="A54" s="193" t="s">
        <v>160</v>
      </c>
      <c r="B54" t="s">
        <v>163</v>
      </c>
    </row>
    <row r="55" spans="1:7" ht="28.2" customHeight="1" x14ac:dyDescent="0.3">
      <c r="A55" s="2"/>
      <c r="B55"/>
      <c r="F55"/>
      <c r="G55" s="194"/>
    </row>
    <row r="56" spans="1:7" ht="16.8" customHeight="1" x14ac:dyDescent="0.3">
      <c r="A56" s="2"/>
      <c r="B56"/>
    </row>
    <row r="57" spans="1:7" ht="16.8" customHeight="1" x14ac:dyDescent="0.35">
      <c r="A57" s="2"/>
      <c r="B57" s="198" t="s">
        <v>171</v>
      </c>
      <c r="C57" s="201" t="s">
        <v>187</v>
      </c>
      <c r="D57" s="195" t="s">
        <v>176</v>
      </c>
    </row>
    <row r="58" spans="1:7" ht="16.8" customHeight="1" x14ac:dyDescent="0.3">
      <c r="A58" s="2"/>
      <c r="B58" s="303" t="s">
        <v>167</v>
      </c>
      <c r="C58" s="195">
        <v>2022</v>
      </c>
      <c r="D58" s="197">
        <f>SUM('Data Sheet'!E64:E75)*'Default Values'!C28</f>
        <v>55.190133000000003</v>
      </c>
    </row>
    <row r="59" spans="1:7" ht="16.8" customHeight="1" x14ac:dyDescent="0.3">
      <c r="A59" s="2"/>
      <c r="B59" s="303"/>
      <c r="C59" s="195">
        <v>2023</v>
      </c>
      <c r="D59" s="197">
        <f>SUM('Data Sheet'!E76:E86)*'Default Values'!C28</f>
        <v>24.550820999999999</v>
      </c>
    </row>
    <row r="60" spans="1:7" ht="16.8" customHeight="1" x14ac:dyDescent="0.3">
      <c r="A60" s="2"/>
      <c r="B60" s="305" t="s">
        <v>168</v>
      </c>
      <c r="C60" s="195">
        <v>2022</v>
      </c>
      <c r="D60" s="197">
        <f>SUM('Data Sheet'!F64:F75)*'Default Values'!C28</f>
        <v>79.938431999999992</v>
      </c>
    </row>
    <row r="61" spans="1:7" ht="16.8" customHeight="1" x14ac:dyDescent="0.3">
      <c r="A61" s="2"/>
      <c r="B61" s="305"/>
      <c r="C61" s="195">
        <v>2023</v>
      </c>
      <c r="D61" s="197">
        <f>SUM('Data Sheet'!F76:F86)*'Default Values'!C28</f>
        <v>80.908019999999993</v>
      </c>
    </row>
    <row r="62" spans="1:7" ht="16.8" customHeight="1" x14ac:dyDescent="0.3">
      <c r="B62" s="303" t="s">
        <v>169</v>
      </c>
      <c r="C62" s="195">
        <v>2022</v>
      </c>
      <c r="D62" s="197">
        <f>SUM('Data Sheet'!H64:H75)*'Default Values'!C28</f>
        <v>0</v>
      </c>
    </row>
    <row r="63" spans="1:7" ht="16.8" customHeight="1" x14ac:dyDescent="0.3">
      <c r="B63" s="303"/>
      <c r="C63" s="195">
        <v>2023</v>
      </c>
      <c r="D63" s="197">
        <f>SUM('Data Sheet'!H76:H86)*'Default Values'!C28</f>
        <v>0</v>
      </c>
    </row>
    <row r="64" spans="1:7" ht="16.8" customHeight="1" x14ac:dyDescent="0.3">
      <c r="B64" s="303" t="s">
        <v>170</v>
      </c>
      <c r="C64" s="195">
        <v>2022</v>
      </c>
      <c r="D64" s="197">
        <f>SUM('Data Sheet'!G64:G75)*'Default Values'!C28</f>
        <v>86.863617000000005</v>
      </c>
    </row>
    <row r="65" spans="1:8" ht="16.8" customHeight="1" x14ac:dyDescent="0.3">
      <c r="B65" s="303"/>
      <c r="C65" s="195">
        <v>2023</v>
      </c>
      <c r="D65" s="197">
        <f>SUM('Data Sheet'!G76:G86)*'Default Values'!C28</f>
        <v>91.796220000000005</v>
      </c>
    </row>
    <row r="66" spans="1:8" ht="15.6" x14ac:dyDescent="0.35">
      <c r="A66" s="193" t="s">
        <v>161</v>
      </c>
      <c r="B66" t="s">
        <v>179</v>
      </c>
    </row>
    <row r="67" spans="1:8" x14ac:dyDescent="0.3">
      <c r="B67"/>
    </row>
    <row r="68" spans="1:8" x14ac:dyDescent="0.3">
      <c r="B68"/>
      <c r="G68"/>
      <c r="H68" s="194"/>
    </row>
    <row r="69" spans="1:8" x14ac:dyDescent="0.3">
      <c r="B69"/>
    </row>
    <row r="70" spans="1:8" ht="15.6" x14ac:dyDescent="0.35">
      <c r="B70" s="198" t="s">
        <v>171</v>
      </c>
      <c r="C70" s="201" t="s">
        <v>187</v>
      </c>
      <c r="D70" s="195" t="s">
        <v>180</v>
      </c>
    </row>
    <row r="71" spans="1:8" x14ac:dyDescent="0.3">
      <c r="B71" s="303" t="s">
        <v>167</v>
      </c>
      <c r="C71" s="195">
        <v>2022</v>
      </c>
      <c r="D71" s="199">
        <f>SUM('Data Sheet'!E64:E75)*'Default Values'!C29*'Default Values'!C5</f>
        <v>149.30664000000002</v>
      </c>
    </row>
    <row r="72" spans="1:8" x14ac:dyDescent="0.3">
      <c r="B72" s="303"/>
      <c r="C72" s="195">
        <v>2023</v>
      </c>
      <c r="D72" s="199">
        <f>SUM('Data Sheet'!E76:E86)*'Default Values'!C29*'Default Values'!C5</f>
        <v>66.41767999999999</v>
      </c>
    </row>
    <row r="73" spans="1:8" x14ac:dyDescent="0.3">
      <c r="B73" s="305" t="s">
        <v>168</v>
      </c>
      <c r="C73" s="195">
        <v>2022</v>
      </c>
      <c r="D73" s="199">
        <f>SUM('Data Sheet'!F64:F75)*'Default Values'!C29*'Default Values'!C5</f>
        <v>216.25855999999999</v>
      </c>
    </row>
    <row r="74" spans="1:8" x14ac:dyDescent="0.3">
      <c r="B74" s="305"/>
      <c r="C74" s="195">
        <v>2023</v>
      </c>
      <c r="D74" s="199">
        <f>SUM('Data Sheet'!F76:F86)*'Default Values'!C29*'Default Values'!C5</f>
        <v>218.88159999999996</v>
      </c>
    </row>
    <row r="75" spans="1:8" x14ac:dyDescent="0.3">
      <c r="B75" s="303" t="s">
        <v>169</v>
      </c>
      <c r="C75" s="195">
        <v>2022</v>
      </c>
      <c r="D75" s="199">
        <f>SUM('Data Sheet'!H64:H75)*'Default Values'!C29*'Default Values'!C5</f>
        <v>0</v>
      </c>
    </row>
    <row r="76" spans="1:8" x14ac:dyDescent="0.3">
      <c r="B76" s="303"/>
      <c r="C76" s="195">
        <v>2023</v>
      </c>
      <c r="D76" s="199">
        <f>SUM('Data Sheet'!H76:H86)*'Default Values'!C29*'Default Values'!C5</f>
        <v>0</v>
      </c>
    </row>
    <row r="77" spans="1:8" x14ac:dyDescent="0.3">
      <c r="B77" s="303" t="s">
        <v>170</v>
      </c>
      <c r="C77" s="195">
        <v>2022</v>
      </c>
      <c r="D77" s="197">
        <f>SUM('Data Sheet'!G64:G75)*'Default Values'!C29*'Default Values'!C5</f>
        <v>234.99336000000002</v>
      </c>
    </row>
    <row r="78" spans="1:8" x14ac:dyDescent="0.3">
      <c r="B78" s="303"/>
      <c r="C78" s="195">
        <v>2023</v>
      </c>
      <c r="D78" s="197">
        <f>SUM('Data Sheet'!G76:G86)*'Default Values'!C29*'Default Values'!C5</f>
        <v>248.33760000000004</v>
      </c>
    </row>
    <row r="81" spans="1:8" ht="15.6" x14ac:dyDescent="0.35">
      <c r="A81" s="193" t="s">
        <v>189</v>
      </c>
      <c r="B81" t="s">
        <v>183</v>
      </c>
    </row>
    <row r="83" spans="1:8" x14ac:dyDescent="0.3">
      <c r="G83"/>
      <c r="H83" s="194"/>
    </row>
    <row r="86" spans="1:8" ht="15.6" x14ac:dyDescent="0.35">
      <c r="B86" s="198" t="s">
        <v>171</v>
      </c>
      <c r="C86" s="201" t="s">
        <v>187</v>
      </c>
      <c r="D86" s="195" t="s">
        <v>184</v>
      </c>
    </row>
    <row r="87" spans="1:8" x14ac:dyDescent="0.3">
      <c r="B87" s="303" t="s">
        <v>167</v>
      </c>
      <c r="C87" s="195">
        <v>2022</v>
      </c>
      <c r="D87" s="199">
        <f>SUM('Data Sheet'!E64:E75)*'Default Values'!C30*'Default Values'!C13</f>
        <v>141.30806999999999</v>
      </c>
    </row>
    <row r="88" spans="1:8" x14ac:dyDescent="0.3">
      <c r="B88" s="303"/>
      <c r="C88" s="195">
        <v>2023</v>
      </c>
      <c r="D88" s="199">
        <f>SUM('Data Sheet'!E76:E86)*'Default Values'!C30*'Default Values'!C13</f>
        <v>62.859589999999997</v>
      </c>
    </row>
    <row r="89" spans="1:8" x14ac:dyDescent="0.3">
      <c r="B89" s="305" t="s">
        <v>168</v>
      </c>
      <c r="C89" s="195">
        <v>2022</v>
      </c>
      <c r="D89" s="199">
        <f>SUM('Data Sheet'!F64:F75)*'Default Values'!C30*'Default Values'!C13</f>
        <v>204.67328000000001</v>
      </c>
    </row>
    <row r="90" spans="1:8" x14ac:dyDescent="0.3">
      <c r="B90" s="305"/>
      <c r="C90" s="195">
        <v>2023</v>
      </c>
      <c r="D90" s="199">
        <f>SUM('Data Sheet'!F76:F86)*'Default Values'!C30*'Default Values'!C13</f>
        <v>207.1558</v>
      </c>
    </row>
    <row r="91" spans="1:8" x14ac:dyDescent="0.3">
      <c r="B91" s="303" t="s">
        <v>169</v>
      </c>
      <c r="C91" s="195">
        <v>2022</v>
      </c>
      <c r="D91" s="199">
        <f>SUM('Data Sheet'!H64:H75)*'Default Values'!C30*'Default Values'!C13</f>
        <v>0</v>
      </c>
    </row>
    <row r="92" spans="1:8" x14ac:dyDescent="0.3">
      <c r="B92" s="303"/>
      <c r="C92" s="195">
        <v>2023</v>
      </c>
      <c r="D92" s="199">
        <f>SUM('Data Sheet'!H76:H86)*'Default Values'!C30*'Default Values'!C13</f>
        <v>0</v>
      </c>
    </row>
    <row r="93" spans="1:8" x14ac:dyDescent="0.3">
      <c r="B93" s="303" t="s">
        <v>170</v>
      </c>
      <c r="C93" s="195">
        <v>2022</v>
      </c>
      <c r="D93" s="197">
        <f>SUM('Data Sheet'!G64:G75)*'Default Values'!C30*'Default Values'!C13</f>
        <v>222.40443000000005</v>
      </c>
    </row>
    <row r="94" spans="1:8" x14ac:dyDescent="0.3">
      <c r="B94" s="303"/>
      <c r="C94" s="195">
        <v>2023</v>
      </c>
      <c r="D94" s="197">
        <f>SUM('Data Sheet'!G76:G86)*'Default Values'!C30*'Default Values'!C13</f>
        <v>235.03380000000004</v>
      </c>
    </row>
    <row r="98" spans="1:9" ht="15.6" x14ac:dyDescent="0.35">
      <c r="A98" s="193" t="s">
        <v>190</v>
      </c>
    </row>
    <row r="99" spans="1:9" ht="57" customHeight="1" x14ac:dyDescent="0.3">
      <c r="A99" s="304" t="s">
        <v>191</v>
      </c>
      <c r="B99" s="304"/>
      <c r="C99" s="304"/>
      <c r="D99" s="304"/>
      <c r="E99" s="304"/>
      <c r="F99" s="304"/>
      <c r="G99" s="304"/>
      <c r="H99" s="304"/>
      <c r="I99" s="304"/>
    </row>
  </sheetData>
  <mergeCells count="21">
    <mergeCell ref="B48:B49"/>
    <mergeCell ref="B50:B51"/>
    <mergeCell ref="B52:B53"/>
    <mergeCell ref="A14:B14"/>
    <mergeCell ref="L20:M20"/>
    <mergeCell ref="L14:M14"/>
    <mergeCell ref="A20:B20"/>
    <mergeCell ref="B46:B47"/>
    <mergeCell ref="B58:B59"/>
    <mergeCell ref="B60:B61"/>
    <mergeCell ref="B62:B63"/>
    <mergeCell ref="B64:B65"/>
    <mergeCell ref="B71:B72"/>
    <mergeCell ref="B91:B92"/>
    <mergeCell ref="B93:B94"/>
    <mergeCell ref="A99:I99"/>
    <mergeCell ref="B73:B74"/>
    <mergeCell ref="B75:B76"/>
    <mergeCell ref="B77:B78"/>
    <mergeCell ref="B87:B88"/>
    <mergeCell ref="B89:B90"/>
  </mergeCells>
  <pageMargins left="0.7" right="0.7" top="0.75" bottom="0.75" header="0.3" footer="0.3"/>
  <ignoredErrors>
    <ignoredError sqref="E12:E13 P12:P13 E18:E19 P18:P19 D46:D53 D58:D65 D71:D78 D87:D94"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topLeftCell="A15" zoomScale="90" zoomScaleNormal="90" workbookViewId="0">
      <selection activeCell="B28" sqref="B28:D29"/>
    </sheetView>
  </sheetViews>
  <sheetFormatPr defaultColWidth="9.109375" defaultRowHeight="14.4" x14ac:dyDescent="0.3"/>
  <cols>
    <col min="2" max="2" width="30" style="5" customWidth="1"/>
    <col min="3" max="3" width="12.109375" style="1" bestFit="1" customWidth="1"/>
    <col min="4" max="4" width="27" style="1" bestFit="1" customWidth="1"/>
    <col min="5" max="5" width="92" style="1" bestFit="1" customWidth="1"/>
    <col min="6" max="16384" width="9.109375" style="1"/>
  </cols>
  <sheetData>
    <row r="1" spans="1:5" x14ac:dyDescent="0.3">
      <c r="D1" s="3"/>
    </row>
    <row r="2" spans="1:5" s="2" customFormat="1" ht="30" x14ac:dyDescent="0.3">
      <c r="A2" s="20"/>
      <c r="B2" s="60" t="s">
        <v>38</v>
      </c>
      <c r="C2" s="61" t="s">
        <v>4</v>
      </c>
      <c r="D2" s="60" t="s">
        <v>25</v>
      </c>
      <c r="E2" s="61" t="s">
        <v>5</v>
      </c>
    </row>
    <row r="3" spans="1:5" ht="16.2" x14ac:dyDescent="0.4">
      <c r="B3" s="59" t="s">
        <v>43</v>
      </c>
      <c r="C3" s="146">
        <v>0.85</v>
      </c>
      <c r="D3" s="147" t="s">
        <v>6</v>
      </c>
      <c r="E3" s="8" t="s">
        <v>7</v>
      </c>
    </row>
    <row r="4" spans="1:5" ht="16.2" x14ac:dyDescent="0.35">
      <c r="B4" s="9" t="s">
        <v>54</v>
      </c>
      <c r="C4" s="148">
        <v>0</v>
      </c>
      <c r="D4" s="148" t="s">
        <v>8</v>
      </c>
      <c r="E4" s="6" t="s">
        <v>7</v>
      </c>
    </row>
    <row r="5" spans="1:5" ht="16.2" x14ac:dyDescent="0.4">
      <c r="B5" s="10" t="s">
        <v>55</v>
      </c>
      <c r="C5" s="148">
        <v>28</v>
      </c>
      <c r="D5" s="148" t="s">
        <v>56</v>
      </c>
      <c r="E5" t="s">
        <v>213</v>
      </c>
    </row>
    <row r="6" spans="1:5" ht="15" x14ac:dyDescent="0.35">
      <c r="B6" s="11" t="s">
        <v>37</v>
      </c>
      <c r="C6" s="148">
        <v>0.1</v>
      </c>
      <c r="D6" s="148" t="s">
        <v>9</v>
      </c>
      <c r="E6" s="6" t="s">
        <v>7</v>
      </c>
    </row>
    <row r="7" spans="1:5" ht="15" x14ac:dyDescent="0.35">
      <c r="B7" s="7" t="s">
        <v>42</v>
      </c>
      <c r="C7" s="148">
        <v>0.5</v>
      </c>
      <c r="D7" s="148" t="s">
        <v>8</v>
      </c>
      <c r="E7" s="6" t="s">
        <v>7</v>
      </c>
    </row>
    <row r="8" spans="1:5" ht="16.2" x14ac:dyDescent="0.35">
      <c r="B8" s="9" t="s">
        <v>57</v>
      </c>
      <c r="C8" s="148">
        <v>0.5</v>
      </c>
      <c r="D8" s="148" t="s">
        <v>8</v>
      </c>
      <c r="E8" s="12" t="s">
        <v>36</v>
      </c>
    </row>
    <row r="9" spans="1:5" ht="16.2" x14ac:dyDescent="0.35">
      <c r="B9" s="9" t="s">
        <v>58</v>
      </c>
      <c r="C9" s="148">
        <v>1</v>
      </c>
      <c r="D9" s="148" t="s">
        <v>6</v>
      </c>
      <c r="E9" s="6" t="s">
        <v>7</v>
      </c>
    </row>
    <row r="10" spans="1:5" ht="16.2" x14ac:dyDescent="0.35">
      <c r="B10" s="9" t="s">
        <v>59</v>
      </c>
      <c r="C10" s="148">
        <v>0.15</v>
      </c>
      <c r="D10" s="148" t="s">
        <v>8</v>
      </c>
      <c r="E10" s="6" t="s">
        <v>125</v>
      </c>
    </row>
    <row r="11" spans="1:5" ht="16.2" x14ac:dyDescent="0.35">
      <c r="B11" s="9" t="s">
        <v>60</v>
      </c>
      <c r="C11" s="148">
        <v>0.4</v>
      </c>
      <c r="D11" s="148" t="s">
        <v>10</v>
      </c>
      <c r="E11" s="6" t="s">
        <v>7</v>
      </c>
    </row>
    <row r="12" spans="1:5" ht="16.2" x14ac:dyDescent="0.4">
      <c r="B12" s="7" t="s">
        <v>61</v>
      </c>
      <c r="C12" s="173">
        <v>0.83</v>
      </c>
      <c r="D12" s="148" t="s">
        <v>62</v>
      </c>
      <c r="E12" s="13" t="s">
        <v>11</v>
      </c>
    </row>
    <row r="13" spans="1:5" ht="16.2" x14ac:dyDescent="0.4">
      <c r="B13" s="7" t="s">
        <v>63</v>
      </c>
      <c r="C13" s="6">
        <v>265</v>
      </c>
      <c r="D13" s="148" t="s">
        <v>64</v>
      </c>
      <c r="E13" s="6" t="s">
        <v>213</v>
      </c>
    </row>
    <row r="14" spans="1:5" ht="18" x14ac:dyDescent="0.4">
      <c r="B14" s="7" t="s">
        <v>65</v>
      </c>
      <c r="C14" s="148">
        <v>0.6</v>
      </c>
      <c r="D14" s="148" t="s">
        <v>66</v>
      </c>
      <c r="E14" s="6" t="s">
        <v>13</v>
      </c>
    </row>
    <row r="15" spans="1:5" ht="18" x14ac:dyDescent="0.4">
      <c r="B15" s="7" t="s">
        <v>67</v>
      </c>
      <c r="C15" s="150">
        <v>6.7000000000000002E-4</v>
      </c>
      <c r="D15" s="148" t="s">
        <v>68</v>
      </c>
      <c r="E15" s="6" t="s">
        <v>13</v>
      </c>
    </row>
    <row r="16" spans="1:5" ht="16.2" x14ac:dyDescent="0.4">
      <c r="B16" s="7" t="s">
        <v>69</v>
      </c>
      <c r="C16" s="148">
        <v>1.02</v>
      </c>
      <c r="D16" s="148" t="s">
        <v>70</v>
      </c>
      <c r="E16" s="6" t="s">
        <v>13</v>
      </c>
    </row>
    <row r="17" spans="2:6" ht="16.2" x14ac:dyDescent="0.4">
      <c r="B17" s="7" t="s">
        <v>71</v>
      </c>
      <c r="C17" s="148">
        <v>1.3</v>
      </c>
      <c r="D17" s="148" t="s">
        <v>72</v>
      </c>
      <c r="E17" s="6" t="s">
        <v>13</v>
      </c>
    </row>
    <row r="18" spans="2:6" ht="16.2" x14ac:dyDescent="0.4">
      <c r="B18" s="7" t="s">
        <v>73</v>
      </c>
      <c r="C18" s="148">
        <v>2.8000000000000001E-2</v>
      </c>
      <c r="D18" s="148" t="s">
        <v>74</v>
      </c>
      <c r="E18" s="6" t="s">
        <v>13</v>
      </c>
    </row>
    <row r="19" spans="2:6" ht="16.2" x14ac:dyDescent="0.4">
      <c r="B19" s="7" t="s">
        <v>83</v>
      </c>
      <c r="C19" s="148">
        <v>43</v>
      </c>
      <c r="D19" s="148" t="s">
        <v>14</v>
      </c>
      <c r="E19" s="6" t="s">
        <v>15</v>
      </c>
    </row>
    <row r="20" spans="2:6" ht="16.2" x14ac:dyDescent="0.4">
      <c r="B20" s="7" t="s">
        <v>84</v>
      </c>
      <c r="C20" s="149">
        <v>74.099999999999994</v>
      </c>
      <c r="D20" s="148" t="s">
        <v>75</v>
      </c>
      <c r="E20" s="6" t="s">
        <v>15</v>
      </c>
    </row>
    <row r="21" spans="2:6" ht="16.2" x14ac:dyDescent="0.4">
      <c r="B21" s="7" t="s">
        <v>76</v>
      </c>
      <c r="C21" s="148">
        <f>C20*C19</f>
        <v>3186.2999999999997</v>
      </c>
      <c r="D21" s="148" t="s">
        <v>77</v>
      </c>
      <c r="E21" s="6" t="s">
        <v>16</v>
      </c>
    </row>
    <row r="22" spans="2:6" ht="16.2" x14ac:dyDescent="0.4">
      <c r="B22" s="7" t="s">
        <v>76</v>
      </c>
      <c r="C22" s="148">
        <f>C21/(10^6)</f>
        <v>3.1862999999999995E-3</v>
      </c>
      <c r="D22" s="148" t="s">
        <v>78</v>
      </c>
      <c r="E22" s="6" t="s">
        <v>16</v>
      </c>
    </row>
    <row r="23" spans="2:6" ht="15" x14ac:dyDescent="0.35">
      <c r="B23" s="7" t="s">
        <v>17</v>
      </c>
      <c r="C23" s="148">
        <v>0.83</v>
      </c>
      <c r="D23" s="148" t="s">
        <v>139</v>
      </c>
      <c r="E23" s="6" t="s">
        <v>18</v>
      </c>
    </row>
    <row r="24" spans="2:6" ht="16.2" x14ac:dyDescent="0.4">
      <c r="B24" s="7" t="s">
        <v>79</v>
      </c>
      <c r="C24" s="151">
        <f>C22*C23</f>
        <v>2.6446289999999995E-3</v>
      </c>
      <c r="D24" s="148" t="s">
        <v>80</v>
      </c>
      <c r="E24" s="6" t="s">
        <v>16</v>
      </c>
    </row>
    <row r="25" spans="2:6" ht="16.2" x14ac:dyDescent="0.4">
      <c r="B25" s="7" t="s">
        <v>81</v>
      </c>
      <c r="C25" s="152">
        <v>0.49959999999999999</v>
      </c>
      <c r="D25" s="153" t="s">
        <v>145</v>
      </c>
      <c r="E25" s="218" t="s">
        <v>146</v>
      </c>
      <c r="F25" s="4"/>
    </row>
    <row r="26" spans="2:6" ht="15.6" x14ac:dyDescent="0.35">
      <c r="B26" s="176" t="s">
        <v>164</v>
      </c>
      <c r="C26" s="195">
        <v>0.01</v>
      </c>
      <c r="D26" s="196" t="s">
        <v>165</v>
      </c>
      <c r="E26" s="6" t="s">
        <v>12</v>
      </c>
    </row>
    <row r="27" spans="2:6" ht="30" x14ac:dyDescent="0.35">
      <c r="B27" s="176" t="s">
        <v>172</v>
      </c>
      <c r="C27" s="200">
        <v>0.2</v>
      </c>
      <c r="D27" s="195" t="s">
        <v>174</v>
      </c>
      <c r="E27" s="12" t="s">
        <v>173</v>
      </c>
    </row>
    <row r="28" spans="2:6" ht="15.6" x14ac:dyDescent="0.35">
      <c r="B28" s="176" t="s">
        <v>177</v>
      </c>
      <c r="C28" s="176">
        <v>2.07E-2</v>
      </c>
      <c r="D28" s="176" t="s">
        <v>178</v>
      </c>
      <c r="E28" s="6" t="s">
        <v>12</v>
      </c>
    </row>
    <row r="29" spans="2:6" ht="15.6" x14ac:dyDescent="0.35">
      <c r="B29" s="176" t="s">
        <v>181</v>
      </c>
      <c r="C29" s="195">
        <v>2E-3</v>
      </c>
      <c r="D29" s="176" t="s">
        <v>182</v>
      </c>
      <c r="E29" s="6" t="s">
        <v>12</v>
      </c>
    </row>
    <row r="30" spans="2:6" ht="15.6" x14ac:dyDescent="0.35">
      <c r="B30" s="176" t="s">
        <v>185</v>
      </c>
      <c r="C30" s="195">
        <v>2.0000000000000001E-4</v>
      </c>
      <c r="D30" s="176" t="s">
        <v>186</v>
      </c>
      <c r="E30" s="6" t="s">
        <v>12</v>
      </c>
    </row>
    <row r="31" spans="2:6" ht="15.6" x14ac:dyDescent="0.35">
      <c r="B31" s="10" t="s">
        <v>204</v>
      </c>
      <c r="C31" s="195">
        <v>0.2</v>
      </c>
      <c r="D31" s="176" t="s">
        <v>8</v>
      </c>
      <c r="E31" s="6" t="s">
        <v>13</v>
      </c>
    </row>
    <row r="33" spans="4:4" x14ac:dyDescent="0.3">
      <c r="D33"/>
    </row>
    <row r="34" spans="4:4" x14ac:dyDescent="0.3">
      <c r="D34" s="174"/>
    </row>
  </sheetData>
  <phoneticPr fontId="25" type="noConversion"/>
  <hyperlinks>
    <hyperlink ref="E12" r:id="rId1" display="Weighted average emission factor, CO2 Baseline Database for the Indian Power Sector, Version 14.0 (link)" xr:uid="{00000000-0004-0000-0100-000000000000}"/>
  </hyperlinks>
  <pageMargins left="0.7" right="0.7" top="0.75" bottom="0.75" header="0.3" footer="0.3"/>
  <pageSetup orientation="portrait" verticalDpi="12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CAA23-E830-487F-9473-1C9D42BAEA53}">
  <sheetPr>
    <pageSetUpPr autoPageBreaks="0"/>
  </sheetPr>
  <dimension ref="B1:T114"/>
  <sheetViews>
    <sheetView topLeftCell="A36" zoomScale="90" zoomScaleNormal="90" workbookViewId="0">
      <selection activeCell="E87" sqref="E87:H87"/>
    </sheetView>
  </sheetViews>
  <sheetFormatPr defaultColWidth="9.109375" defaultRowHeight="14.4" x14ac:dyDescent="0.3"/>
  <cols>
    <col min="1" max="1" width="4.109375" style="83" customWidth="1"/>
    <col min="2" max="2" width="9.109375" style="83"/>
    <col min="3" max="3" width="10.6640625" style="83" customWidth="1"/>
    <col min="4" max="4" width="11.6640625" style="83" customWidth="1"/>
    <col min="5" max="5" width="20.44140625" style="83" customWidth="1"/>
    <col min="6" max="6" width="13.6640625" style="83" bestFit="1" customWidth="1"/>
    <col min="7" max="7" width="14.5546875" style="83" bestFit="1" customWidth="1"/>
    <col min="8" max="9" width="13.6640625" style="83" customWidth="1"/>
    <col min="10" max="10" width="14.5546875" style="83" bestFit="1" customWidth="1"/>
    <col min="11" max="11" width="10.5546875" style="83" customWidth="1"/>
    <col min="12" max="12" width="9.109375" style="83"/>
    <col min="13" max="13" width="9.44140625" style="83" bestFit="1" customWidth="1"/>
    <col min="14" max="14" width="10.33203125" style="83" bestFit="1" customWidth="1"/>
    <col min="15" max="15" width="14.6640625" style="83" customWidth="1"/>
    <col min="16" max="16" width="12.6640625" style="83" customWidth="1"/>
    <col min="17" max="17" width="16.33203125" style="83" customWidth="1"/>
    <col min="18" max="19" width="13.6640625" style="83" customWidth="1"/>
    <col min="20" max="20" width="14.5546875" style="83" bestFit="1" customWidth="1"/>
    <col min="21" max="16384" width="9.109375" style="83"/>
  </cols>
  <sheetData>
    <row r="1" spans="2:20" x14ac:dyDescent="0.3">
      <c r="B1" s="84" t="s">
        <v>33</v>
      </c>
      <c r="C1" s="85"/>
      <c r="D1" s="85"/>
      <c r="E1" s="85"/>
      <c r="F1" s="85"/>
      <c r="G1" s="85"/>
      <c r="H1" s="85"/>
      <c r="I1" s="85"/>
      <c r="J1" s="86"/>
      <c r="L1" s="87" t="s">
        <v>30</v>
      </c>
      <c r="M1" s="88"/>
      <c r="N1" s="88"/>
      <c r="O1" s="88"/>
      <c r="P1" s="88"/>
      <c r="Q1" s="88"/>
      <c r="R1" s="88"/>
      <c r="S1" s="88"/>
      <c r="T1" s="89"/>
    </row>
    <row r="3" spans="2:20" ht="60" customHeight="1" x14ac:dyDescent="0.3">
      <c r="B3" s="29" t="s">
        <v>20</v>
      </c>
      <c r="C3" s="314" t="s">
        <v>21</v>
      </c>
      <c r="D3" s="314"/>
      <c r="E3" s="30" t="s">
        <v>119</v>
      </c>
      <c r="F3" s="30" t="s">
        <v>123</v>
      </c>
      <c r="G3" s="30" t="s">
        <v>120</v>
      </c>
      <c r="H3" s="30" t="s">
        <v>121</v>
      </c>
      <c r="I3" s="30" t="s">
        <v>22</v>
      </c>
      <c r="J3" s="30" t="s">
        <v>122</v>
      </c>
      <c r="L3" s="29" t="s">
        <v>20</v>
      </c>
      <c r="M3" s="314" t="s">
        <v>21</v>
      </c>
      <c r="N3" s="314"/>
      <c r="O3" s="30" t="s">
        <v>119</v>
      </c>
      <c r="P3" s="30" t="s">
        <v>123</v>
      </c>
      <c r="Q3" s="30" t="s">
        <v>120</v>
      </c>
      <c r="R3" s="30" t="s">
        <v>121</v>
      </c>
      <c r="S3" s="30" t="s">
        <v>22</v>
      </c>
      <c r="T3" s="30" t="s">
        <v>122</v>
      </c>
    </row>
    <row r="4" spans="2:20" ht="16.5" customHeight="1" x14ac:dyDescent="0.3">
      <c r="B4" s="79"/>
      <c r="C4" s="79" t="s">
        <v>1</v>
      </c>
      <c r="D4" s="79" t="s">
        <v>2</v>
      </c>
      <c r="E4" s="79"/>
      <c r="F4" s="79"/>
      <c r="G4" s="79" t="s">
        <v>23</v>
      </c>
      <c r="H4" s="79" t="s">
        <v>23</v>
      </c>
      <c r="I4" s="79" t="s">
        <v>124</v>
      </c>
      <c r="J4" s="80"/>
      <c r="L4" s="79"/>
      <c r="M4" s="79" t="s">
        <v>1</v>
      </c>
      <c r="N4" s="79" t="s">
        <v>2</v>
      </c>
      <c r="O4" s="79"/>
      <c r="P4" s="79"/>
      <c r="Q4" s="79" t="s">
        <v>23</v>
      </c>
      <c r="R4" s="79" t="s">
        <v>23</v>
      </c>
      <c r="S4" s="79" t="s">
        <v>124</v>
      </c>
      <c r="T4" s="80"/>
    </row>
    <row r="5" spans="2:20" ht="16.5" customHeight="1" x14ac:dyDescent="0.3">
      <c r="B5" s="81">
        <v>1</v>
      </c>
      <c r="C5" s="82">
        <v>44562</v>
      </c>
      <c r="D5" s="82">
        <v>44592</v>
      </c>
      <c r="E5" s="189">
        <v>478.68900000000002</v>
      </c>
      <c r="F5" s="183">
        <v>24876</v>
      </c>
      <c r="G5" s="159">
        <v>10</v>
      </c>
      <c r="H5" s="160">
        <v>5</v>
      </c>
      <c r="I5" s="184">
        <v>33470</v>
      </c>
      <c r="J5" s="164">
        <v>0</v>
      </c>
      <c r="K5" s="91"/>
      <c r="L5" s="81">
        <v>1</v>
      </c>
      <c r="M5" s="82">
        <v>44562</v>
      </c>
      <c r="N5" s="82">
        <v>44592</v>
      </c>
      <c r="O5" s="159">
        <f>90.89+261.52</f>
        <v>352.40999999999997</v>
      </c>
      <c r="P5" s="190">
        <v>2488</v>
      </c>
      <c r="Q5" s="159">
        <v>1</v>
      </c>
      <c r="R5" s="184">
        <v>70</v>
      </c>
      <c r="S5" s="183">
        <v>4176</v>
      </c>
      <c r="T5" s="159">
        <v>0</v>
      </c>
    </row>
    <row r="6" spans="2:20" ht="16.5" customHeight="1" x14ac:dyDescent="0.3">
      <c r="B6" s="81">
        <v>2</v>
      </c>
      <c r="C6" s="82">
        <v>44593</v>
      </c>
      <c r="D6" s="82">
        <v>44620</v>
      </c>
      <c r="E6" s="160">
        <v>434.23</v>
      </c>
      <c r="F6" s="183">
        <v>24876</v>
      </c>
      <c r="G6" s="159">
        <v>10</v>
      </c>
      <c r="H6" s="160">
        <v>10</v>
      </c>
      <c r="I6" s="184">
        <v>31733</v>
      </c>
      <c r="J6" s="164">
        <v>0</v>
      </c>
      <c r="K6" s="91"/>
      <c r="L6" s="81">
        <v>2</v>
      </c>
      <c r="M6" s="82">
        <v>44593</v>
      </c>
      <c r="N6" s="82">
        <v>44620</v>
      </c>
      <c r="O6" s="159">
        <f>112.89+200.11</f>
        <v>313</v>
      </c>
      <c r="P6" s="190">
        <v>2488</v>
      </c>
      <c r="Q6" s="159">
        <v>1</v>
      </c>
      <c r="R6" s="184">
        <v>70</v>
      </c>
      <c r="S6" s="183">
        <v>4723</v>
      </c>
      <c r="T6" s="159">
        <v>0</v>
      </c>
    </row>
    <row r="7" spans="2:20" ht="16.5" customHeight="1" x14ac:dyDescent="0.3">
      <c r="B7" s="81">
        <v>3</v>
      </c>
      <c r="C7" s="82">
        <v>44621</v>
      </c>
      <c r="D7" s="82">
        <v>44651</v>
      </c>
      <c r="E7" s="160">
        <v>512.79</v>
      </c>
      <c r="F7" s="183">
        <v>24876</v>
      </c>
      <c r="G7" s="159">
        <v>10</v>
      </c>
      <c r="H7" s="160">
        <v>10</v>
      </c>
      <c r="I7" s="184">
        <v>23145</v>
      </c>
      <c r="J7" s="164">
        <v>0</v>
      </c>
      <c r="K7" s="91"/>
      <c r="L7" s="81">
        <v>3</v>
      </c>
      <c r="M7" s="82">
        <v>44621</v>
      </c>
      <c r="N7" s="82">
        <v>44651</v>
      </c>
      <c r="O7" s="159">
        <f>139.83+202.68</f>
        <v>342.51</v>
      </c>
      <c r="P7" s="190">
        <v>2488</v>
      </c>
      <c r="Q7" s="159">
        <v>1</v>
      </c>
      <c r="R7" s="184">
        <v>70</v>
      </c>
      <c r="S7" s="183">
        <v>3114</v>
      </c>
      <c r="T7" s="159">
        <v>0</v>
      </c>
    </row>
    <row r="8" spans="2:20" ht="16.5" customHeight="1" x14ac:dyDescent="0.3">
      <c r="B8" s="81">
        <v>4</v>
      </c>
      <c r="C8" s="82">
        <v>44652</v>
      </c>
      <c r="D8" s="82">
        <v>44681</v>
      </c>
      <c r="E8" s="160">
        <v>442.56</v>
      </c>
      <c r="F8" s="183">
        <v>20398</v>
      </c>
      <c r="G8" s="159">
        <v>8</v>
      </c>
      <c r="H8" s="160">
        <v>15</v>
      </c>
      <c r="I8" s="184">
        <v>21790</v>
      </c>
      <c r="J8" s="164">
        <v>0</v>
      </c>
      <c r="K8" s="91"/>
      <c r="L8" s="81">
        <v>4</v>
      </c>
      <c r="M8" s="82">
        <v>44652</v>
      </c>
      <c r="N8" s="82">
        <v>44681</v>
      </c>
      <c r="O8" s="159">
        <f>114.76+242.46</f>
        <v>357.22</v>
      </c>
      <c r="P8" s="190">
        <v>1741</v>
      </c>
      <c r="Q8" s="159">
        <v>0.7</v>
      </c>
      <c r="R8" s="184">
        <v>70</v>
      </c>
      <c r="S8" s="183">
        <v>8743</v>
      </c>
      <c r="T8" s="159">
        <v>0</v>
      </c>
    </row>
    <row r="9" spans="2:20" ht="16.5" customHeight="1" x14ac:dyDescent="0.3">
      <c r="B9" s="81">
        <v>5</v>
      </c>
      <c r="C9" s="82">
        <v>44682</v>
      </c>
      <c r="D9" s="82">
        <v>44712</v>
      </c>
      <c r="E9" s="160">
        <v>581.86</v>
      </c>
      <c r="F9" s="183">
        <v>21072</v>
      </c>
      <c r="G9" s="159">
        <v>8</v>
      </c>
      <c r="H9" s="160">
        <v>10</v>
      </c>
      <c r="I9" s="184">
        <v>23153</v>
      </c>
      <c r="J9" s="164">
        <v>0</v>
      </c>
      <c r="K9" s="91"/>
      <c r="L9" s="81">
        <v>5</v>
      </c>
      <c r="M9" s="82">
        <v>44682</v>
      </c>
      <c r="N9" s="82">
        <v>44712</v>
      </c>
      <c r="O9" s="159">
        <f>90.16+232.16</f>
        <v>322.32</v>
      </c>
      <c r="P9" s="190">
        <v>2488</v>
      </c>
      <c r="Q9" s="159">
        <v>1</v>
      </c>
      <c r="R9" s="184">
        <v>75</v>
      </c>
      <c r="S9" s="183">
        <v>12108</v>
      </c>
      <c r="T9" s="159">
        <v>0</v>
      </c>
    </row>
    <row r="10" spans="2:20" ht="16.5" customHeight="1" x14ac:dyDescent="0.3">
      <c r="B10" s="81">
        <v>6</v>
      </c>
      <c r="C10" s="82">
        <v>44713</v>
      </c>
      <c r="D10" s="82">
        <v>44742</v>
      </c>
      <c r="E10" s="160">
        <v>524.74</v>
      </c>
      <c r="F10" s="183">
        <v>24876</v>
      </c>
      <c r="G10" s="159">
        <v>10</v>
      </c>
      <c r="H10" s="160">
        <v>15</v>
      </c>
      <c r="I10" s="184">
        <v>26788</v>
      </c>
      <c r="J10" s="164">
        <v>0</v>
      </c>
      <c r="K10" s="91"/>
      <c r="L10" s="81">
        <v>6</v>
      </c>
      <c r="M10" s="82">
        <v>44713</v>
      </c>
      <c r="N10" s="82">
        <v>44742</v>
      </c>
      <c r="O10" s="159">
        <f>74.39+272.65</f>
        <v>347.03999999999996</v>
      </c>
      <c r="P10" s="190">
        <v>498</v>
      </c>
      <c r="Q10" s="159">
        <v>0.2</v>
      </c>
      <c r="R10" s="184">
        <v>75</v>
      </c>
      <c r="S10" s="183">
        <v>10250</v>
      </c>
      <c r="T10" s="159">
        <v>0</v>
      </c>
    </row>
    <row r="11" spans="2:20" ht="16.5" customHeight="1" x14ac:dyDescent="0.3">
      <c r="B11" s="81">
        <v>7</v>
      </c>
      <c r="C11" s="82">
        <v>44743</v>
      </c>
      <c r="D11" s="82">
        <v>44773</v>
      </c>
      <c r="E11" s="160">
        <v>560.35</v>
      </c>
      <c r="F11" s="183">
        <v>24900</v>
      </c>
      <c r="G11" s="159">
        <v>10</v>
      </c>
      <c r="H11" s="160">
        <v>10</v>
      </c>
      <c r="I11" s="184">
        <v>24120</v>
      </c>
      <c r="J11" s="164">
        <v>0</v>
      </c>
      <c r="K11" s="91"/>
      <c r="L11" s="81">
        <v>7</v>
      </c>
      <c r="M11" s="82">
        <v>44743</v>
      </c>
      <c r="N11" s="82">
        <v>44773</v>
      </c>
      <c r="O11" s="159">
        <f>65.14+287.42</f>
        <v>352.56</v>
      </c>
      <c r="P11" s="190">
        <v>398</v>
      </c>
      <c r="Q11" s="159">
        <v>0.16</v>
      </c>
      <c r="R11" s="184">
        <v>81</v>
      </c>
      <c r="S11" s="183">
        <v>15457</v>
      </c>
      <c r="T11" s="159">
        <v>0</v>
      </c>
    </row>
    <row r="12" spans="2:20" ht="16.5" customHeight="1" x14ac:dyDescent="0.3">
      <c r="B12" s="81">
        <v>8</v>
      </c>
      <c r="C12" s="82">
        <v>44774</v>
      </c>
      <c r="D12" s="82">
        <v>44804</v>
      </c>
      <c r="E12" s="160">
        <v>702.39</v>
      </c>
      <c r="F12" s="183">
        <v>26134</v>
      </c>
      <c r="G12" s="159">
        <v>11</v>
      </c>
      <c r="H12" s="160">
        <v>13</v>
      </c>
      <c r="I12" s="184">
        <v>25000</v>
      </c>
      <c r="J12" s="164">
        <v>0</v>
      </c>
      <c r="K12" s="91"/>
      <c r="L12" s="81">
        <v>8</v>
      </c>
      <c r="M12" s="82">
        <v>44774</v>
      </c>
      <c r="N12" s="82">
        <v>44804</v>
      </c>
      <c r="O12" s="159">
        <f>97.12+244.94</f>
        <v>342.06</v>
      </c>
      <c r="P12" s="191">
        <v>25</v>
      </c>
      <c r="Q12" s="159">
        <v>0.01</v>
      </c>
      <c r="R12" s="184">
        <v>80</v>
      </c>
      <c r="S12" s="183">
        <v>8435</v>
      </c>
      <c r="T12" s="159">
        <v>0</v>
      </c>
    </row>
    <row r="13" spans="2:20" ht="16.5" customHeight="1" x14ac:dyDescent="0.3">
      <c r="B13" s="81">
        <v>9</v>
      </c>
      <c r="C13" s="82">
        <v>44805</v>
      </c>
      <c r="D13" s="82">
        <v>44834</v>
      </c>
      <c r="E13" s="160">
        <v>388.68</v>
      </c>
      <c r="F13" s="183">
        <v>24876</v>
      </c>
      <c r="G13" s="159">
        <v>10</v>
      </c>
      <c r="H13" s="160">
        <v>13</v>
      </c>
      <c r="I13" s="184">
        <v>25003</v>
      </c>
      <c r="J13" s="164">
        <v>0</v>
      </c>
      <c r="K13" s="91"/>
      <c r="L13" s="81">
        <v>9</v>
      </c>
      <c r="M13" s="82">
        <v>44805</v>
      </c>
      <c r="N13" s="82">
        <v>44834</v>
      </c>
      <c r="O13" s="159">
        <f>85.39+255.76</f>
        <v>341.15</v>
      </c>
      <c r="P13" s="191">
        <v>0</v>
      </c>
      <c r="Q13" s="159">
        <v>0</v>
      </c>
      <c r="R13" s="184">
        <v>120</v>
      </c>
      <c r="S13" s="183">
        <v>2153</v>
      </c>
      <c r="T13" s="159">
        <v>0</v>
      </c>
    </row>
    <row r="14" spans="2:20" ht="16.5" customHeight="1" x14ac:dyDescent="0.3">
      <c r="B14" s="81">
        <v>10</v>
      </c>
      <c r="C14" s="82">
        <v>44835</v>
      </c>
      <c r="D14" s="82">
        <v>44865</v>
      </c>
      <c r="E14" s="160">
        <v>584.54</v>
      </c>
      <c r="F14" s="183">
        <v>19900</v>
      </c>
      <c r="G14" s="159">
        <v>8</v>
      </c>
      <c r="H14" s="160">
        <v>13</v>
      </c>
      <c r="I14" s="184">
        <v>19403</v>
      </c>
      <c r="J14" s="164">
        <v>0</v>
      </c>
      <c r="K14" s="91"/>
      <c r="L14" s="81">
        <v>10</v>
      </c>
      <c r="M14" s="82">
        <v>44835</v>
      </c>
      <c r="N14" s="82">
        <v>44865</v>
      </c>
      <c r="O14" s="159">
        <f>154.52+266.68</f>
        <v>421.20000000000005</v>
      </c>
      <c r="P14" s="191">
        <v>0</v>
      </c>
      <c r="Q14" s="159">
        <v>0</v>
      </c>
      <c r="R14" s="183">
        <v>121</v>
      </c>
      <c r="S14" s="183">
        <v>680.5</v>
      </c>
      <c r="T14" s="159">
        <v>0</v>
      </c>
    </row>
    <row r="15" spans="2:20" ht="16.5" customHeight="1" x14ac:dyDescent="0.3">
      <c r="B15" s="81">
        <v>11</v>
      </c>
      <c r="C15" s="82">
        <v>44866</v>
      </c>
      <c r="D15" s="82">
        <v>44895</v>
      </c>
      <c r="E15" s="160">
        <v>599.29</v>
      </c>
      <c r="F15" s="183">
        <v>24915</v>
      </c>
      <c r="G15" s="159">
        <v>10</v>
      </c>
      <c r="H15" s="160">
        <v>13</v>
      </c>
      <c r="I15" s="184">
        <v>24795</v>
      </c>
      <c r="J15" s="164">
        <v>0</v>
      </c>
      <c r="K15" s="91"/>
      <c r="L15" s="81">
        <v>11</v>
      </c>
      <c r="M15" s="82">
        <v>44866</v>
      </c>
      <c r="N15" s="82">
        <v>44895</v>
      </c>
      <c r="O15" s="159">
        <f>259.06+165.19</f>
        <v>424.25</v>
      </c>
      <c r="P15" s="191">
        <v>0</v>
      </c>
      <c r="Q15" s="159">
        <v>0</v>
      </c>
      <c r="R15" s="183">
        <v>120</v>
      </c>
      <c r="S15" s="183">
        <v>700</v>
      </c>
      <c r="T15" s="159">
        <v>0</v>
      </c>
    </row>
    <row r="16" spans="2:20" ht="16.5" customHeight="1" x14ac:dyDescent="0.3">
      <c r="B16" s="81">
        <v>12</v>
      </c>
      <c r="C16" s="82">
        <v>44896</v>
      </c>
      <c r="D16" s="82">
        <v>44926</v>
      </c>
      <c r="E16" s="159">
        <v>689.35</v>
      </c>
      <c r="F16" s="183">
        <v>25331</v>
      </c>
      <c r="G16" s="159">
        <v>10</v>
      </c>
      <c r="H16" s="160">
        <v>13</v>
      </c>
      <c r="I16" s="184">
        <v>24865</v>
      </c>
      <c r="J16" s="164">
        <v>0</v>
      </c>
      <c r="K16" s="91"/>
      <c r="L16" s="81">
        <v>12</v>
      </c>
      <c r="M16" s="82">
        <v>44896</v>
      </c>
      <c r="N16" s="82">
        <v>44926</v>
      </c>
      <c r="O16" s="159">
        <f>266.63+182.93</f>
        <v>449.56</v>
      </c>
      <c r="P16" s="191">
        <v>0</v>
      </c>
      <c r="Q16" s="159">
        <v>0</v>
      </c>
      <c r="R16" s="183">
        <v>120</v>
      </c>
      <c r="S16" s="183">
        <v>2000</v>
      </c>
      <c r="T16" s="159">
        <v>0</v>
      </c>
    </row>
    <row r="17" spans="2:20" ht="16.5" customHeight="1" x14ac:dyDescent="0.3">
      <c r="B17" s="186">
        <v>13</v>
      </c>
      <c r="C17" s="187">
        <v>44927</v>
      </c>
      <c r="D17" s="187">
        <v>44957</v>
      </c>
      <c r="E17" s="162">
        <v>560.79999999999995</v>
      </c>
      <c r="F17" s="185">
        <v>25122</v>
      </c>
      <c r="G17" s="161">
        <f>10099/10^3</f>
        <v>10.099</v>
      </c>
      <c r="H17" s="162">
        <v>13</v>
      </c>
      <c r="I17" s="184">
        <v>24420</v>
      </c>
      <c r="J17" s="162">
        <v>0</v>
      </c>
      <c r="K17" s="91"/>
      <c r="L17" s="186">
        <v>13</v>
      </c>
      <c r="M17" s="187">
        <v>44927</v>
      </c>
      <c r="N17" s="187">
        <v>44957</v>
      </c>
      <c r="O17" s="161">
        <v>402.2</v>
      </c>
      <c r="P17" s="192">
        <v>0</v>
      </c>
      <c r="Q17" s="161">
        <v>0</v>
      </c>
      <c r="R17" s="114">
        <v>135.15</v>
      </c>
      <c r="S17" s="185">
        <v>666.48</v>
      </c>
      <c r="T17" s="161">
        <v>0</v>
      </c>
    </row>
    <row r="18" spans="2:20" ht="16.5" customHeight="1" x14ac:dyDescent="0.3">
      <c r="B18" s="81">
        <v>14</v>
      </c>
      <c r="C18" s="82">
        <v>44958</v>
      </c>
      <c r="D18" s="82">
        <v>44985</v>
      </c>
      <c r="E18" s="162">
        <v>612.88</v>
      </c>
      <c r="F18" s="185">
        <v>27453</v>
      </c>
      <c r="G18" s="161">
        <f>11036/10^3</f>
        <v>11.036</v>
      </c>
      <c r="H18" s="162">
        <v>13</v>
      </c>
      <c r="I18" s="184">
        <v>23248</v>
      </c>
      <c r="J18" s="165">
        <v>0</v>
      </c>
      <c r="K18" s="91"/>
      <c r="L18" s="81">
        <v>14</v>
      </c>
      <c r="M18" s="82">
        <v>44958</v>
      </c>
      <c r="N18" s="82">
        <v>44985</v>
      </c>
      <c r="O18" s="161">
        <v>344.09</v>
      </c>
      <c r="P18" s="192">
        <v>0</v>
      </c>
      <c r="Q18" s="161">
        <v>0</v>
      </c>
      <c r="R18" s="114">
        <v>125.22</v>
      </c>
      <c r="S18" s="185">
        <v>711.52</v>
      </c>
      <c r="T18" s="161">
        <v>0</v>
      </c>
    </row>
    <row r="19" spans="2:20" ht="16.5" customHeight="1" x14ac:dyDescent="0.3">
      <c r="B19" s="81">
        <v>15</v>
      </c>
      <c r="C19" s="82">
        <v>44986</v>
      </c>
      <c r="D19" s="82">
        <v>45016</v>
      </c>
      <c r="E19" s="162">
        <v>566.6</v>
      </c>
      <c r="F19" s="185">
        <v>24878</v>
      </c>
      <c r="G19" s="161">
        <f t="shared" ref="G19" si="0">10001/10^3</f>
        <v>10.000999999999999</v>
      </c>
      <c r="H19" s="162">
        <v>49</v>
      </c>
      <c r="I19" s="184">
        <v>25725</v>
      </c>
      <c r="J19" s="165">
        <v>0</v>
      </c>
      <c r="K19" s="91"/>
      <c r="L19" s="97">
        <v>15</v>
      </c>
      <c r="M19" s="82">
        <v>44986</v>
      </c>
      <c r="N19" s="82">
        <v>45016</v>
      </c>
      <c r="O19" s="161">
        <v>368.72</v>
      </c>
      <c r="P19" s="192">
        <v>0</v>
      </c>
      <c r="Q19" s="161">
        <v>0</v>
      </c>
      <c r="R19" s="114">
        <v>144.12</v>
      </c>
      <c r="S19" s="185">
        <v>681</v>
      </c>
      <c r="T19" s="161">
        <v>0</v>
      </c>
    </row>
    <row r="20" spans="2:20" ht="16.5" customHeight="1" x14ac:dyDescent="0.3">
      <c r="B20" s="81">
        <v>16</v>
      </c>
      <c r="C20" s="82">
        <v>45017</v>
      </c>
      <c r="D20" s="82">
        <v>45046</v>
      </c>
      <c r="E20" s="162">
        <v>500.69</v>
      </c>
      <c r="F20" s="185">
        <v>27363</v>
      </c>
      <c r="G20" s="161">
        <v>11</v>
      </c>
      <c r="H20" s="162">
        <v>13</v>
      </c>
      <c r="I20" s="184">
        <v>24745</v>
      </c>
      <c r="J20" s="165">
        <v>0</v>
      </c>
      <c r="K20" s="91"/>
      <c r="L20" s="81">
        <v>16</v>
      </c>
      <c r="M20" s="82">
        <v>45017</v>
      </c>
      <c r="N20" s="82">
        <v>45046</v>
      </c>
      <c r="O20" s="161">
        <v>371.69</v>
      </c>
      <c r="P20" s="192">
        <v>0</v>
      </c>
      <c r="Q20" s="161">
        <v>0</v>
      </c>
      <c r="R20" s="114">
        <v>123.51</v>
      </c>
      <c r="S20" s="185">
        <v>784</v>
      </c>
      <c r="T20" s="161">
        <v>0</v>
      </c>
    </row>
    <row r="21" spans="2:20" ht="16.5" customHeight="1" x14ac:dyDescent="0.3">
      <c r="B21" s="81">
        <v>17</v>
      </c>
      <c r="C21" s="82">
        <v>45047</v>
      </c>
      <c r="D21" s="82">
        <v>45077</v>
      </c>
      <c r="E21" s="162">
        <v>372.03</v>
      </c>
      <c r="F21" s="185">
        <v>24878</v>
      </c>
      <c r="G21" s="161">
        <v>10.000999999999999</v>
      </c>
      <c r="H21" s="162">
        <v>55</v>
      </c>
      <c r="I21" s="184">
        <v>22290</v>
      </c>
      <c r="J21" s="165">
        <v>0</v>
      </c>
      <c r="K21" s="91"/>
      <c r="L21" s="81">
        <v>17</v>
      </c>
      <c r="M21" s="82">
        <v>45047</v>
      </c>
      <c r="N21" s="82">
        <v>45077</v>
      </c>
      <c r="O21" s="161">
        <v>349.47</v>
      </c>
      <c r="P21" s="192">
        <v>0</v>
      </c>
      <c r="Q21" s="161">
        <v>0</v>
      </c>
      <c r="R21" s="114">
        <v>120.1</v>
      </c>
      <c r="S21" s="185">
        <v>1270</v>
      </c>
      <c r="T21" s="161">
        <v>0</v>
      </c>
    </row>
    <row r="22" spans="2:20" ht="16.5" customHeight="1" x14ac:dyDescent="0.3">
      <c r="B22" s="81">
        <v>18</v>
      </c>
      <c r="C22" s="82">
        <v>45078</v>
      </c>
      <c r="D22" s="82">
        <v>45107</v>
      </c>
      <c r="E22" s="162">
        <v>369.94</v>
      </c>
      <c r="F22" s="185">
        <v>23241</v>
      </c>
      <c r="G22" s="161">
        <v>9.343</v>
      </c>
      <c r="H22" s="162">
        <v>95.5</v>
      </c>
      <c r="I22" s="184">
        <v>21683</v>
      </c>
      <c r="J22" s="165">
        <v>0</v>
      </c>
      <c r="K22" s="91"/>
      <c r="L22" s="81">
        <v>18</v>
      </c>
      <c r="M22" s="82">
        <v>45078</v>
      </c>
      <c r="N22" s="82">
        <v>45107</v>
      </c>
      <c r="O22" s="161">
        <v>392.32</v>
      </c>
      <c r="P22" s="192">
        <v>0</v>
      </c>
      <c r="Q22" s="161">
        <v>0</v>
      </c>
      <c r="R22" s="114">
        <v>125.58</v>
      </c>
      <c r="S22" s="185">
        <v>959.52</v>
      </c>
      <c r="T22" s="161">
        <v>0</v>
      </c>
    </row>
    <row r="23" spans="2:20" ht="16.5" customHeight="1" x14ac:dyDescent="0.3">
      <c r="B23" s="81">
        <v>19</v>
      </c>
      <c r="C23" s="82">
        <v>45108</v>
      </c>
      <c r="D23" s="82">
        <v>45138</v>
      </c>
      <c r="E23" s="162">
        <v>350.74</v>
      </c>
      <c r="F23" s="185">
        <v>24898</v>
      </c>
      <c r="G23" s="161">
        <v>10.009</v>
      </c>
      <c r="H23" s="162">
        <v>42.85</v>
      </c>
      <c r="I23" s="184">
        <v>21288</v>
      </c>
      <c r="J23" s="165">
        <v>0</v>
      </c>
      <c r="K23" s="91"/>
      <c r="L23" s="81">
        <v>19</v>
      </c>
      <c r="M23" s="82">
        <v>45108</v>
      </c>
      <c r="N23" s="82">
        <v>45138</v>
      </c>
      <c r="O23" s="161">
        <v>465.93</v>
      </c>
      <c r="P23" s="192">
        <v>0</v>
      </c>
      <c r="Q23" s="161">
        <v>0</v>
      </c>
      <c r="R23" s="114">
        <v>125.3</v>
      </c>
      <c r="S23" s="185">
        <v>992</v>
      </c>
      <c r="T23" s="161">
        <v>0</v>
      </c>
    </row>
    <row r="24" spans="2:20" ht="16.5" customHeight="1" x14ac:dyDescent="0.3">
      <c r="B24" s="81">
        <v>20</v>
      </c>
      <c r="C24" s="82">
        <v>45139</v>
      </c>
      <c r="D24" s="82">
        <v>45169</v>
      </c>
      <c r="E24" s="162">
        <v>375.87</v>
      </c>
      <c r="F24" s="185">
        <v>22388</v>
      </c>
      <c r="G24" s="161">
        <v>9</v>
      </c>
      <c r="H24" s="162">
        <v>91</v>
      </c>
      <c r="I24" s="184">
        <v>21538</v>
      </c>
      <c r="J24" s="165">
        <v>0</v>
      </c>
      <c r="K24" s="91"/>
      <c r="L24" s="81">
        <v>20</v>
      </c>
      <c r="M24" s="82">
        <v>45139</v>
      </c>
      <c r="N24" s="82">
        <v>45169</v>
      </c>
      <c r="O24" s="161">
        <v>435.85</v>
      </c>
      <c r="P24" s="192">
        <v>0</v>
      </c>
      <c r="Q24" s="161">
        <v>0</v>
      </c>
      <c r="R24" s="114">
        <v>120.21</v>
      </c>
      <c r="S24" s="185">
        <v>1026.98</v>
      </c>
      <c r="T24" s="161">
        <v>0</v>
      </c>
    </row>
    <row r="25" spans="2:20" ht="16.5" customHeight="1" x14ac:dyDescent="0.3">
      <c r="B25" s="81">
        <v>21</v>
      </c>
      <c r="C25" s="82">
        <v>45170</v>
      </c>
      <c r="D25" s="82">
        <v>45199</v>
      </c>
      <c r="E25" s="162">
        <v>333.99</v>
      </c>
      <c r="F25" s="185">
        <v>22388</v>
      </c>
      <c r="G25" s="161">
        <v>9</v>
      </c>
      <c r="H25" s="162">
        <v>30.05</v>
      </c>
      <c r="I25" s="184">
        <v>21438</v>
      </c>
      <c r="J25" s="165">
        <v>0</v>
      </c>
      <c r="K25" s="91"/>
      <c r="L25" s="81">
        <v>21</v>
      </c>
      <c r="M25" s="82">
        <v>45170</v>
      </c>
      <c r="N25" s="82">
        <v>45199</v>
      </c>
      <c r="O25" s="161">
        <v>418.07</v>
      </c>
      <c r="P25" s="192">
        <v>0</v>
      </c>
      <c r="Q25" s="161">
        <v>0</v>
      </c>
      <c r="R25" s="114">
        <v>125.99</v>
      </c>
      <c r="S25" s="185">
        <v>942.98000000001048</v>
      </c>
      <c r="T25" s="161">
        <v>0</v>
      </c>
    </row>
    <row r="26" spans="2:20" ht="16.5" customHeight="1" x14ac:dyDescent="0.3">
      <c r="B26" s="81">
        <v>22</v>
      </c>
      <c r="C26" s="82">
        <v>45200</v>
      </c>
      <c r="D26" s="82">
        <v>45230</v>
      </c>
      <c r="E26" s="162">
        <v>369.1</v>
      </c>
      <c r="F26" s="185">
        <v>20289</v>
      </c>
      <c r="G26" s="161">
        <v>8.1560000000000006</v>
      </c>
      <c r="H26" s="162">
        <v>92</v>
      </c>
      <c r="I26" s="184">
        <v>21550</v>
      </c>
      <c r="J26" s="165">
        <v>0</v>
      </c>
      <c r="K26" s="91"/>
      <c r="L26" s="81">
        <v>22</v>
      </c>
      <c r="M26" s="82">
        <v>45200</v>
      </c>
      <c r="N26" s="82">
        <v>45230</v>
      </c>
      <c r="O26" s="161">
        <v>452.11</v>
      </c>
      <c r="P26" s="192">
        <v>0</v>
      </c>
      <c r="Q26" s="161">
        <v>0</v>
      </c>
      <c r="R26" s="185">
        <v>120.24</v>
      </c>
      <c r="S26" s="185">
        <v>885.52</v>
      </c>
      <c r="T26" s="161">
        <v>0</v>
      </c>
    </row>
    <row r="27" spans="2:20" ht="16.5" customHeight="1" x14ac:dyDescent="0.3">
      <c r="B27" s="81">
        <v>23</v>
      </c>
      <c r="C27" s="82">
        <v>45231</v>
      </c>
      <c r="D27" s="82">
        <v>45260</v>
      </c>
      <c r="E27" s="162">
        <v>329.28</v>
      </c>
      <c r="F27" s="185">
        <v>18657</v>
      </c>
      <c r="G27" s="161">
        <v>7.5</v>
      </c>
      <c r="H27" s="162">
        <v>35</v>
      </c>
      <c r="I27" s="184">
        <v>17668</v>
      </c>
      <c r="J27" s="165">
        <v>0</v>
      </c>
      <c r="K27" s="91"/>
      <c r="L27" s="81">
        <v>23</v>
      </c>
      <c r="M27" s="82">
        <v>45231</v>
      </c>
      <c r="N27" s="82">
        <v>45260</v>
      </c>
      <c r="O27" s="161">
        <v>434.15</v>
      </c>
      <c r="P27" s="192">
        <v>0</v>
      </c>
      <c r="Q27" s="161">
        <v>0</v>
      </c>
      <c r="R27" s="114">
        <v>125.11</v>
      </c>
      <c r="S27" s="185">
        <v>830.48</v>
      </c>
      <c r="T27" s="161">
        <v>0</v>
      </c>
    </row>
    <row r="28" spans="2:20" ht="14.25" customHeight="1" x14ac:dyDescent="0.3">
      <c r="B28" s="90"/>
      <c r="C28" s="90"/>
      <c r="D28" s="90"/>
      <c r="E28" s="188">
        <f>SUM(E5:E27)</f>
        <v>11241.389000000003</v>
      </c>
      <c r="F28" s="188">
        <f t="shared" ref="F28:T28" si="1">SUM(F5:F27)</f>
        <v>548585</v>
      </c>
      <c r="G28" s="188">
        <f t="shared" si="1"/>
        <v>220.14499999999998</v>
      </c>
      <c r="H28" s="188">
        <f t="shared" si="1"/>
        <v>669.4</v>
      </c>
      <c r="I28" s="188">
        <f t="shared" si="1"/>
        <v>548858</v>
      </c>
      <c r="J28" s="188">
        <f t="shared" si="1"/>
        <v>0</v>
      </c>
      <c r="L28" s="91"/>
      <c r="M28" s="91"/>
      <c r="N28" s="91"/>
      <c r="O28" s="188">
        <f t="shared" si="1"/>
        <v>8799.880000000001</v>
      </c>
      <c r="P28" s="188">
        <f>SUM(P5:P27)</f>
        <v>12614</v>
      </c>
      <c r="Q28" s="188">
        <f t="shared" si="1"/>
        <v>5.07</v>
      </c>
      <c r="R28" s="188">
        <f t="shared" si="1"/>
        <v>2462.5299999999997</v>
      </c>
      <c r="S28" s="188">
        <f t="shared" si="1"/>
        <v>82289.98000000001</v>
      </c>
      <c r="T28" s="188">
        <f t="shared" si="1"/>
        <v>0</v>
      </c>
    </row>
    <row r="29" spans="2:20" x14ac:dyDescent="0.3">
      <c r="B29" s="90"/>
      <c r="C29" s="90"/>
      <c r="D29" s="90"/>
      <c r="L29" s="90"/>
      <c r="M29" s="90"/>
      <c r="N29" s="90"/>
    </row>
    <row r="30" spans="2:20" x14ac:dyDescent="0.3">
      <c r="B30" s="87" t="s">
        <v>152</v>
      </c>
      <c r="C30" s="88"/>
      <c r="D30" s="88"/>
      <c r="E30" s="88"/>
      <c r="F30" s="88"/>
      <c r="G30" s="88"/>
      <c r="H30" s="88"/>
      <c r="I30" s="88"/>
      <c r="J30" s="89"/>
      <c r="L30" s="87" t="s">
        <v>35</v>
      </c>
      <c r="M30" s="88"/>
      <c r="N30" s="88"/>
      <c r="O30" s="88"/>
      <c r="P30" s="88"/>
      <c r="Q30" s="88"/>
      <c r="R30" s="88"/>
      <c r="S30" s="88"/>
      <c r="T30" s="89"/>
    </row>
    <row r="31" spans="2:20" x14ac:dyDescent="0.3">
      <c r="B31" s="90"/>
      <c r="C31" s="90"/>
      <c r="D31" s="90"/>
      <c r="L31" s="90"/>
      <c r="M31" s="90"/>
      <c r="N31" s="90"/>
    </row>
    <row r="32" spans="2:20" ht="57.6" x14ac:dyDescent="0.3">
      <c r="B32" s="29" t="s">
        <v>20</v>
      </c>
      <c r="C32" s="314" t="s">
        <v>21</v>
      </c>
      <c r="D32" s="314"/>
      <c r="E32" s="30" t="s">
        <v>119</v>
      </c>
      <c r="F32" s="30" t="s">
        <v>123</v>
      </c>
      <c r="G32" s="30" t="s">
        <v>120</v>
      </c>
      <c r="H32" s="30" t="s">
        <v>121</v>
      </c>
      <c r="I32" s="30" t="s">
        <v>22</v>
      </c>
      <c r="J32" s="30" t="s">
        <v>122</v>
      </c>
      <c r="L32" s="29" t="s">
        <v>20</v>
      </c>
      <c r="M32" s="314" t="s">
        <v>21</v>
      </c>
      <c r="N32" s="314"/>
      <c r="O32" s="30" t="s">
        <v>119</v>
      </c>
      <c r="P32" s="30" t="s">
        <v>123</v>
      </c>
      <c r="Q32" s="30" t="s">
        <v>120</v>
      </c>
      <c r="R32" s="30" t="s">
        <v>121</v>
      </c>
      <c r="S32" s="30" t="s">
        <v>22</v>
      </c>
      <c r="T32" s="30" t="s">
        <v>122</v>
      </c>
    </row>
    <row r="33" spans="2:20" x14ac:dyDescent="0.3">
      <c r="B33" s="79"/>
      <c r="C33" s="79" t="s">
        <v>1</v>
      </c>
      <c r="D33" s="79" t="s">
        <v>2</v>
      </c>
      <c r="E33" s="79"/>
      <c r="F33" s="79"/>
      <c r="G33" s="79" t="s">
        <v>23</v>
      </c>
      <c r="H33" s="79" t="s">
        <v>23</v>
      </c>
      <c r="I33" s="79" t="s">
        <v>124</v>
      </c>
      <c r="J33" s="80"/>
      <c r="L33" s="79"/>
      <c r="M33" s="79" t="s">
        <v>1</v>
      </c>
      <c r="N33" s="79" t="s">
        <v>2</v>
      </c>
      <c r="O33" s="79"/>
      <c r="P33" s="79"/>
      <c r="Q33" s="79" t="s">
        <v>23</v>
      </c>
      <c r="R33" s="79" t="s">
        <v>23</v>
      </c>
      <c r="S33" s="79" t="s">
        <v>124</v>
      </c>
      <c r="T33" s="80"/>
    </row>
    <row r="34" spans="2:20" ht="16.5" customHeight="1" x14ac:dyDescent="0.3">
      <c r="B34" s="81">
        <v>1</v>
      </c>
      <c r="C34" s="82">
        <v>44562</v>
      </c>
      <c r="D34" s="82">
        <v>44592</v>
      </c>
      <c r="E34" s="160">
        <f>95.18+137.07+135.98+0</f>
        <v>368.23</v>
      </c>
      <c r="F34" s="183">
        <v>4229</v>
      </c>
      <c r="G34" s="159">
        <v>1.7</v>
      </c>
      <c r="H34" s="159">
        <v>100</v>
      </c>
      <c r="I34" s="183">
        <v>8184</v>
      </c>
      <c r="J34" s="164">
        <v>0</v>
      </c>
      <c r="K34" s="91"/>
      <c r="L34" s="81">
        <v>1</v>
      </c>
      <c r="M34" s="82">
        <v>44562</v>
      </c>
      <c r="N34" s="82">
        <v>44592</v>
      </c>
      <c r="O34" s="184">
        <v>385.39199999999994</v>
      </c>
      <c r="P34" s="183">
        <v>20381</v>
      </c>
      <c r="Q34" s="159">
        <v>8.1929999999999996</v>
      </c>
      <c r="R34" s="160">
        <v>0</v>
      </c>
      <c r="S34" s="183">
        <v>19412</v>
      </c>
      <c r="T34" s="164">
        <v>0</v>
      </c>
    </row>
    <row r="35" spans="2:20" ht="16.5" customHeight="1" x14ac:dyDescent="0.3">
      <c r="B35" s="81">
        <v>2</v>
      </c>
      <c r="C35" s="82">
        <v>44593</v>
      </c>
      <c r="D35" s="82">
        <v>44620</v>
      </c>
      <c r="E35" s="160">
        <f>92.68+162.39+132.48+0</f>
        <v>387.54999999999995</v>
      </c>
      <c r="F35" s="183">
        <v>5597</v>
      </c>
      <c r="G35" s="159">
        <v>2.25</v>
      </c>
      <c r="H35" s="159">
        <v>100</v>
      </c>
      <c r="I35" s="183">
        <v>7688</v>
      </c>
      <c r="J35" s="164">
        <v>0</v>
      </c>
      <c r="K35" s="91"/>
      <c r="L35" s="81">
        <v>2</v>
      </c>
      <c r="M35" s="82">
        <v>44593</v>
      </c>
      <c r="N35" s="82">
        <v>44620</v>
      </c>
      <c r="O35" s="184">
        <v>324.52999999999997</v>
      </c>
      <c r="P35" s="183">
        <v>15423</v>
      </c>
      <c r="Q35" s="159">
        <v>6.2</v>
      </c>
      <c r="R35" s="160">
        <v>10</v>
      </c>
      <c r="S35" s="183">
        <v>11362</v>
      </c>
      <c r="T35" s="164">
        <v>0</v>
      </c>
    </row>
    <row r="36" spans="2:20" ht="16.5" customHeight="1" x14ac:dyDescent="0.3">
      <c r="B36" s="81">
        <v>3</v>
      </c>
      <c r="C36" s="82">
        <v>44621</v>
      </c>
      <c r="D36" s="82">
        <v>44651</v>
      </c>
      <c r="E36" s="160">
        <f>102.58+87.47+134.06+0</f>
        <v>324.11</v>
      </c>
      <c r="F36" s="183">
        <v>6219</v>
      </c>
      <c r="G36" s="159">
        <v>2.5</v>
      </c>
      <c r="H36" s="159">
        <v>125</v>
      </c>
      <c r="I36" s="183">
        <v>6123</v>
      </c>
      <c r="J36" s="164">
        <v>0</v>
      </c>
      <c r="K36" s="91"/>
      <c r="L36" s="81">
        <v>3</v>
      </c>
      <c r="M36" s="82">
        <v>44621</v>
      </c>
      <c r="N36" s="82">
        <v>44651</v>
      </c>
      <c r="O36" s="183">
        <v>335.98599999999999</v>
      </c>
      <c r="P36" s="183">
        <v>17413</v>
      </c>
      <c r="Q36" s="159">
        <v>7</v>
      </c>
      <c r="R36" s="160">
        <v>25</v>
      </c>
      <c r="S36" s="183">
        <v>20742</v>
      </c>
      <c r="T36" s="166">
        <v>0</v>
      </c>
    </row>
    <row r="37" spans="2:20" ht="16.5" customHeight="1" x14ac:dyDescent="0.3">
      <c r="B37" s="81">
        <v>4</v>
      </c>
      <c r="C37" s="82">
        <v>44652</v>
      </c>
      <c r="D37" s="82">
        <v>44681</v>
      </c>
      <c r="E37" s="160">
        <f>109.78+150.24+129+0</f>
        <v>389.02</v>
      </c>
      <c r="F37" s="183">
        <v>4353</v>
      </c>
      <c r="G37" s="159">
        <v>1.75</v>
      </c>
      <c r="H37" s="159">
        <v>101</v>
      </c>
      <c r="I37" s="183">
        <v>7226</v>
      </c>
      <c r="J37" s="166">
        <v>0</v>
      </c>
      <c r="K37" s="91"/>
      <c r="L37" s="81">
        <v>4</v>
      </c>
      <c r="M37" s="82">
        <v>44652</v>
      </c>
      <c r="N37" s="82">
        <v>44681</v>
      </c>
      <c r="O37" s="183">
        <v>511.69499999999994</v>
      </c>
      <c r="P37" s="183">
        <v>24876</v>
      </c>
      <c r="Q37" s="159">
        <v>10</v>
      </c>
      <c r="R37" s="160">
        <v>0</v>
      </c>
      <c r="S37" s="183">
        <v>24772</v>
      </c>
      <c r="T37" s="166">
        <v>0</v>
      </c>
    </row>
    <row r="38" spans="2:20" ht="16.5" customHeight="1" x14ac:dyDescent="0.3">
      <c r="B38" s="81">
        <v>5</v>
      </c>
      <c r="C38" s="82">
        <v>44682</v>
      </c>
      <c r="D38" s="82">
        <v>44712</v>
      </c>
      <c r="E38" s="160">
        <f>128.47+152.61+116.14+0</f>
        <v>397.22</v>
      </c>
      <c r="F38" s="183">
        <v>5597</v>
      </c>
      <c r="G38" s="159">
        <v>2.25</v>
      </c>
      <c r="H38" s="159">
        <v>101</v>
      </c>
      <c r="I38" s="183">
        <v>6322</v>
      </c>
      <c r="J38" s="166">
        <v>0</v>
      </c>
      <c r="K38" s="91"/>
      <c r="L38" s="81">
        <v>5</v>
      </c>
      <c r="M38" s="82">
        <v>44682</v>
      </c>
      <c r="N38" s="82">
        <v>44712</v>
      </c>
      <c r="O38" s="183">
        <v>877.74499999999989</v>
      </c>
      <c r="P38" s="183">
        <v>24876</v>
      </c>
      <c r="Q38" s="159">
        <v>10</v>
      </c>
      <c r="R38" s="160">
        <v>0</v>
      </c>
      <c r="S38" s="183">
        <v>26274</v>
      </c>
      <c r="T38" s="166">
        <v>0</v>
      </c>
    </row>
    <row r="39" spans="2:20" ht="16.5" customHeight="1" x14ac:dyDescent="0.3">
      <c r="B39" s="81">
        <v>6</v>
      </c>
      <c r="C39" s="82">
        <v>44713</v>
      </c>
      <c r="D39" s="82">
        <v>44742</v>
      </c>
      <c r="E39" s="160">
        <f>118.78+146.5+108.22+0</f>
        <v>373.5</v>
      </c>
      <c r="F39" s="183">
        <v>6219</v>
      </c>
      <c r="G39" s="159">
        <v>2.5</v>
      </c>
      <c r="H39" s="159">
        <v>100</v>
      </c>
      <c r="I39" s="183">
        <v>6921</v>
      </c>
      <c r="J39" s="166">
        <v>0</v>
      </c>
      <c r="K39" s="91"/>
      <c r="L39" s="81">
        <v>6</v>
      </c>
      <c r="M39" s="82">
        <v>44713</v>
      </c>
      <c r="N39" s="82">
        <v>44742</v>
      </c>
      <c r="O39" s="183">
        <v>1104.9000000000001</v>
      </c>
      <c r="P39" s="183">
        <v>31095</v>
      </c>
      <c r="Q39" s="159">
        <v>12.5</v>
      </c>
      <c r="R39" s="160">
        <v>18</v>
      </c>
      <c r="S39" s="183">
        <v>29936</v>
      </c>
      <c r="T39" s="166">
        <v>0</v>
      </c>
    </row>
    <row r="40" spans="2:20" ht="16.5" customHeight="1" x14ac:dyDescent="0.3">
      <c r="B40" s="81">
        <v>7</v>
      </c>
      <c r="C40" s="82">
        <v>44743</v>
      </c>
      <c r="D40" s="82">
        <v>44773</v>
      </c>
      <c r="E40" s="160">
        <f>119.83+165+137+0</f>
        <v>421.83</v>
      </c>
      <c r="F40" s="183">
        <v>5373</v>
      </c>
      <c r="G40" s="159">
        <v>2.16</v>
      </c>
      <c r="H40" s="159">
        <v>105</v>
      </c>
      <c r="I40" s="183">
        <v>5900</v>
      </c>
      <c r="J40" s="166">
        <v>0</v>
      </c>
      <c r="K40" s="91"/>
      <c r="L40" s="81">
        <v>7</v>
      </c>
      <c r="M40" s="82">
        <v>44743</v>
      </c>
      <c r="N40" s="82">
        <v>44773</v>
      </c>
      <c r="O40" s="183">
        <v>962.27499999999998</v>
      </c>
      <c r="P40" s="183">
        <v>34826</v>
      </c>
      <c r="Q40" s="159">
        <v>14</v>
      </c>
      <c r="R40" s="160">
        <v>16</v>
      </c>
      <c r="S40" s="183">
        <v>32410</v>
      </c>
      <c r="T40" s="166">
        <v>0</v>
      </c>
    </row>
    <row r="41" spans="2:20" ht="16.5" customHeight="1" x14ac:dyDescent="0.3">
      <c r="B41" s="81">
        <v>8</v>
      </c>
      <c r="C41" s="82">
        <v>44774</v>
      </c>
      <c r="D41" s="82">
        <v>44804</v>
      </c>
      <c r="E41" s="160">
        <f>129.14+123.9+79.02+6.87</f>
        <v>338.93</v>
      </c>
      <c r="F41" s="183">
        <v>5721</v>
      </c>
      <c r="G41" s="159">
        <v>2.2999999999999998</v>
      </c>
      <c r="H41" s="159">
        <v>110</v>
      </c>
      <c r="I41" s="183">
        <v>7879</v>
      </c>
      <c r="J41" s="166">
        <v>0</v>
      </c>
      <c r="K41" s="91"/>
      <c r="L41" s="81">
        <v>8</v>
      </c>
      <c r="M41" s="82">
        <v>44774</v>
      </c>
      <c r="N41" s="82">
        <v>44804</v>
      </c>
      <c r="O41" s="183">
        <v>625.1</v>
      </c>
      <c r="P41" s="183">
        <v>27363</v>
      </c>
      <c r="Q41" s="159">
        <v>11</v>
      </c>
      <c r="R41" s="160">
        <v>21</v>
      </c>
      <c r="S41" s="183">
        <v>28660</v>
      </c>
      <c r="T41" s="166">
        <v>0</v>
      </c>
    </row>
    <row r="42" spans="2:20" ht="16.5" customHeight="1" x14ac:dyDescent="0.3">
      <c r="B42" s="81">
        <v>9</v>
      </c>
      <c r="C42" s="82">
        <v>44805</v>
      </c>
      <c r="D42" s="82">
        <v>44834</v>
      </c>
      <c r="E42" s="160">
        <f>123.98+163.76+142.31+20.48</f>
        <v>450.53000000000003</v>
      </c>
      <c r="F42" s="183">
        <v>6219</v>
      </c>
      <c r="G42" s="159">
        <v>2.5</v>
      </c>
      <c r="H42" s="159">
        <v>110</v>
      </c>
      <c r="I42" s="183">
        <v>13344</v>
      </c>
      <c r="J42" s="166">
        <v>0</v>
      </c>
      <c r="K42" s="91"/>
      <c r="L42" s="81">
        <v>9</v>
      </c>
      <c r="M42" s="82">
        <v>44805</v>
      </c>
      <c r="N42" s="82">
        <v>44834</v>
      </c>
      <c r="O42" s="183">
        <v>634.90000000000009</v>
      </c>
      <c r="P42" s="183">
        <v>27363</v>
      </c>
      <c r="Q42" s="159">
        <v>11</v>
      </c>
      <c r="R42" s="160">
        <v>0</v>
      </c>
      <c r="S42" s="183">
        <v>41726</v>
      </c>
      <c r="T42" s="166">
        <v>0</v>
      </c>
    </row>
    <row r="43" spans="2:20" ht="16.5" customHeight="1" x14ac:dyDescent="0.3">
      <c r="B43" s="81">
        <v>10</v>
      </c>
      <c r="C43" s="82">
        <v>44835</v>
      </c>
      <c r="D43" s="82">
        <v>44865</v>
      </c>
      <c r="E43" s="160">
        <f>150.39+147.93+88.11+21.98</f>
        <v>408.41</v>
      </c>
      <c r="F43" s="183">
        <v>7463</v>
      </c>
      <c r="G43" s="159">
        <v>3</v>
      </c>
      <c r="H43" s="160">
        <v>110</v>
      </c>
      <c r="I43" s="183">
        <v>13344</v>
      </c>
      <c r="J43" s="166">
        <v>0</v>
      </c>
      <c r="K43" s="91"/>
      <c r="L43" s="81">
        <v>10</v>
      </c>
      <c r="M43" s="82">
        <v>44835</v>
      </c>
      <c r="N43" s="82">
        <v>44865</v>
      </c>
      <c r="O43" s="183">
        <v>457.01000000000005</v>
      </c>
      <c r="P43" s="183">
        <v>37313</v>
      </c>
      <c r="Q43" s="159">
        <v>15</v>
      </c>
      <c r="R43" s="160">
        <v>41</v>
      </c>
      <c r="S43" s="183">
        <v>28971</v>
      </c>
      <c r="T43" s="166">
        <v>0</v>
      </c>
    </row>
    <row r="44" spans="2:20" ht="16.5" customHeight="1" x14ac:dyDescent="0.3">
      <c r="B44" s="81">
        <v>11</v>
      </c>
      <c r="C44" s="82">
        <v>44866</v>
      </c>
      <c r="D44" s="82">
        <v>44895</v>
      </c>
      <c r="E44" s="160">
        <f>146.9+158.93+132.37+24.49</f>
        <v>462.69000000000005</v>
      </c>
      <c r="F44" s="183">
        <v>6343</v>
      </c>
      <c r="G44" s="159">
        <v>2.5499999999999998</v>
      </c>
      <c r="H44" s="160">
        <v>111</v>
      </c>
      <c r="I44" s="183">
        <v>12559</v>
      </c>
      <c r="J44" s="166">
        <v>0</v>
      </c>
      <c r="K44" s="91"/>
      <c r="L44" s="81">
        <v>11</v>
      </c>
      <c r="M44" s="82">
        <v>44866</v>
      </c>
      <c r="N44" s="82">
        <v>44895</v>
      </c>
      <c r="O44" s="183">
        <v>455.4</v>
      </c>
      <c r="P44" s="183">
        <v>34826</v>
      </c>
      <c r="Q44" s="159">
        <v>14</v>
      </c>
      <c r="R44" s="159">
        <v>0</v>
      </c>
      <c r="S44" s="183">
        <v>29214</v>
      </c>
      <c r="T44" s="166">
        <v>0</v>
      </c>
    </row>
    <row r="45" spans="2:20" ht="16.5" customHeight="1" x14ac:dyDescent="0.3">
      <c r="B45" s="186">
        <v>12</v>
      </c>
      <c r="C45" s="187">
        <v>44896</v>
      </c>
      <c r="D45" s="187">
        <v>44926</v>
      </c>
      <c r="E45" s="160">
        <f>153.85+153.33+139.05+28.81</f>
        <v>475.04</v>
      </c>
      <c r="F45" s="183">
        <v>6468</v>
      </c>
      <c r="G45" s="159">
        <v>2.6</v>
      </c>
      <c r="H45" s="160">
        <v>111</v>
      </c>
      <c r="I45" s="183">
        <v>12000</v>
      </c>
      <c r="J45" s="159">
        <v>0</v>
      </c>
      <c r="K45" s="91"/>
      <c r="L45" s="186">
        <v>12</v>
      </c>
      <c r="M45" s="187">
        <v>44896</v>
      </c>
      <c r="N45" s="187">
        <v>44926</v>
      </c>
      <c r="O45" s="183">
        <v>162.44499999999994</v>
      </c>
      <c r="P45" s="183">
        <v>36070</v>
      </c>
      <c r="Q45" s="159">
        <v>14.5</v>
      </c>
      <c r="R45" s="159">
        <v>20</v>
      </c>
      <c r="S45" s="183">
        <v>30000</v>
      </c>
      <c r="T45" s="159">
        <v>0</v>
      </c>
    </row>
    <row r="46" spans="2:20" ht="16.2" customHeight="1" x14ac:dyDescent="0.3">
      <c r="B46" s="81">
        <v>13</v>
      </c>
      <c r="C46" s="82">
        <v>44927</v>
      </c>
      <c r="D46" s="82">
        <v>44957</v>
      </c>
      <c r="E46" s="162">
        <f>141.42+137.57+126.15+34.99</f>
        <v>440.13</v>
      </c>
      <c r="F46" s="185">
        <v>6244</v>
      </c>
      <c r="G46" s="161">
        <v>2.5099999999999998</v>
      </c>
      <c r="H46" s="161">
        <v>130.01</v>
      </c>
      <c r="I46" s="185">
        <v>49776</v>
      </c>
      <c r="J46" s="165">
        <v>0</v>
      </c>
      <c r="K46" s="91"/>
      <c r="L46" s="81">
        <v>13</v>
      </c>
      <c r="M46" s="82">
        <v>44927</v>
      </c>
      <c r="N46" s="82">
        <v>44957</v>
      </c>
      <c r="O46" s="114">
        <v>128.12300000000005</v>
      </c>
      <c r="P46" s="185">
        <v>39800.995024875621</v>
      </c>
      <c r="Q46" s="161">
        <v>16</v>
      </c>
      <c r="R46" s="162">
        <v>0</v>
      </c>
      <c r="S46" s="185">
        <v>33835</v>
      </c>
      <c r="T46" s="165">
        <v>0</v>
      </c>
    </row>
    <row r="47" spans="2:20" ht="16.5" customHeight="1" x14ac:dyDescent="0.3">
      <c r="B47" s="81">
        <v>14</v>
      </c>
      <c r="C47" s="82">
        <v>44958</v>
      </c>
      <c r="D47" s="82">
        <v>44985</v>
      </c>
      <c r="E47" s="162">
        <f>119.64+146.22+98+24.14</f>
        <v>388</v>
      </c>
      <c r="F47" s="185">
        <v>6617</v>
      </c>
      <c r="G47" s="161">
        <v>2.66</v>
      </c>
      <c r="H47" s="161">
        <v>115</v>
      </c>
      <c r="I47" s="185">
        <v>44262</v>
      </c>
      <c r="J47" s="165">
        <v>0</v>
      </c>
      <c r="K47" s="91"/>
      <c r="L47" s="81">
        <v>14</v>
      </c>
      <c r="M47" s="82">
        <v>44958</v>
      </c>
      <c r="N47" s="82">
        <v>44985</v>
      </c>
      <c r="O47" s="114">
        <v>249.74499999999995</v>
      </c>
      <c r="P47" s="185">
        <v>29851</v>
      </c>
      <c r="Q47" s="161">
        <v>12</v>
      </c>
      <c r="R47" s="162">
        <v>108</v>
      </c>
      <c r="S47" s="185">
        <v>29530</v>
      </c>
      <c r="T47" s="165">
        <v>0</v>
      </c>
    </row>
    <row r="48" spans="2:20" ht="16.5" customHeight="1" x14ac:dyDescent="0.3">
      <c r="B48" s="81">
        <v>15</v>
      </c>
      <c r="C48" s="82">
        <v>44986</v>
      </c>
      <c r="D48" s="82">
        <v>45016</v>
      </c>
      <c r="E48" s="160">
        <f>162.12+147.78+97.93+33.95</f>
        <v>441.78</v>
      </c>
      <c r="F48" s="185">
        <v>6269</v>
      </c>
      <c r="G48" s="161">
        <v>2.52</v>
      </c>
      <c r="H48" s="161">
        <v>130</v>
      </c>
      <c r="I48" s="185">
        <v>32361</v>
      </c>
      <c r="J48" s="165">
        <v>0</v>
      </c>
      <c r="K48" s="91"/>
      <c r="L48" s="81">
        <v>15</v>
      </c>
      <c r="M48" s="82">
        <v>44986</v>
      </c>
      <c r="N48" s="82">
        <v>45016</v>
      </c>
      <c r="O48" s="185">
        <v>549.05000000000007</v>
      </c>
      <c r="P48" s="185">
        <v>29851</v>
      </c>
      <c r="Q48" s="161">
        <v>12</v>
      </c>
      <c r="R48" s="162">
        <v>63</v>
      </c>
      <c r="S48" s="185">
        <v>25126</v>
      </c>
      <c r="T48" s="167">
        <v>0</v>
      </c>
    </row>
    <row r="49" spans="2:20" ht="16.5" customHeight="1" x14ac:dyDescent="0.3">
      <c r="B49" s="81">
        <v>16</v>
      </c>
      <c r="C49" s="82">
        <v>45017</v>
      </c>
      <c r="D49" s="82">
        <v>45046</v>
      </c>
      <c r="E49" s="160">
        <f>172.2+127.97+106.26+43.75</f>
        <v>450.17999999999995</v>
      </c>
      <c r="F49" s="185">
        <v>4975</v>
      </c>
      <c r="G49" s="161">
        <v>2</v>
      </c>
      <c r="H49" s="161">
        <v>125</v>
      </c>
      <c r="I49" s="185">
        <v>35326</v>
      </c>
      <c r="J49" s="167">
        <v>0</v>
      </c>
      <c r="K49" s="91"/>
      <c r="L49" s="81">
        <v>16</v>
      </c>
      <c r="M49" s="82">
        <v>45017</v>
      </c>
      <c r="N49" s="82">
        <v>45046</v>
      </c>
      <c r="O49" s="185">
        <v>459.66999999999996</v>
      </c>
      <c r="P49" s="185">
        <v>24876</v>
      </c>
      <c r="Q49" s="161">
        <v>10</v>
      </c>
      <c r="R49" s="162">
        <v>29</v>
      </c>
      <c r="S49" s="185">
        <v>27220</v>
      </c>
      <c r="T49" s="167">
        <v>0</v>
      </c>
    </row>
    <row r="50" spans="2:20" ht="16.5" customHeight="1" x14ac:dyDescent="0.3">
      <c r="B50" s="81">
        <v>17</v>
      </c>
      <c r="C50" s="82">
        <v>45047</v>
      </c>
      <c r="D50" s="82">
        <v>45077</v>
      </c>
      <c r="E50" s="160">
        <f>183.52+134.3+121.43+23.56</f>
        <v>462.81000000000006</v>
      </c>
      <c r="F50" s="185">
        <v>5124</v>
      </c>
      <c r="G50" s="161">
        <v>2.06</v>
      </c>
      <c r="H50" s="161">
        <v>132</v>
      </c>
      <c r="I50" s="185">
        <v>29636</v>
      </c>
      <c r="J50" s="165">
        <v>0</v>
      </c>
      <c r="K50" s="91"/>
      <c r="L50" s="81">
        <v>17</v>
      </c>
      <c r="M50" s="82">
        <v>45047</v>
      </c>
      <c r="N50" s="82">
        <v>45077</v>
      </c>
      <c r="O50" s="185">
        <v>363.40000000000003</v>
      </c>
      <c r="P50" s="185">
        <v>31095</v>
      </c>
      <c r="Q50" s="161">
        <v>12.5</v>
      </c>
      <c r="R50" s="162">
        <v>0</v>
      </c>
      <c r="S50" s="185">
        <v>24639</v>
      </c>
      <c r="T50" s="165">
        <v>0</v>
      </c>
    </row>
    <row r="51" spans="2:20" ht="16.5" customHeight="1" x14ac:dyDescent="0.3">
      <c r="B51" s="81">
        <v>18</v>
      </c>
      <c r="C51" s="82">
        <v>45078</v>
      </c>
      <c r="D51" s="82">
        <v>45107</v>
      </c>
      <c r="E51" s="160">
        <f>177.91+137.03+115.96+35.66</f>
        <v>466.55999999999995</v>
      </c>
      <c r="F51" s="185">
        <v>7512</v>
      </c>
      <c r="G51" s="161">
        <v>3.02</v>
      </c>
      <c r="H51" s="161">
        <v>128</v>
      </c>
      <c r="I51" s="185">
        <v>41955</v>
      </c>
      <c r="J51" s="165">
        <v>0</v>
      </c>
      <c r="K51" s="91"/>
      <c r="L51" s="81">
        <v>18</v>
      </c>
      <c r="M51" s="82">
        <v>45078</v>
      </c>
      <c r="N51" s="82">
        <v>45107</v>
      </c>
      <c r="O51" s="185">
        <v>652.65</v>
      </c>
      <c r="P51" s="185">
        <v>34826</v>
      </c>
      <c r="Q51" s="161">
        <v>14</v>
      </c>
      <c r="R51" s="162">
        <v>5</v>
      </c>
      <c r="S51" s="185">
        <v>25687.06</v>
      </c>
      <c r="T51" s="165">
        <v>0</v>
      </c>
    </row>
    <row r="52" spans="2:20" ht="16.5" customHeight="1" x14ac:dyDescent="0.3">
      <c r="B52" s="81">
        <v>19</v>
      </c>
      <c r="C52" s="82">
        <v>45108</v>
      </c>
      <c r="D52" s="82">
        <v>45138</v>
      </c>
      <c r="E52" s="160">
        <f>203.43+136.11+138.2</f>
        <v>477.74</v>
      </c>
      <c r="F52" s="185">
        <v>8706</v>
      </c>
      <c r="G52" s="161">
        <v>3.5</v>
      </c>
      <c r="H52" s="161">
        <v>124</v>
      </c>
      <c r="I52" s="185">
        <v>48590</v>
      </c>
      <c r="J52" s="167">
        <v>0</v>
      </c>
      <c r="K52" s="91"/>
      <c r="L52" s="81">
        <v>19</v>
      </c>
      <c r="M52" s="82">
        <v>45108</v>
      </c>
      <c r="N52" s="82">
        <v>45138</v>
      </c>
      <c r="O52" s="185">
        <v>618.28499999999997</v>
      </c>
      <c r="P52" s="185">
        <v>37313</v>
      </c>
      <c r="Q52" s="161">
        <v>15</v>
      </c>
      <c r="R52" s="162">
        <v>0</v>
      </c>
      <c r="S52" s="185">
        <v>38963.94</v>
      </c>
      <c r="T52" s="167">
        <v>0</v>
      </c>
    </row>
    <row r="53" spans="2:20" ht="16.5" customHeight="1" x14ac:dyDescent="0.3">
      <c r="B53" s="81">
        <v>20</v>
      </c>
      <c r="C53" s="82">
        <v>45139</v>
      </c>
      <c r="D53" s="82">
        <v>45169</v>
      </c>
      <c r="E53" s="160">
        <f>203.33+154.35+100.86</f>
        <v>458.54</v>
      </c>
      <c r="F53" s="185">
        <v>6716</v>
      </c>
      <c r="G53" s="161">
        <v>2.7</v>
      </c>
      <c r="H53" s="161">
        <v>130</v>
      </c>
      <c r="I53" s="185">
        <v>44189</v>
      </c>
      <c r="J53" s="165">
        <v>0</v>
      </c>
      <c r="K53" s="91"/>
      <c r="L53" s="81">
        <v>20</v>
      </c>
      <c r="M53" s="82">
        <v>45139</v>
      </c>
      <c r="N53" s="82">
        <v>45169</v>
      </c>
      <c r="O53" s="185">
        <v>452.16000000000008</v>
      </c>
      <c r="P53" s="185">
        <v>29851</v>
      </c>
      <c r="Q53" s="161">
        <v>12</v>
      </c>
      <c r="R53" s="162">
        <v>0</v>
      </c>
      <c r="S53" s="185">
        <v>33065</v>
      </c>
      <c r="T53" s="167">
        <v>0</v>
      </c>
    </row>
    <row r="54" spans="2:20" ht="16.5" customHeight="1" x14ac:dyDescent="0.3">
      <c r="B54" s="81">
        <v>21</v>
      </c>
      <c r="C54" s="82">
        <v>45170</v>
      </c>
      <c r="D54" s="82">
        <v>45199</v>
      </c>
      <c r="E54" s="160">
        <f>200.35+98.6+81.36</f>
        <v>380.31</v>
      </c>
      <c r="F54" s="185">
        <v>4975</v>
      </c>
      <c r="G54" s="161">
        <v>2</v>
      </c>
      <c r="H54" s="161">
        <v>130.30000000000001</v>
      </c>
      <c r="I54" s="185">
        <v>42009</v>
      </c>
      <c r="J54" s="165">
        <v>0</v>
      </c>
      <c r="K54" s="91"/>
      <c r="L54" s="81">
        <v>21</v>
      </c>
      <c r="M54" s="82">
        <v>45170</v>
      </c>
      <c r="N54" s="82">
        <v>45199</v>
      </c>
      <c r="O54" s="185">
        <v>496.83000000000004</v>
      </c>
      <c r="P54" s="185">
        <v>24876</v>
      </c>
      <c r="Q54" s="161">
        <v>10</v>
      </c>
      <c r="R54" s="162">
        <v>25</v>
      </c>
      <c r="S54" s="185">
        <v>28380</v>
      </c>
      <c r="T54" s="165">
        <v>0</v>
      </c>
    </row>
    <row r="55" spans="2:20" ht="16.5" customHeight="1" x14ac:dyDescent="0.3">
      <c r="B55" s="81">
        <v>22</v>
      </c>
      <c r="C55" s="82">
        <v>45200</v>
      </c>
      <c r="D55" s="82">
        <v>45230</v>
      </c>
      <c r="E55" s="160">
        <f>198.4+107.28+91.6</f>
        <v>397.28</v>
      </c>
      <c r="F55" s="185">
        <v>4353</v>
      </c>
      <c r="G55" s="161">
        <v>1.75</v>
      </c>
      <c r="H55" s="160">
        <v>125.15</v>
      </c>
      <c r="I55" s="185">
        <v>42002</v>
      </c>
      <c r="J55" s="167">
        <v>0</v>
      </c>
      <c r="K55" s="91"/>
      <c r="L55" s="81">
        <v>22</v>
      </c>
      <c r="M55" s="82">
        <v>45200</v>
      </c>
      <c r="N55" s="82">
        <v>45230</v>
      </c>
      <c r="O55" s="185">
        <v>378.35</v>
      </c>
      <c r="P55" s="185">
        <v>22699</v>
      </c>
      <c r="Q55" s="161">
        <v>9.125</v>
      </c>
      <c r="R55" s="162">
        <v>12</v>
      </c>
      <c r="S55" s="185">
        <v>25299</v>
      </c>
      <c r="T55" s="165">
        <v>0</v>
      </c>
    </row>
    <row r="56" spans="2:20" ht="16.5" customHeight="1" x14ac:dyDescent="0.3">
      <c r="B56" s="81">
        <v>23</v>
      </c>
      <c r="C56" s="82">
        <v>45231</v>
      </c>
      <c r="D56" s="82">
        <v>45260</v>
      </c>
      <c r="E56" s="160">
        <f>193.2+132.08+120.6</f>
        <v>445.88</v>
      </c>
      <c r="F56" s="185">
        <v>8167</v>
      </c>
      <c r="G56" s="161">
        <v>2.2999999999999998</v>
      </c>
      <c r="H56" s="161">
        <v>128.30000000000001</v>
      </c>
      <c r="I56" s="185">
        <v>9584</v>
      </c>
      <c r="J56" s="165">
        <v>0</v>
      </c>
      <c r="K56" s="91"/>
      <c r="L56" s="81">
        <v>23</v>
      </c>
      <c r="M56" s="82">
        <v>45231</v>
      </c>
      <c r="N56" s="82">
        <v>45260</v>
      </c>
      <c r="O56" s="185">
        <v>307.3</v>
      </c>
      <c r="P56" s="185">
        <v>24876</v>
      </c>
      <c r="Q56" s="161">
        <v>10</v>
      </c>
      <c r="R56" s="162">
        <v>0</v>
      </c>
      <c r="S56" s="185">
        <v>20186</v>
      </c>
      <c r="T56" s="165">
        <v>0</v>
      </c>
    </row>
    <row r="57" spans="2:20" x14ac:dyDescent="0.3">
      <c r="E57" s="188">
        <f>SUM(E34:E56)</f>
        <v>9606.27</v>
      </c>
      <c r="F57" s="188">
        <f t="shared" ref="F57:T57" si="2">SUM(F34:F56)</f>
        <v>139459</v>
      </c>
      <c r="G57" s="188">
        <f t="shared" si="2"/>
        <v>55.080000000000013</v>
      </c>
      <c r="H57" s="188">
        <f t="shared" si="2"/>
        <v>2681.7600000000007</v>
      </c>
      <c r="I57" s="188">
        <f t="shared" si="2"/>
        <v>527180</v>
      </c>
      <c r="J57" s="163">
        <f t="shared" si="2"/>
        <v>0</v>
      </c>
      <c r="O57" s="188">
        <f t="shared" si="2"/>
        <v>11492.940999999999</v>
      </c>
      <c r="P57" s="188">
        <f t="shared" si="2"/>
        <v>661739.99502487562</v>
      </c>
      <c r="Q57" s="163">
        <f t="shared" si="2"/>
        <v>266.01800000000003</v>
      </c>
      <c r="R57" s="163">
        <f t="shared" si="2"/>
        <v>393</v>
      </c>
      <c r="S57" s="188">
        <f t="shared" si="2"/>
        <v>635410</v>
      </c>
      <c r="T57" s="163">
        <f t="shared" si="2"/>
        <v>0</v>
      </c>
    </row>
    <row r="58" spans="2:20" x14ac:dyDescent="0.3">
      <c r="C58" s="83" t="s">
        <v>153</v>
      </c>
      <c r="O58" s="91"/>
      <c r="P58" s="91"/>
      <c r="Q58" s="91"/>
      <c r="R58" s="91"/>
      <c r="S58" s="91"/>
      <c r="T58" s="91"/>
    </row>
    <row r="59" spans="2:20" x14ac:dyDescent="0.3">
      <c r="O59" s="91"/>
      <c r="P59" s="91"/>
      <c r="Q59" s="91"/>
      <c r="R59" s="91"/>
      <c r="S59" s="91"/>
      <c r="T59" s="91"/>
    </row>
    <row r="60" spans="2:20" x14ac:dyDescent="0.3">
      <c r="B60" s="315" t="s">
        <v>219</v>
      </c>
      <c r="C60" s="315"/>
      <c r="D60" s="315"/>
      <c r="E60" s="315"/>
      <c r="F60" s="315"/>
      <c r="G60" s="315"/>
      <c r="H60" s="315"/>
      <c r="O60" s="91"/>
      <c r="P60" s="91"/>
      <c r="Q60" s="91"/>
      <c r="R60" s="91"/>
      <c r="S60" s="91"/>
      <c r="T60" s="91"/>
    </row>
    <row r="61" spans="2:20" x14ac:dyDescent="0.3">
      <c r="B61" s="314" t="s">
        <v>20</v>
      </c>
      <c r="C61" s="314" t="s">
        <v>21</v>
      </c>
      <c r="D61" s="314"/>
      <c r="E61" s="186" t="s">
        <v>167</v>
      </c>
      <c r="F61" s="186" t="s">
        <v>168</v>
      </c>
      <c r="G61" s="186" t="s">
        <v>170</v>
      </c>
      <c r="H61" s="186" t="s">
        <v>169</v>
      </c>
      <c r="O61" s="91"/>
      <c r="P61" s="91"/>
      <c r="Q61" s="91"/>
      <c r="R61" s="91"/>
      <c r="S61" s="91"/>
      <c r="T61" s="91"/>
    </row>
    <row r="62" spans="2:20" ht="57.6" x14ac:dyDescent="0.3">
      <c r="B62" s="314"/>
      <c r="C62" s="314"/>
      <c r="D62" s="314"/>
      <c r="E62" s="30" t="s">
        <v>215</v>
      </c>
      <c r="F62" s="30" t="s">
        <v>215</v>
      </c>
      <c r="G62" s="30" t="s">
        <v>215</v>
      </c>
      <c r="H62" s="30" t="s">
        <v>215</v>
      </c>
      <c r="O62" s="91"/>
      <c r="P62" s="91"/>
      <c r="Q62" s="91"/>
      <c r="R62" s="91"/>
      <c r="S62" s="91"/>
      <c r="T62" s="91"/>
    </row>
    <row r="63" spans="2:20" x14ac:dyDescent="0.3">
      <c r="B63" s="79"/>
      <c r="C63" s="79" t="s">
        <v>1</v>
      </c>
      <c r="D63" s="79" t="s">
        <v>2</v>
      </c>
      <c r="E63" s="79"/>
      <c r="F63" s="79"/>
      <c r="G63" s="79"/>
      <c r="H63" s="79"/>
      <c r="O63" s="91"/>
      <c r="P63" s="91"/>
      <c r="Q63" s="91"/>
      <c r="R63" s="91"/>
      <c r="S63" s="91"/>
      <c r="T63" s="91"/>
    </row>
    <row r="64" spans="2:20" x14ac:dyDescent="0.3">
      <c r="B64" s="81">
        <v>1</v>
      </c>
      <c r="C64" s="82">
        <v>44562</v>
      </c>
      <c r="D64" s="82">
        <v>44592</v>
      </c>
      <c r="E64" s="159">
        <v>145.35999999999999</v>
      </c>
      <c r="F64" s="159">
        <v>311.57</v>
      </c>
      <c r="G64" s="159">
        <v>319.08</v>
      </c>
      <c r="H64" s="159">
        <v>0</v>
      </c>
      <c r="O64" s="91"/>
      <c r="P64" s="91"/>
      <c r="Q64" s="91"/>
      <c r="R64" s="91"/>
      <c r="S64" s="91"/>
      <c r="T64" s="91"/>
    </row>
    <row r="65" spans="2:20" x14ac:dyDescent="0.3">
      <c r="B65" s="81">
        <v>2</v>
      </c>
      <c r="C65" s="82">
        <v>44593</v>
      </c>
      <c r="D65" s="82">
        <v>44620</v>
      </c>
      <c r="E65" s="159">
        <v>100.9</v>
      </c>
      <c r="F65" s="159">
        <v>312.55</v>
      </c>
      <c r="G65" s="159">
        <v>279.67</v>
      </c>
      <c r="H65" s="159">
        <v>0</v>
      </c>
      <c r="O65" s="91"/>
      <c r="P65" s="91"/>
      <c r="Q65" s="91"/>
      <c r="R65" s="91"/>
      <c r="S65" s="91"/>
      <c r="T65" s="91"/>
    </row>
    <row r="66" spans="2:20" x14ac:dyDescent="0.3">
      <c r="B66" s="81">
        <v>3</v>
      </c>
      <c r="C66" s="82">
        <v>44621</v>
      </c>
      <c r="D66" s="82">
        <v>44651</v>
      </c>
      <c r="E66" s="159">
        <v>179.45999999999998</v>
      </c>
      <c r="F66" s="159">
        <v>240.78</v>
      </c>
      <c r="G66" s="159">
        <v>309.18</v>
      </c>
      <c r="H66" s="159">
        <v>0</v>
      </c>
      <c r="O66" s="91"/>
      <c r="P66" s="91"/>
      <c r="Q66" s="91"/>
      <c r="R66" s="91"/>
      <c r="S66" s="91"/>
      <c r="T66" s="91"/>
    </row>
    <row r="67" spans="2:20" x14ac:dyDescent="0.3">
      <c r="B67" s="81">
        <v>4</v>
      </c>
      <c r="C67" s="82">
        <v>44652</v>
      </c>
      <c r="D67" s="82">
        <v>44681</v>
      </c>
      <c r="E67" s="159">
        <v>175.89999999999998</v>
      </c>
      <c r="F67" s="159">
        <v>330.69</v>
      </c>
      <c r="G67" s="159">
        <v>333.89</v>
      </c>
      <c r="H67" s="159">
        <v>0</v>
      </c>
      <c r="O67" s="91"/>
      <c r="P67" s="91"/>
      <c r="Q67" s="91"/>
      <c r="R67" s="91"/>
      <c r="S67" s="91"/>
      <c r="T67" s="91"/>
    </row>
    <row r="68" spans="2:20" x14ac:dyDescent="0.3">
      <c r="B68" s="81">
        <v>5</v>
      </c>
      <c r="C68" s="82">
        <v>44682</v>
      </c>
      <c r="D68" s="82">
        <v>44712</v>
      </c>
      <c r="E68" s="159">
        <v>315.2</v>
      </c>
      <c r="F68" s="159">
        <v>322.22000000000003</v>
      </c>
      <c r="G68" s="159">
        <v>288.99</v>
      </c>
      <c r="H68" s="159">
        <v>0</v>
      </c>
      <c r="O68" s="91"/>
      <c r="P68" s="91"/>
      <c r="Q68" s="91"/>
      <c r="R68" s="91"/>
      <c r="S68" s="91"/>
      <c r="T68" s="91"/>
    </row>
    <row r="69" spans="2:20" x14ac:dyDescent="0.3">
      <c r="B69" s="81">
        <v>6</v>
      </c>
      <c r="C69" s="82">
        <v>44713</v>
      </c>
      <c r="D69" s="82">
        <v>44742</v>
      </c>
      <c r="E69" s="159">
        <v>191.41</v>
      </c>
      <c r="F69" s="159">
        <v>290.17</v>
      </c>
      <c r="G69" s="159">
        <v>340.38</v>
      </c>
      <c r="H69" s="159">
        <v>0</v>
      </c>
      <c r="O69" s="91"/>
      <c r="P69" s="91"/>
      <c r="Q69" s="91"/>
      <c r="R69" s="91"/>
      <c r="S69" s="91"/>
      <c r="T69" s="91"/>
    </row>
    <row r="70" spans="2:20" x14ac:dyDescent="0.3">
      <c r="B70" s="81">
        <v>7</v>
      </c>
      <c r="C70" s="82">
        <v>44743</v>
      </c>
      <c r="D70" s="82">
        <v>44773</v>
      </c>
      <c r="E70" s="159">
        <v>227.01999999999998</v>
      </c>
      <c r="F70" s="159">
        <v>349.83</v>
      </c>
      <c r="G70" s="159">
        <v>347.23</v>
      </c>
      <c r="H70" s="159">
        <v>0</v>
      </c>
      <c r="O70" s="91"/>
      <c r="P70" s="91"/>
      <c r="Q70" s="91"/>
      <c r="R70" s="91"/>
      <c r="S70" s="91"/>
      <c r="T70" s="91"/>
    </row>
    <row r="71" spans="2:20" x14ac:dyDescent="0.3">
      <c r="B71" s="81">
        <v>8</v>
      </c>
      <c r="C71" s="82">
        <v>44774</v>
      </c>
      <c r="D71" s="82">
        <v>44804</v>
      </c>
      <c r="E71" s="159">
        <v>335.73</v>
      </c>
      <c r="F71" s="159">
        <v>262.27</v>
      </c>
      <c r="G71" s="159">
        <v>341.73</v>
      </c>
      <c r="H71" s="159">
        <v>0</v>
      </c>
      <c r="O71" s="91"/>
      <c r="P71" s="91"/>
      <c r="Q71" s="91"/>
      <c r="R71" s="91"/>
      <c r="S71" s="91"/>
      <c r="T71" s="91"/>
    </row>
    <row r="72" spans="2:20" x14ac:dyDescent="0.3">
      <c r="B72" s="81">
        <v>9</v>
      </c>
      <c r="C72" s="82">
        <v>44805</v>
      </c>
      <c r="D72" s="82">
        <v>44834</v>
      </c>
      <c r="E72" s="159">
        <v>55.35</v>
      </c>
      <c r="F72" s="159">
        <v>367.2</v>
      </c>
      <c r="G72" s="159">
        <v>341.15</v>
      </c>
      <c r="H72" s="159">
        <v>0</v>
      </c>
      <c r="O72" s="91"/>
      <c r="P72" s="91"/>
      <c r="Q72" s="91"/>
      <c r="R72" s="91"/>
      <c r="S72" s="91"/>
      <c r="T72" s="91"/>
    </row>
    <row r="73" spans="2:20" x14ac:dyDescent="0.3">
      <c r="B73" s="81">
        <v>10</v>
      </c>
      <c r="C73" s="82">
        <v>44835</v>
      </c>
      <c r="D73" s="82">
        <v>44865</v>
      </c>
      <c r="E73" s="159">
        <v>317.88</v>
      </c>
      <c r="F73" s="159">
        <v>308.41000000000003</v>
      </c>
      <c r="G73" s="159">
        <v>421.2</v>
      </c>
      <c r="H73" s="159">
        <v>0</v>
      </c>
      <c r="O73" s="91"/>
      <c r="P73" s="91"/>
      <c r="Q73" s="91"/>
      <c r="R73" s="91"/>
      <c r="S73" s="91"/>
      <c r="T73" s="91"/>
    </row>
    <row r="74" spans="2:20" x14ac:dyDescent="0.3">
      <c r="B74" s="81">
        <v>11</v>
      </c>
      <c r="C74" s="82">
        <v>44866</v>
      </c>
      <c r="D74" s="82">
        <v>44895</v>
      </c>
      <c r="E74" s="159">
        <v>265.95999999999998</v>
      </c>
      <c r="F74" s="159">
        <v>377.69</v>
      </c>
      <c r="G74" s="159">
        <v>424.25</v>
      </c>
      <c r="H74" s="159">
        <v>0</v>
      </c>
      <c r="O74" s="91"/>
      <c r="P74" s="91"/>
      <c r="Q74" s="91"/>
      <c r="R74" s="91"/>
      <c r="S74" s="91"/>
      <c r="T74" s="91"/>
    </row>
    <row r="75" spans="2:20" x14ac:dyDescent="0.3">
      <c r="B75" s="186">
        <v>12</v>
      </c>
      <c r="C75" s="187">
        <v>44896</v>
      </c>
      <c r="D75" s="187">
        <v>44926</v>
      </c>
      <c r="E75" s="159">
        <v>356.02</v>
      </c>
      <c r="F75" s="159">
        <v>388.38</v>
      </c>
      <c r="G75" s="159">
        <v>449.56</v>
      </c>
      <c r="H75" s="159">
        <v>0</v>
      </c>
      <c r="O75" s="91"/>
      <c r="P75" s="91"/>
      <c r="Q75" s="91"/>
      <c r="R75" s="91"/>
      <c r="S75" s="91"/>
      <c r="T75" s="91"/>
    </row>
    <row r="76" spans="2:20" x14ac:dyDescent="0.3">
      <c r="B76" s="81">
        <v>13</v>
      </c>
      <c r="C76" s="82">
        <v>44927</v>
      </c>
      <c r="D76" s="82">
        <v>44957</v>
      </c>
      <c r="E76" s="161">
        <v>224.17</v>
      </c>
      <c r="F76" s="161">
        <v>356.46999999999997</v>
      </c>
      <c r="G76" s="161">
        <v>402.2</v>
      </c>
      <c r="H76" s="159">
        <v>0</v>
      </c>
      <c r="O76" s="91"/>
      <c r="P76" s="91"/>
      <c r="Q76" s="91"/>
      <c r="R76" s="91"/>
      <c r="S76" s="91"/>
      <c r="T76" s="91"/>
    </row>
    <row r="77" spans="2:20" x14ac:dyDescent="0.3">
      <c r="B77" s="81">
        <v>14</v>
      </c>
      <c r="C77" s="82">
        <v>44958</v>
      </c>
      <c r="D77" s="82">
        <v>44985</v>
      </c>
      <c r="E77" s="161">
        <v>245.01999999999998</v>
      </c>
      <c r="F77" s="161">
        <v>299.33999999999997</v>
      </c>
      <c r="G77" s="161">
        <v>344.09</v>
      </c>
      <c r="H77" s="159">
        <v>0</v>
      </c>
      <c r="O77" s="91"/>
      <c r="P77" s="91"/>
      <c r="Q77" s="91"/>
      <c r="R77" s="91"/>
      <c r="S77" s="91"/>
      <c r="T77" s="91"/>
    </row>
    <row r="78" spans="2:20" x14ac:dyDescent="0.3">
      <c r="B78" s="81">
        <v>15</v>
      </c>
      <c r="C78" s="82">
        <v>44986</v>
      </c>
      <c r="D78" s="82">
        <v>45016</v>
      </c>
      <c r="E78" s="161">
        <v>233.23999999999998</v>
      </c>
      <c r="F78" s="161">
        <v>357.78</v>
      </c>
      <c r="G78" s="161">
        <v>368.72</v>
      </c>
      <c r="H78" s="159">
        <v>0</v>
      </c>
      <c r="O78" s="91"/>
      <c r="P78" s="91"/>
      <c r="Q78" s="91"/>
      <c r="R78" s="91"/>
      <c r="S78" s="91"/>
      <c r="T78" s="91"/>
    </row>
    <row r="79" spans="2:20" x14ac:dyDescent="0.3">
      <c r="B79" s="81">
        <v>16</v>
      </c>
      <c r="C79" s="82">
        <v>45017</v>
      </c>
      <c r="D79" s="82">
        <v>45046</v>
      </c>
      <c r="E79" s="161">
        <v>134.03</v>
      </c>
      <c r="F79" s="161">
        <v>383.52</v>
      </c>
      <c r="G79" s="161">
        <v>371.69</v>
      </c>
      <c r="H79" s="159">
        <v>0</v>
      </c>
      <c r="O79" s="91"/>
      <c r="P79" s="91"/>
      <c r="Q79" s="91"/>
      <c r="R79" s="91"/>
      <c r="S79" s="91"/>
      <c r="T79" s="91"/>
    </row>
    <row r="80" spans="2:20" x14ac:dyDescent="0.3">
      <c r="B80" s="81">
        <v>17</v>
      </c>
      <c r="C80" s="82">
        <v>45047</v>
      </c>
      <c r="D80" s="82">
        <v>45077</v>
      </c>
      <c r="E80" s="161">
        <v>38.669999999999995</v>
      </c>
      <c r="F80" s="161">
        <v>394.15</v>
      </c>
      <c r="G80" s="161">
        <v>349.47</v>
      </c>
      <c r="H80" s="159">
        <v>0</v>
      </c>
      <c r="O80" s="91"/>
      <c r="P80" s="91"/>
      <c r="Q80" s="91"/>
      <c r="R80" s="91"/>
      <c r="S80" s="91"/>
      <c r="T80" s="91"/>
    </row>
    <row r="81" spans="2:20" x14ac:dyDescent="0.3">
      <c r="B81" s="81">
        <v>18</v>
      </c>
      <c r="C81" s="82">
        <v>45078</v>
      </c>
      <c r="D81" s="82">
        <v>45107</v>
      </c>
      <c r="E81" s="161">
        <v>58.51</v>
      </c>
      <c r="F81" s="161">
        <v>365.9</v>
      </c>
      <c r="G81" s="161">
        <v>392.32</v>
      </c>
      <c r="H81" s="159">
        <v>0</v>
      </c>
      <c r="O81" s="91"/>
      <c r="P81" s="91"/>
      <c r="Q81" s="91"/>
      <c r="R81" s="91"/>
      <c r="S81" s="91"/>
      <c r="T81" s="91"/>
    </row>
    <row r="82" spans="2:20" x14ac:dyDescent="0.3">
      <c r="B82" s="81">
        <v>19</v>
      </c>
      <c r="C82" s="82">
        <v>45108</v>
      </c>
      <c r="D82" s="82">
        <v>45138</v>
      </c>
      <c r="E82" s="161">
        <v>0</v>
      </c>
      <c r="F82" s="161">
        <v>361.08</v>
      </c>
      <c r="G82" s="161">
        <v>465.93</v>
      </c>
      <c r="H82" s="159">
        <v>0</v>
      </c>
      <c r="O82" s="91"/>
      <c r="P82" s="91"/>
      <c r="Q82" s="91"/>
      <c r="R82" s="91"/>
      <c r="S82" s="91"/>
      <c r="T82" s="91"/>
    </row>
    <row r="83" spans="2:20" x14ac:dyDescent="0.3">
      <c r="B83" s="81">
        <v>20</v>
      </c>
      <c r="C83" s="82">
        <v>45139</v>
      </c>
      <c r="D83" s="82">
        <v>45169</v>
      </c>
      <c r="E83" s="161">
        <v>75.87</v>
      </c>
      <c r="F83" s="161">
        <v>368.54</v>
      </c>
      <c r="G83" s="161">
        <v>435.85</v>
      </c>
      <c r="H83" s="159">
        <v>0</v>
      </c>
      <c r="O83" s="91"/>
      <c r="P83" s="91"/>
      <c r="Q83" s="91"/>
      <c r="R83" s="91"/>
      <c r="S83" s="91"/>
      <c r="T83" s="91"/>
    </row>
    <row r="84" spans="2:20" x14ac:dyDescent="0.3">
      <c r="B84" s="81">
        <v>21</v>
      </c>
      <c r="C84" s="82">
        <v>45170</v>
      </c>
      <c r="D84" s="82">
        <v>45199</v>
      </c>
      <c r="E84" s="161">
        <v>0</v>
      </c>
      <c r="F84" s="161">
        <v>313.64999999999998</v>
      </c>
      <c r="G84" s="161">
        <v>418.07</v>
      </c>
      <c r="H84" s="159">
        <v>0</v>
      </c>
      <c r="O84" s="91"/>
      <c r="P84" s="91"/>
      <c r="Q84" s="91"/>
      <c r="R84" s="91"/>
      <c r="S84" s="91"/>
      <c r="T84" s="91"/>
    </row>
    <row r="85" spans="2:20" x14ac:dyDescent="0.3">
      <c r="B85" s="81">
        <v>22</v>
      </c>
      <c r="C85" s="82">
        <v>45200</v>
      </c>
      <c r="D85" s="82">
        <v>45230</v>
      </c>
      <c r="E85" s="161">
        <v>97.240000000000009</v>
      </c>
      <c r="F85" s="161">
        <v>338.95</v>
      </c>
      <c r="G85" s="161">
        <v>452.11</v>
      </c>
      <c r="H85" s="159">
        <v>0</v>
      </c>
      <c r="O85" s="91"/>
      <c r="P85" s="91"/>
      <c r="Q85" s="91"/>
      <c r="R85" s="91"/>
      <c r="S85" s="91"/>
      <c r="T85" s="91"/>
    </row>
    <row r="86" spans="2:20" x14ac:dyDescent="0.3">
      <c r="B86" s="81">
        <v>23</v>
      </c>
      <c r="C86" s="82">
        <v>45231</v>
      </c>
      <c r="D86" s="82">
        <v>45260</v>
      </c>
      <c r="E86" s="161">
        <v>79.28</v>
      </c>
      <c r="F86" s="161">
        <v>369.21999999999997</v>
      </c>
      <c r="G86" s="161">
        <v>434.15</v>
      </c>
      <c r="H86" s="159">
        <v>0</v>
      </c>
      <c r="O86" s="91"/>
      <c r="P86" s="91"/>
      <c r="Q86" s="91"/>
      <c r="R86" s="91"/>
      <c r="S86" s="91"/>
      <c r="T86" s="91"/>
    </row>
    <row r="87" spans="2:20" x14ac:dyDescent="0.3">
      <c r="B87" s="315" t="s">
        <v>3</v>
      </c>
      <c r="C87" s="315"/>
      <c r="D87" s="315"/>
      <c r="E87" s="188">
        <f>SUM(E64:E86)</f>
        <v>3852.2200000000007</v>
      </c>
      <c r="F87" s="188">
        <f>SUM(F64:F86)</f>
        <v>7770.3599999999979</v>
      </c>
      <c r="G87" s="188">
        <f>SUM(G64:G86)</f>
        <v>8630.91</v>
      </c>
      <c r="H87" s="163">
        <f>SUM(H64:H86)</f>
        <v>0</v>
      </c>
      <c r="O87" s="91"/>
      <c r="P87" s="91"/>
      <c r="Q87" s="91"/>
      <c r="R87" s="91"/>
      <c r="S87" s="91"/>
      <c r="T87" s="91"/>
    </row>
    <row r="88" spans="2:20" x14ac:dyDescent="0.3">
      <c r="O88" s="91"/>
      <c r="P88" s="91"/>
      <c r="Q88" s="91"/>
      <c r="R88" s="91"/>
      <c r="S88" s="91"/>
      <c r="T88" s="91"/>
    </row>
    <row r="89" spans="2:20" x14ac:dyDescent="0.3">
      <c r="O89" s="91"/>
      <c r="P89" s="91"/>
      <c r="Q89" s="91"/>
      <c r="R89" s="91"/>
      <c r="S89" s="91"/>
      <c r="T89" s="91"/>
    </row>
    <row r="90" spans="2:20" x14ac:dyDescent="0.3">
      <c r="O90" s="91"/>
      <c r="P90" s="91"/>
      <c r="Q90" s="91"/>
      <c r="R90" s="91"/>
      <c r="S90" s="91"/>
      <c r="T90" s="91"/>
    </row>
    <row r="91" spans="2:20" ht="72" x14ac:dyDescent="0.3">
      <c r="B91" s="29" t="s">
        <v>148</v>
      </c>
      <c r="C91" s="29"/>
      <c r="D91" s="30" t="s">
        <v>154</v>
      </c>
      <c r="E91" s="30" t="s">
        <v>123</v>
      </c>
      <c r="F91" s="30" t="s">
        <v>147</v>
      </c>
      <c r="G91" s="30" t="s">
        <v>149</v>
      </c>
      <c r="H91" s="30" t="s">
        <v>141</v>
      </c>
      <c r="I91" s="30" t="s">
        <v>122</v>
      </c>
      <c r="J91" s="30" t="s">
        <v>215</v>
      </c>
      <c r="O91" s="202"/>
      <c r="R91" s="91"/>
      <c r="S91" s="91"/>
      <c r="T91" s="91"/>
    </row>
    <row r="92" spans="2:20" x14ac:dyDescent="0.3">
      <c r="B92" s="155">
        <f>C5</f>
        <v>44562</v>
      </c>
      <c r="C92" s="155">
        <f>D56</f>
        <v>45260</v>
      </c>
      <c r="D92" s="156">
        <f>SUM(E5:E27)+SUM(O5:O27)+SUM(E34:E56)+SUM(O34:O56)</f>
        <v>41140.480000000003</v>
      </c>
      <c r="E92" s="156">
        <f>SUM(F5:F27)+SUM(P5:P27)+SUM(F34:F56)+SUM(P34:P56)</f>
        <v>1362397.9950248757</v>
      </c>
      <c r="F92" s="156">
        <f>SUM(G5:G27)+SUM(Q5:Q27)+SUM(G34:G56)+SUM(Q34:Q56)</f>
        <v>546.31299999999999</v>
      </c>
      <c r="G92" s="156">
        <f>SUM(H5:H27)+SUM(R5:R27)+SUM(H34:H56)+SUM(R34:R56)</f>
        <v>6206.6900000000005</v>
      </c>
      <c r="H92" s="156">
        <f>(SUM(I5:I27)+SUM(S5:S27)+SUM(I34:I56)+SUM(S34:S56))/1000</f>
        <v>1793.7379799999999</v>
      </c>
      <c r="I92" s="141">
        <v>0</v>
      </c>
      <c r="J92" s="234">
        <f>SUM(E87:H87)</f>
        <v>20253.489999999998</v>
      </c>
      <c r="O92" s="202"/>
    </row>
    <row r="93" spans="2:20" x14ac:dyDescent="0.3">
      <c r="O93" s="203"/>
    </row>
    <row r="94" spans="2:20" x14ac:dyDescent="0.3">
      <c r="O94" s="203"/>
    </row>
    <row r="95" spans="2:20" x14ac:dyDescent="0.3">
      <c r="E95" s="91"/>
      <c r="F95" s="91"/>
      <c r="G95" s="91"/>
      <c r="H95" s="91"/>
      <c r="I95" s="91"/>
      <c r="O95" s="203"/>
    </row>
    <row r="96" spans="2:20" x14ac:dyDescent="0.3">
      <c r="O96" s="203"/>
    </row>
    <row r="97" spans="15:15" x14ac:dyDescent="0.3">
      <c r="O97" s="203"/>
    </row>
    <row r="98" spans="15:15" x14ac:dyDescent="0.3">
      <c r="O98" s="203"/>
    </row>
    <row r="99" spans="15:15" x14ac:dyDescent="0.3">
      <c r="O99" s="203"/>
    </row>
    <row r="100" spans="15:15" x14ac:dyDescent="0.3">
      <c r="O100" s="203"/>
    </row>
    <row r="101" spans="15:15" x14ac:dyDescent="0.3">
      <c r="O101" s="203"/>
    </row>
    <row r="102" spans="15:15" x14ac:dyDescent="0.3">
      <c r="O102" s="203"/>
    </row>
    <row r="103" spans="15:15" x14ac:dyDescent="0.3">
      <c r="O103" s="204"/>
    </row>
    <row r="104" spans="15:15" x14ac:dyDescent="0.3">
      <c r="O104" s="204"/>
    </row>
    <row r="105" spans="15:15" x14ac:dyDescent="0.3">
      <c r="O105" s="205"/>
    </row>
    <row r="106" spans="15:15" x14ac:dyDescent="0.3">
      <c r="O106" s="205"/>
    </row>
    <row r="107" spans="15:15" x14ac:dyDescent="0.3">
      <c r="O107" s="205"/>
    </row>
    <row r="108" spans="15:15" x14ac:dyDescent="0.3">
      <c r="O108" s="205"/>
    </row>
    <row r="109" spans="15:15" x14ac:dyDescent="0.3">
      <c r="O109" s="205"/>
    </row>
    <row r="110" spans="15:15" x14ac:dyDescent="0.3">
      <c r="O110" s="205"/>
    </row>
    <row r="111" spans="15:15" x14ac:dyDescent="0.3">
      <c r="O111" s="205"/>
    </row>
    <row r="112" spans="15:15" x14ac:dyDescent="0.3">
      <c r="O112" s="205"/>
    </row>
    <row r="113" spans="15:15" x14ac:dyDescent="0.3">
      <c r="O113" s="205"/>
    </row>
    <row r="114" spans="15:15" x14ac:dyDescent="0.3">
      <c r="O114" s="206"/>
    </row>
  </sheetData>
  <mergeCells count="8">
    <mergeCell ref="B61:B62"/>
    <mergeCell ref="B87:D87"/>
    <mergeCell ref="B60:H60"/>
    <mergeCell ref="C3:D3"/>
    <mergeCell ref="M3:N3"/>
    <mergeCell ref="C32:D32"/>
    <mergeCell ref="M32:N32"/>
    <mergeCell ref="C61:D62"/>
  </mergeCells>
  <pageMargins left="0.7" right="0.7" top="0.75" bottom="0.75" header="0.3" footer="0.3"/>
  <pageSetup paperSize="9"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9BB83-075B-485D-8C2F-E531BE89AD83}">
  <dimension ref="B1:N28"/>
  <sheetViews>
    <sheetView workbookViewId="0">
      <selection activeCell="J4" sqref="J4"/>
    </sheetView>
  </sheetViews>
  <sheetFormatPr defaultRowHeight="14.4" x14ac:dyDescent="0.3"/>
  <cols>
    <col min="4" max="4" width="10.5546875" bestFit="1" customWidth="1"/>
    <col min="5" max="5" width="28" customWidth="1"/>
    <col min="6" max="6" width="17.77734375" customWidth="1"/>
  </cols>
  <sheetData>
    <row r="1" spans="2:9" x14ac:dyDescent="0.3">
      <c r="B1" s="316" t="s">
        <v>33</v>
      </c>
      <c r="C1" s="316"/>
      <c r="D1" s="316"/>
      <c r="E1" s="316"/>
    </row>
    <row r="3" spans="2:9" ht="28.8" x14ac:dyDescent="0.3">
      <c r="B3" s="176" t="s">
        <v>150</v>
      </c>
      <c r="C3" s="303" t="s">
        <v>21</v>
      </c>
      <c r="D3" s="303"/>
      <c r="E3" s="177" t="s">
        <v>151</v>
      </c>
    </row>
    <row r="4" spans="2:9" x14ac:dyDescent="0.3">
      <c r="B4" s="176">
        <v>1</v>
      </c>
      <c r="C4" s="179">
        <v>43586</v>
      </c>
      <c r="D4" s="179">
        <v>43951</v>
      </c>
      <c r="E4" s="180">
        <v>4517</v>
      </c>
    </row>
    <row r="5" spans="2:9" x14ac:dyDescent="0.3">
      <c r="B5" s="176">
        <v>2</v>
      </c>
      <c r="C5" s="179">
        <v>43952</v>
      </c>
      <c r="D5" s="179">
        <v>44316</v>
      </c>
      <c r="E5" s="181">
        <f>1661</f>
        <v>1661</v>
      </c>
    </row>
    <row r="6" spans="2:9" x14ac:dyDescent="0.3">
      <c r="B6" s="176">
        <v>3</v>
      </c>
      <c r="C6" s="179">
        <v>44317</v>
      </c>
      <c r="D6" s="179">
        <v>44561</v>
      </c>
      <c r="E6" s="181">
        <f>3067</f>
        <v>3067</v>
      </c>
    </row>
    <row r="7" spans="2:9" x14ac:dyDescent="0.3">
      <c r="C7" s="178"/>
      <c r="D7" s="178"/>
    </row>
    <row r="9" spans="2:9" x14ac:dyDescent="0.3">
      <c r="B9" s="316" t="s">
        <v>35</v>
      </c>
      <c r="C9" s="316"/>
      <c r="D9" s="316"/>
      <c r="E9" s="316"/>
    </row>
    <row r="10" spans="2:9" x14ac:dyDescent="0.3">
      <c r="I10" s="182"/>
    </row>
    <row r="11" spans="2:9" ht="28.8" x14ac:dyDescent="0.3">
      <c r="B11" s="176" t="s">
        <v>150</v>
      </c>
      <c r="C11" s="303" t="s">
        <v>21</v>
      </c>
      <c r="D11" s="303"/>
      <c r="E11" s="177" t="s">
        <v>151</v>
      </c>
    </row>
    <row r="12" spans="2:9" x14ac:dyDescent="0.3">
      <c r="B12" s="176">
        <v>1</v>
      </c>
      <c r="C12" s="179">
        <v>43586</v>
      </c>
      <c r="D12" s="179">
        <v>43951</v>
      </c>
      <c r="E12" s="180">
        <v>4426</v>
      </c>
    </row>
    <row r="13" spans="2:9" x14ac:dyDescent="0.3">
      <c r="B13" s="176">
        <v>2</v>
      </c>
      <c r="C13" s="179">
        <v>43952</v>
      </c>
      <c r="D13" s="179">
        <v>44316</v>
      </c>
      <c r="E13" s="181">
        <f>2927</f>
        <v>2927</v>
      </c>
    </row>
    <row r="14" spans="2:9" x14ac:dyDescent="0.3">
      <c r="B14" s="176">
        <v>3</v>
      </c>
      <c r="C14" s="179">
        <v>44317</v>
      </c>
      <c r="D14" s="179">
        <v>44561</v>
      </c>
      <c r="E14" s="181">
        <v>4369</v>
      </c>
    </row>
    <row r="16" spans="2:9" x14ac:dyDescent="0.3">
      <c r="B16" s="316" t="s">
        <v>34</v>
      </c>
      <c r="C16" s="316"/>
      <c r="D16" s="316"/>
      <c r="E16" s="316"/>
    </row>
    <row r="18" spans="2:14" ht="28.8" x14ac:dyDescent="0.3">
      <c r="B18" s="176" t="s">
        <v>150</v>
      </c>
      <c r="C18" s="303" t="s">
        <v>21</v>
      </c>
      <c r="D18" s="303"/>
      <c r="E18" s="177" t="s">
        <v>151</v>
      </c>
      <c r="N18" s="207"/>
    </row>
    <row r="19" spans="2:14" x14ac:dyDescent="0.3">
      <c r="B19" s="176">
        <v>1</v>
      </c>
      <c r="C19" s="179">
        <v>43586</v>
      </c>
      <c r="D19" s="179">
        <v>43951</v>
      </c>
      <c r="E19" s="181">
        <v>4510</v>
      </c>
    </row>
    <row r="20" spans="2:14" x14ac:dyDescent="0.3">
      <c r="B20" s="176">
        <v>2</v>
      </c>
      <c r="C20" s="179">
        <v>43952</v>
      </c>
      <c r="D20" s="179">
        <v>44316</v>
      </c>
      <c r="E20" s="181">
        <f>1823</f>
        <v>1823</v>
      </c>
    </row>
    <row r="21" spans="2:14" x14ac:dyDescent="0.3">
      <c r="B21" s="176">
        <v>3</v>
      </c>
      <c r="C21" s="179">
        <v>44317</v>
      </c>
      <c r="D21" s="179">
        <v>44561</v>
      </c>
      <c r="E21" s="181">
        <f>3133</f>
        <v>3133</v>
      </c>
    </row>
    <row r="23" spans="2:14" x14ac:dyDescent="0.3">
      <c r="B23" s="316" t="s">
        <v>30</v>
      </c>
      <c r="C23" s="316"/>
      <c r="D23" s="316"/>
      <c r="E23" s="316"/>
    </row>
    <row r="25" spans="2:14" ht="28.8" x14ac:dyDescent="0.3">
      <c r="B25" s="176" t="s">
        <v>150</v>
      </c>
      <c r="C25" s="303" t="s">
        <v>21</v>
      </c>
      <c r="D25" s="303"/>
      <c r="E25" s="177" t="s">
        <v>151</v>
      </c>
    </row>
    <row r="26" spans="2:14" x14ac:dyDescent="0.3">
      <c r="B26" s="176">
        <v>1</v>
      </c>
      <c r="C26" s="179">
        <v>43586</v>
      </c>
      <c r="D26" s="179">
        <v>43951</v>
      </c>
      <c r="E26" s="180">
        <v>2679</v>
      </c>
    </row>
    <row r="27" spans="2:14" x14ac:dyDescent="0.3">
      <c r="B27" s="176">
        <v>2</v>
      </c>
      <c r="C27" s="179">
        <v>43952</v>
      </c>
      <c r="D27" s="179">
        <v>44316</v>
      </c>
      <c r="E27" s="181">
        <f>1680</f>
        <v>1680</v>
      </c>
    </row>
    <row r="28" spans="2:14" x14ac:dyDescent="0.3">
      <c r="B28" s="176">
        <v>3</v>
      </c>
      <c r="C28" s="179">
        <v>44317</v>
      </c>
      <c r="D28" s="179">
        <v>44561</v>
      </c>
      <c r="E28" s="181">
        <f>2948</f>
        <v>2948</v>
      </c>
    </row>
  </sheetData>
  <mergeCells count="8">
    <mergeCell ref="B23:E23"/>
    <mergeCell ref="C25:D25"/>
    <mergeCell ref="C3:D3"/>
    <mergeCell ref="B1:E1"/>
    <mergeCell ref="B9:E9"/>
    <mergeCell ref="C11:D11"/>
    <mergeCell ref="B16:E16"/>
    <mergeCell ref="C18:D1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531F1-5728-4E07-86F0-C458CB5AAB24}">
  <dimension ref="B2:J32"/>
  <sheetViews>
    <sheetView workbookViewId="0">
      <selection activeCell="K34" sqref="K34"/>
    </sheetView>
  </sheetViews>
  <sheetFormatPr defaultRowHeight="14.4" x14ac:dyDescent="0.3"/>
  <cols>
    <col min="3" max="3" width="12.21875" customWidth="1"/>
    <col min="4" max="4" width="12" bestFit="1" customWidth="1"/>
    <col min="7" max="7" width="9.109375" bestFit="1" customWidth="1"/>
    <col min="10" max="10" width="9.109375" bestFit="1" customWidth="1"/>
  </cols>
  <sheetData>
    <row r="2" spans="2:7" x14ac:dyDescent="0.3">
      <c r="B2" t="s">
        <v>214</v>
      </c>
    </row>
    <row r="7" spans="2:7" x14ac:dyDescent="0.3">
      <c r="B7" t="s">
        <v>167</v>
      </c>
    </row>
    <row r="8" spans="2:7" ht="18" x14ac:dyDescent="0.4">
      <c r="B8" s="221" t="s">
        <v>1</v>
      </c>
      <c r="C8" s="221" t="s">
        <v>2</v>
      </c>
      <c r="D8" s="10" t="s">
        <v>204</v>
      </c>
      <c r="E8" s="10" t="s">
        <v>143</v>
      </c>
      <c r="F8" s="10" t="s">
        <v>55</v>
      </c>
      <c r="G8" s="222" t="s">
        <v>203</v>
      </c>
    </row>
    <row r="9" spans="2:7" x14ac:dyDescent="0.3">
      <c r="B9" s="221">
        <v>44562</v>
      </c>
      <c r="C9" s="221">
        <v>44926</v>
      </c>
      <c r="D9" s="176">
        <f>'Default Values'!C$31</f>
        <v>0.2</v>
      </c>
      <c r="E9" s="223">
        <f>'Project Emissions'!C12</f>
        <v>115.38606</v>
      </c>
      <c r="F9" s="176">
        <f>'Default Values'!C5</f>
        <v>28</v>
      </c>
      <c r="G9" s="223">
        <f>ROUNDUP(D9*E9*F9,0)</f>
        <v>647</v>
      </c>
    </row>
    <row r="10" spans="2:7" x14ac:dyDescent="0.3">
      <c r="B10" s="221">
        <v>44927</v>
      </c>
      <c r="C10" s="221">
        <v>45260</v>
      </c>
      <c r="D10" s="176">
        <f>'Default Values'!C$31</f>
        <v>0.2</v>
      </c>
      <c r="E10" s="223">
        <f>'Project Emissions'!C13</f>
        <v>178.74668699999998</v>
      </c>
      <c r="F10" s="176">
        <f>'Default Values'!C5</f>
        <v>28</v>
      </c>
      <c r="G10" s="223">
        <f>ROUNDUP(D10*E10*F10,0)</f>
        <v>1001</v>
      </c>
    </row>
    <row r="11" spans="2:7" x14ac:dyDescent="0.3">
      <c r="E11" s="228">
        <f>SUM(E9:E10)</f>
        <v>294.13274699999999</v>
      </c>
      <c r="G11" s="228">
        <f>SUM(G9:G10)</f>
        <v>1648</v>
      </c>
    </row>
    <row r="12" spans="2:7" x14ac:dyDescent="0.3">
      <c r="B12" t="s">
        <v>169</v>
      </c>
    </row>
    <row r="13" spans="2:7" ht="18" x14ac:dyDescent="0.4">
      <c r="B13" s="221" t="s">
        <v>1</v>
      </c>
      <c r="C13" s="221" t="s">
        <v>2</v>
      </c>
      <c r="D13" s="10" t="s">
        <v>204</v>
      </c>
      <c r="E13" s="10" t="s">
        <v>143</v>
      </c>
      <c r="F13" s="10" t="s">
        <v>55</v>
      </c>
      <c r="G13" s="222" t="s">
        <v>203</v>
      </c>
    </row>
    <row r="14" spans="2:7" x14ac:dyDescent="0.3">
      <c r="B14" s="221">
        <v>44562</v>
      </c>
      <c r="C14" s="221">
        <v>44926</v>
      </c>
      <c r="D14" s="176">
        <f>'Default Values'!C$31</f>
        <v>0.2</v>
      </c>
      <c r="E14" s="223">
        <f>'Project Emissions'!N12</f>
        <v>133.39365000000001</v>
      </c>
      <c r="F14" s="176">
        <f>'Default Values'!C5</f>
        <v>28</v>
      </c>
      <c r="G14" s="223">
        <f>ROUNDUP(D14*E14*F14,0)</f>
        <v>748</v>
      </c>
    </row>
    <row r="15" spans="2:7" x14ac:dyDescent="0.3">
      <c r="B15" s="221">
        <v>44927</v>
      </c>
      <c r="C15" s="221">
        <v>45260</v>
      </c>
      <c r="D15" s="176">
        <f>'Default Values'!C$31</f>
        <v>0.2</v>
      </c>
      <c r="E15" s="223">
        <f>'Project Emissions'!N13</f>
        <v>132.62582800000001</v>
      </c>
      <c r="F15" s="176">
        <f>'Default Values'!C5</f>
        <v>28</v>
      </c>
      <c r="G15" s="223">
        <f>ROUNDUP(D15*E15*F15,0)</f>
        <v>743</v>
      </c>
    </row>
    <row r="16" spans="2:7" x14ac:dyDescent="0.3">
      <c r="B16" s="227"/>
      <c r="C16" s="227"/>
      <c r="E16" s="228">
        <f>SUM(E14:E15)</f>
        <v>266.01947800000005</v>
      </c>
      <c r="G16" s="228">
        <f>SUM(G14:G15)</f>
        <v>1491</v>
      </c>
    </row>
    <row r="17" spans="2:10" x14ac:dyDescent="0.3">
      <c r="B17" t="s">
        <v>168</v>
      </c>
    </row>
    <row r="18" spans="2:10" ht="18" x14ac:dyDescent="0.4">
      <c r="B18" s="221" t="s">
        <v>1</v>
      </c>
      <c r="C18" s="221" t="s">
        <v>2</v>
      </c>
      <c r="D18" s="10" t="s">
        <v>204</v>
      </c>
      <c r="E18" s="10" t="s">
        <v>143</v>
      </c>
      <c r="F18" s="10" t="s">
        <v>55</v>
      </c>
      <c r="G18" s="222" t="s">
        <v>203</v>
      </c>
    </row>
    <row r="19" spans="2:10" x14ac:dyDescent="0.3">
      <c r="B19" s="221">
        <v>44562</v>
      </c>
      <c r="C19" s="221">
        <v>44926</v>
      </c>
      <c r="D19" s="176">
        <f>'Default Values'!C$31</f>
        <v>0.2</v>
      </c>
      <c r="E19" s="223">
        <f>'Project Emissions'!C18</f>
        <v>28.060002000000001</v>
      </c>
      <c r="F19" s="176">
        <f>'Default Values'!C5</f>
        <v>28</v>
      </c>
      <c r="G19" s="223">
        <f>ROUNDUP(D19*E19*F19,0)</f>
        <v>158</v>
      </c>
    </row>
    <row r="20" spans="2:10" x14ac:dyDescent="0.3">
      <c r="B20" s="221">
        <v>44927</v>
      </c>
      <c r="C20" s="221">
        <v>45260</v>
      </c>
      <c r="D20" s="176">
        <f>'Default Values'!C$31</f>
        <v>0.2</v>
      </c>
      <c r="E20" s="223">
        <f>'Project Emissions'!C19</f>
        <v>28.002515999999996</v>
      </c>
      <c r="F20" s="176">
        <f>'Default Values'!C5</f>
        <v>28</v>
      </c>
      <c r="G20" s="223">
        <f>ROUNDUP(D20*E20*F20,0)</f>
        <v>157</v>
      </c>
    </row>
    <row r="21" spans="2:10" x14ac:dyDescent="0.3">
      <c r="B21" s="227"/>
      <c r="C21" s="227"/>
      <c r="E21" s="228">
        <f>SUM(E19:E20)</f>
        <v>56.062517999999997</v>
      </c>
      <c r="G21" s="228">
        <f>SUM(G19:G20)</f>
        <v>315</v>
      </c>
    </row>
    <row r="22" spans="2:10" x14ac:dyDescent="0.3">
      <c r="B22" t="s">
        <v>170</v>
      </c>
    </row>
    <row r="23" spans="2:10" ht="18" x14ac:dyDescent="0.4">
      <c r="B23" s="221" t="s">
        <v>1</v>
      </c>
      <c r="C23" s="221" t="s">
        <v>2</v>
      </c>
      <c r="D23" s="10" t="s">
        <v>204</v>
      </c>
      <c r="E23" s="10" t="s">
        <v>143</v>
      </c>
      <c r="F23" s="10" t="s">
        <v>55</v>
      </c>
      <c r="G23" s="222" t="s">
        <v>203</v>
      </c>
      <c r="I23" s="223"/>
    </row>
    <row r="24" spans="2:10" x14ac:dyDescent="0.3">
      <c r="B24" s="221">
        <v>44562</v>
      </c>
      <c r="C24" s="221">
        <v>44926</v>
      </c>
      <c r="D24" s="176">
        <f>'Default Values'!C$31</f>
        <v>0.2</v>
      </c>
      <c r="E24" s="223">
        <f>'Project Emissions'!N18</f>
        <v>5.0708279999999997</v>
      </c>
      <c r="F24" s="176">
        <f>'Default Values'!C5</f>
        <v>28</v>
      </c>
      <c r="G24" s="223">
        <f>ROUNDUP(D24*E24*F24,0)</f>
        <v>29</v>
      </c>
    </row>
    <row r="25" spans="2:10" x14ac:dyDescent="0.3">
      <c r="B25" s="221">
        <v>44927</v>
      </c>
      <c r="C25" s="221">
        <v>45260</v>
      </c>
      <c r="D25" s="176">
        <f>'Default Values'!C$31</f>
        <v>0.2</v>
      </c>
      <c r="E25" s="223">
        <f>'Project Emissions'!N19</f>
        <v>0</v>
      </c>
      <c r="F25" s="176">
        <f>'Default Values'!C5</f>
        <v>28</v>
      </c>
      <c r="G25" s="176">
        <f>ROUNDUP(D25*E25*F25,0)</f>
        <v>0</v>
      </c>
    </row>
    <row r="26" spans="2:10" x14ac:dyDescent="0.3">
      <c r="E26" s="228">
        <f>SUM(E24:E25)</f>
        <v>5.0708279999999997</v>
      </c>
      <c r="G26" s="228">
        <f>SUM(G24:G25)</f>
        <v>29</v>
      </c>
    </row>
    <row r="27" spans="2:10" x14ac:dyDescent="0.3">
      <c r="B27" s="317" t="s">
        <v>3</v>
      </c>
      <c r="C27" s="317"/>
      <c r="D27" s="317"/>
      <c r="E27" s="317"/>
      <c r="F27" s="317"/>
      <c r="G27" s="317"/>
    </row>
    <row r="28" spans="2:10" ht="18" x14ac:dyDescent="0.4">
      <c r="B28" s="58" t="s">
        <v>1</v>
      </c>
      <c r="C28" s="58" t="s">
        <v>2</v>
      </c>
      <c r="D28" s="232" t="s">
        <v>216</v>
      </c>
      <c r="E28" s="232" t="s">
        <v>143</v>
      </c>
      <c r="F28" s="232" t="s">
        <v>217</v>
      </c>
      <c r="G28" s="233" t="s">
        <v>218</v>
      </c>
    </row>
    <row r="29" spans="2:10" x14ac:dyDescent="0.3">
      <c r="B29" s="221">
        <v>44562</v>
      </c>
      <c r="C29" s="221">
        <v>44926</v>
      </c>
      <c r="D29" s="176">
        <f>'Default Values'!C$31</f>
        <v>0.2</v>
      </c>
      <c r="E29" s="223">
        <f>E9+E14+E19+E24</f>
        <v>281.91054000000003</v>
      </c>
      <c r="F29" s="176">
        <f>'Default Values'!C5</f>
        <v>28</v>
      </c>
      <c r="G29" s="223">
        <f>G9+G14+G19+G24</f>
        <v>1582</v>
      </c>
    </row>
    <row r="30" spans="2:10" x14ac:dyDescent="0.3">
      <c r="B30" s="221">
        <v>44927</v>
      </c>
      <c r="C30" s="221">
        <v>45260</v>
      </c>
      <c r="D30" s="176">
        <f>'Default Values'!C$31</f>
        <v>0.2</v>
      </c>
      <c r="E30" s="223">
        <f>E10+E15+E20+E25</f>
        <v>339.37503100000004</v>
      </c>
      <c r="F30" s="176">
        <f>'Default Values'!C5</f>
        <v>28</v>
      </c>
      <c r="G30" s="223">
        <f>G10+G15+G20+G25</f>
        <v>1901</v>
      </c>
    </row>
    <row r="31" spans="2:10" ht="18" x14ac:dyDescent="0.4">
      <c r="B31" s="318" t="s">
        <v>210</v>
      </c>
      <c r="C31" s="319"/>
      <c r="D31" s="319"/>
      <c r="E31" s="319"/>
      <c r="F31" s="320"/>
      <c r="G31" s="226">
        <f>G11+G16+G21+G26</f>
        <v>3483</v>
      </c>
    </row>
    <row r="32" spans="2:10" x14ac:dyDescent="0.3">
      <c r="J32" s="228"/>
    </row>
  </sheetData>
  <mergeCells count="2">
    <mergeCell ref="B27:G27"/>
    <mergeCell ref="B31:F31"/>
  </mergeCells>
  <pageMargins left="0.7" right="0.7" top="0.75" bottom="0.75" header="0.3" footer="0.3"/>
  <ignoredErrors>
    <ignoredError sqref="F29:F30" formula="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0D4A7-2F05-42D4-84CB-912B79D8FA15}">
  <dimension ref="A2:O113"/>
  <sheetViews>
    <sheetView tabSelected="1" topLeftCell="A96" workbookViewId="0">
      <selection activeCell="F106" sqref="F106"/>
    </sheetView>
  </sheetViews>
  <sheetFormatPr defaultRowHeight="14.4" x14ac:dyDescent="0.3"/>
  <cols>
    <col min="2" max="2" width="28.5546875" customWidth="1"/>
    <col min="3" max="3" width="13.21875" customWidth="1"/>
    <col min="4" max="4" width="13.44140625" customWidth="1"/>
    <col min="5" max="10" width="10.77734375" customWidth="1"/>
  </cols>
  <sheetData>
    <row r="2" spans="1:10" s="241" customFormat="1" ht="15.6" x14ac:dyDescent="0.35">
      <c r="B2" s="242" t="s">
        <v>224</v>
      </c>
    </row>
    <row r="3" spans="1:10" s="1" customFormat="1" x14ac:dyDescent="0.3">
      <c r="B3" s="240"/>
    </row>
    <row r="4" spans="1:10" ht="97.2" customHeight="1" x14ac:dyDescent="0.3">
      <c r="B4" s="327" t="s">
        <v>211</v>
      </c>
      <c r="C4" s="328"/>
      <c r="D4" s="328"/>
      <c r="E4" s="328"/>
      <c r="F4" s="328"/>
      <c r="G4" s="328"/>
      <c r="H4" s="328"/>
      <c r="I4" s="328"/>
      <c r="J4" s="328"/>
    </row>
    <row r="5" spans="1:10" x14ac:dyDescent="0.3">
      <c r="B5" s="325" t="s">
        <v>192</v>
      </c>
      <c r="C5" s="325"/>
    </row>
    <row r="6" spans="1:10" x14ac:dyDescent="0.3">
      <c r="B6" s="322" t="s">
        <v>197</v>
      </c>
      <c r="C6" s="323"/>
    </row>
    <row r="8" spans="1:10" ht="15.6" x14ac:dyDescent="0.3">
      <c r="B8" s="54" t="s">
        <v>143</v>
      </c>
      <c r="C8" s="53" t="s">
        <v>90</v>
      </c>
      <c r="D8" s="54" t="s">
        <v>143</v>
      </c>
      <c r="E8" s="53" t="s">
        <v>90</v>
      </c>
      <c r="F8" s="54" t="s">
        <v>143</v>
      </c>
      <c r="G8" s="53" t="s">
        <v>90</v>
      </c>
      <c r="H8" s="54" t="s">
        <v>143</v>
      </c>
      <c r="I8" s="53" t="s">
        <v>90</v>
      </c>
      <c r="J8" s="329" t="s">
        <v>3</v>
      </c>
    </row>
    <row r="9" spans="1:10" ht="28.8" customHeight="1" x14ac:dyDescent="0.3">
      <c r="B9" s="219" t="s">
        <v>195</v>
      </c>
      <c r="C9" s="219" t="s">
        <v>199</v>
      </c>
      <c r="D9" s="212" t="s">
        <v>195</v>
      </c>
      <c r="E9" s="212" t="s">
        <v>199</v>
      </c>
      <c r="F9" s="212" t="s">
        <v>195</v>
      </c>
      <c r="G9" s="212" t="s">
        <v>199</v>
      </c>
      <c r="H9" s="212" t="s">
        <v>195</v>
      </c>
      <c r="I9" s="212" t="s">
        <v>199</v>
      </c>
      <c r="J9" s="330"/>
    </row>
    <row r="10" spans="1:10" x14ac:dyDescent="0.3">
      <c r="A10" s="176" t="s">
        <v>138</v>
      </c>
      <c r="B10" s="324" t="s">
        <v>193</v>
      </c>
      <c r="C10" s="324"/>
      <c r="D10" s="324" t="s">
        <v>170</v>
      </c>
      <c r="E10" s="324"/>
      <c r="F10" s="324" t="s">
        <v>169</v>
      </c>
      <c r="G10" s="324"/>
      <c r="H10" s="324" t="s">
        <v>168</v>
      </c>
      <c r="I10" s="324"/>
      <c r="J10" s="331"/>
    </row>
    <row r="11" spans="1:10" x14ac:dyDescent="0.3">
      <c r="A11" s="176">
        <v>2019</v>
      </c>
      <c r="B11" s="209">
        <v>39.828000000000003</v>
      </c>
      <c r="C11" s="211">
        <f>B11*'Default Values'!C16*'Default Values'!C17</f>
        <v>52.811928000000002</v>
      </c>
      <c r="D11" s="210">
        <v>0</v>
      </c>
      <c r="E11" s="176">
        <f>D11*'Default Values'!C16*'Default Values'!C17</f>
        <v>0</v>
      </c>
      <c r="F11" s="176">
        <v>0</v>
      </c>
      <c r="G11" s="176">
        <f>F11*'Default Values'!C16*'Default Values'!C17</f>
        <v>0</v>
      </c>
      <c r="H11" s="211">
        <v>1.2250000000000001</v>
      </c>
      <c r="I11" s="211">
        <f>H11*'Default Values'!C16*'Default Values'!C17</f>
        <v>1.6243500000000002</v>
      </c>
      <c r="J11" s="211">
        <f>C11+E11+G11+I11</f>
        <v>54.436278000000001</v>
      </c>
    </row>
    <row r="12" spans="1:10" x14ac:dyDescent="0.3">
      <c r="A12" s="176">
        <v>2020</v>
      </c>
      <c r="B12" s="209">
        <v>78.60499999999999</v>
      </c>
      <c r="C12" s="211">
        <f>B12*'Default Values'!C16*'Default Values'!C17</f>
        <v>104.23022999999999</v>
      </c>
      <c r="D12" s="209">
        <v>0.82499999999999996</v>
      </c>
      <c r="E12" s="211">
        <f>D12*'Default Values'!C16*'Default Values'!C17</f>
        <v>1.09395</v>
      </c>
      <c r="F12" s="176">
        <v>0</v>
      </c>
      <c r="G12" s="176">
        <f>F12*'Default Values'!C16*'Default Values'!C17</f>
        <v>0</v>
      </c>
      <c r="H12" s="211">
        <v>20.577999999999996</v>
      </c>
      <c r="I12" s="211">
        <f>H12*'Default Values'!C16*'Default Values'!C17</f>
        <v>27.286427999999997</v>
      </c>
      <c r="J12" s="211">
        <f>C12+E12+G12+I12</f>
        <v>132.61060799999998</v>
      </c>
    </row>
    <row r="13" spans="1:10" x14ac:dyDescent="0.3">
      <c r="B13" s="220"/>
      <c r="C13" s="220"/>
      <c r="D13" s="176"/>
      <c r="E13" s="176"/>
      <c r="F13" s="176"/>
      <c r="G13" s="176"/>
      <c r="H13" s="176"/>
      <c r="I13" s="216" t="s">
        <v>200</v>
      </c>
      <c r="J13" s="211">
        <f>ROUNDUP(SUM(J11:J12),0)</f>
        <v>188</v>
      </c>
    </row>
    <row r="16" spans="1:10" x14ac:dyDescent="0.3">
      <c r="B16" s="325" t="s">
        <v>194</v>
      </c>
      <c r="C16" s="325"/>
      <c r="D16" s="208"/>
    </row>
    <row r="17" spans="1:10" x14ac:dyDescent="0.3">
      <c r="B17" s="322" t="s">
        <v>198</v>
      </c>
      <c r="C17" s="323"/>
    </row>
    <row r="19" spans="1:10" ht="15.6" x14ac:dyDescent="0.3">
      <c r="B19" s="54" t="s">
        <v>143</v>
      </c>
      <c r="C19" s="53" t="s">
        <v>90</v>
      </c>
      <c r="D19" s="54" t="s">
        <v>143</v>
      </c>
      <c r="E19" s="53" t="s">
        <v>90</v>
      </c>
      <c r="F19" s="54" t="s">
        <v>143</v>
      </c>
      <c r="G19" s="53" t="s">
        <v>90</v>
      </c>
      <c r="H19" s="54" t="s">
        <v>143</v>
      </c>
      <c r="I19" s="53" t="s">
        <v>90</v>
      </c>
      <c r="J19" s="303" t="s">
        <v>3</v>
      </c>
    </row>
    <row r="20" spans="1:10" ht="43.2" x14ac:dyDescent="0.3">
      <c r="B20" s="214" t="s">
        <v>196</v>
      </c>
      <c r="C20" s="212" t="s">
        <v>199</v>
      </c>
      <c r="D20" s="214" t="s">
        <v>196</v>
      </c>
      <c r="E20" s="212" t="s">
        <v>199</v>
      </c>
      <c r="F20" s="214" t="s">
        <v>196</v>
      </c>
      <c r="G20" s="212" t="s">
        <v>199</v>
      </c>
      <c r="H20" s="214" t="s">
        <v>196</v>
      </c>
      <c r="I20" s="212" t="s">
        <v>199</v>
      </c>
      <c r="J20" s="303"/>
    </row>
    <row r="21" spans="1:10" x14ac:dyDescent="0.3">
      <c r="A21" s="176" t="s">
        <v>138</v>
      </c>
      <c r="B21" s="324" t="s">
        <v>193</v>
      </c>
      <c r="C21" s="324"/>
      <c r="D21" s="324" t="s">
        <v>170</v>
      </c>
      <c r="E21" s="324"/>
      <c r="F21" s="324" t="s">
        <v>169</v>
      </c>
      <c r="G21" s="324"/>
      <c r="H21" s="324" t="s">
        <v>168</v>
      </c>
      <c r="I21" s="324"/>
      <c r="J21" s="303"/>
    </row>
    <row r="22" spans="1:10" x14ac:dyDescent="0.3">
      <c r="A22" s="176">
        <v>2021</v>
      </c>
      <c r="B22" s="213">
        <v>95.6</v>
      </c>
      <c r="C22" s="211">
        <f>B22*'Default Values'!C16*'Default Values'!C17</f>
        <v>126.76560000000001</v>
      </c>
      <c r="D22" s="210">
        <v>7.14</v>
      </c>
      <c r="E22" s="211">
        <f>D22*'Default Values'!C16*'Default Values'!C17</f>
        <v>9.4676399999999994</v>
      </c>
      <c r="F22" s="176">
        <v>134.25500000000002</v>
      </c>
      <c r="G22" s="211">
        <f>F22*'Default Values'!C16*'Default Values'!C17</f>
        <v>178.02213000000003</v>
      </c>
      <c r="H22" s="211">
        <v>29.344999999999999</v>
      </c>
      <c r="I22" s="211">
        <f>H22*'Default Values'!C16*'Default Values'!C17</f>
        <v>38.911470000000001</v>
      </c>
      <c r="J22" s="211">
        <f>ROUNDUP(C22+E22+G22+I22,0)</f>
        <v>354</v>
      </c>
    </row>
    <row r="25" spans="1:10" x14ac:dyDescent="0.3">
      <c r="B25" s="321" t="s">
        <v>202</v>
      </c>
      <c r="C25" s="321"/>
      <c r="D25" s="215">
        <f>J13+J22</f>
        <v>542</v>
      </c>
    </row>
    <row r="26" spans="1:10" x14ac:dyDescent="0.3">
      <c r="B26" s="238"/>
      <c r="C26" s="238"/>
      <c r="D26" s="243"/>
    </row>
    <row r="27" spans="1:10" s="241" customFormat="1" ht="15.6" x14ac:dyDescent="0.35">
      <c r="B27" s="242" t="s">
        <v>225</v>
      </c>
    </row>
    <row r="29" spans="1:10" ht="98.4" customHeight="1" x14ac:dyDescent="0.3">
      <c r="B29" s="326" t="s">
        <v>212</v>
      </c>
      <c r="C29" s="326"/>
      <c r="D29" s="326"/>
      <c r="E29" s="326"/>
      <c r="F29" s="326"/>
      <c r="G29" s="326"/>
      <c r="H29" s="326"/>
      <c r="I29" s="326"/>
    </row>
    <row r="34" spans="2:6" ht="18" x14ac:dyDescent="0.4">
      <c r="B34" s="229" t="s">
        <v>205</v>
      </c>
      <c r="C34" s="230" t="s">
        <v>204</v>
      </c>
      <c r="D34" s="230" t="s">
        <v>143</v>
      </c>
      <c r="E34" s="230" t="s">
        <v>55</v>
      </c>
      <c r="F34" s="231" t="s">
        <v>203</v>
      </c>
    </row>
    <row r="35" spans="2:6" x14ac:dyDescent="0.3">
      <c r="B35" s="176" t="s">
        <v>206</v>
      </c>
      <c r="C35" s="176">
        <f>'Default Values'!C$31</f>
        <v>0.2</v>
      </c>
      <c r="D35" s="223">
        <f>B11+D11+F11+H11</f>
        <v>41.053000000000004</v>
      </c>
      <c r="E35" s="176">
        <f>'Default Values'!C$5</f>
        <v>28</v>
      </c>
      <c r="F35" s="223">
        <f>C35*D35*E35</f>
        <v>229.89680000000004</v>
      </c>
    </row>
    <row r="36" spans="2:6" x14ac:dyDescent="0.3">
      <c r="B36" s="176" t="s">
        <v>207</v>
      </c>
      <c r="C36" s="176">
        <f>'Default Values'!C$31</f>
        <v>0.2</v>
      </c>
      <c r="D36" s="223">
        <f>B12+D12+F12+H12</f>
        <v>100.00799999999998</v>
      </c>
      <c r="E36" s="176">
        <f>'Default Values'!C$5</f>
        <v>28</v>
      </c>
      <c r="F36" s="223">
        <f t="shared" ref="F36:F37" si="0">C36*D36*E36</f>
        <v>560.0447999999999</v>
      </c>
    </row>
    <row r="37" spans="2:6" x14ac:dyDescent="0.3">
      <c r="B37" s="176" t="s">
        <v>229</v>
      </c>
      <c r="C37" s="176">
        <f>'Default Values'!C$31</f>
        <v>0.2</v>
      </c>
      <c r="D37" s="211">
        <f>B22+D22+F22+H22</f>
        <v>266.34000000000003</v>
      </c>
      <c r="E37" s="176">
        <f>'Default Values'!C$5</f>
        <v>28</v>
      </c>
      <c r="F37" s="223">
        <f t="shared" si="0"/>
        <v>1491.5040000000001</v>
      </c>
    </row>
    <row r="40" spans="2:6" ht="15.6" x14ac:dyDescent="0.35">
      <c r="B40" s="321" t="s">
        <v>208</v>
      </c>
      <c r="C40" s="321"/>
      <c r="D40" s="225">
        <f>ROUNDUP(F35+F36+F37,0)</f>
        <v>2282</v>
      </c>
    </row>
    <row r="41" spans="2:6" x14ac:dyDescent="0.3">
      <c r="B41" s="238"/>
      <c r="C41" s="238"/>
      <c r="D41" s="239"/>
    </row>
    <row r="42" spans="2:6" s="241" customFormat="1" ht="15.6" x14ac:dyDescent="0.35">
      <c r="B42" s="242" t="s">
        <v>226</v>
      </c>
    </row>
    <row r="43" spans="2:6" x14ac:dyDescent="0.3">
      <c r="B43" s="238"/>
      <c r="C43" s="238"/>
      <c r="D43" s="239"/>
    </row>
    <row r="44" spans="2:6" ht="32.4" customHeight="1" x14ac:dyDescent="0.3">
      <c r="B44" s="347" t="s">
        <v>223</v>
      </c>
      <c r="C44" s="348"/>
      <c r="D44" s="343" t="s">
        <v>219</v>
      </c>
      <c r="E44" s="343"/>
    </row>
    <row r="45" spans="2:6" ht="28.2" customHeight="1" x14ac:dyDescent="0.3">
      <c r="B45" s="343" t="s">
        <v>221</v>
      </c>
      <c r="C45" s="343"/>
      <c r="D45" s="344">
        <f>193+1102+428+776</f>
        <v>2499</v>
      </c>
      <c r="E45" s="344"/>
    </row>
    <row r="46" spans="2:6" ht="27.6" customHeight="1" x14ac:dyDescent="0.3">
      <c r="B46" s="343" t="s">
        <v>222</v>
      </c>
      <c r="C46" s="343"/>
      <c r="D46" s="345">
        <v>3796</v>
      </c>
      <c r="E46" s="346"/>
    </row>
    <row r="49" spans="1:13" ht="15.6" x14ac:dyDescent="0.35">
      <c r="A49" s="193" t="s">
        <v>159</v>
      </c>
      <c r="B49" t="s">
        <v>163</v>
      </c>
      <c r="C49" s="1"/>
      <c r="D49" s="1"/>
      <c r="E49" s="1"/>
      <c r="F49" s="1"/>
      <c r="G49" s="1"/>
      <c r="H49" s="1"/>
      <c r="I49" s="1"/>
      <c r="J49" s="1"/>
      <c r="K49" s="1"/>
      <c r="L49" s="2"/>
      <c r="M49" s="1"/>
    </row>
    <row r="50" spans="1:13" x14ac:dyDescent="0.3">
      <c r="A50" s="1"/>
      <c r="B50" s="1"/>
      <c r="C50" s="1"/>
      <c r="D50" s="1"/>
      <c r="E50" s="1"/>
      <c r="F50" s="1"/>
      <c r="G50" s="1"/>
      <c r="H50" s="1"/>
      <c r="I50" s="1"/>
      <c r="J50" s="1"/>
      <c r="K50" s="1"/>
      <c r="L50" s="2"/>
      <c r="M50" s="1"/>
    </row>
    <row r="51" spans="1:13" x14ac:dyDescent="0.3">
      <c r="A51" s="1"/>
      <c r="B51" s="1"/>
      <c r="C51" s="1"/>
      <c r="D51" s="1"/>
      <c r="E51" s="1"/>
      <c r="F51" s="1"/>
      <c r="G51" s="1"/>
      <c r="H51" s="1"/>
      <c r="I51" s="1"/>
      <c r="J51" s="1"/>
      <c r="K51" s="1"/>
      <c r="L51" s="2"/>
      <c r="M51" s="1"/>
    </row>
    <row r="52" spans="1:13" ht="28.2" customHeight="1" x14ac:dyDescent="0.3">
      <c r="A52" s="1"/>
      <c r="C52" s="1"/>
      <c r="D52" s="1"/>
      <c r="E52" s="1"/>
      <c r="F52" s="1"/>
      <c r="G52" s="1"/>
      <c r="H52" s="1"/>
      <c r="I52" s="1"/>
      <c r="J52" s="1"/>
      <c r="K52" s="1"/>
      <c r="L52" s="2"/>
      <c r="M52" s="1"/>
    </row>
    <row r="53" spans="1:13" ht="15.6" x14ac:dyDescent="0.35">
      <c r="A53" s="1"/>
      <c r="B53" s="341" t="s">
        <v>223</v>
      </c>
      <c r="C53" s="342"/>
      <c r="D53" s="176" t="s">
        <v>162</v>
      </c>
      <c r="E53" s="176" t="s">
        <v>175</v>
      </c>
      <c r="F53" s="195" t="s">
        <v>142</v>
      </c>
      <c r="G53" s="1"/>
      <c r="H53" s="1"/>
      <c r="I53" s="1"/>
      <c r="J53" s="1"/>
      <c r="K53" s="1"/>
      <c r="L53" s="2"/>
      <c r="M53" s="1"/>
    </row>
    <row r="54" spans="1:13" x14ac:dyDescent="0.3">
      <c r="A54" s="1"/>
      <c r="B54" s="343" t="s">
        <v>221</v>
      </c>
      <c r="C54" s="343"/>
      <c r="D54" s="197">
        <f>D45*'Default Values'!C26</f>
        <v>24.990000000000002</v>
      </c>
      <c r="E54" s="199">
        <f>'Default Values'!C12</f>
        <v>0.83</v>
      </c>
      <c r="F54" s="197">
        <f>D54*E54*(1+'Default Values'!C$27)</f>
        <v>24.890040000000003</v>
      </c>
      <c r="G54" s="1"/>
      <c r="H54" s="1"/>
      <c r="I54" s="1"/>
      <c r="J54" s="1"/>
      <c r="K54" s="1"/>
      <c r="L54" s="2"/>
      <c r="M54" s="1"/>
    </row>
    <row r="55" spans="1:13" x14ac:dyDescent="0.3">
      <c r="A55" s="1"/>
      <c r="B55" s="343" t="s">
        <v>222</v>
      </c>
      <c r="C55" s="343"/>
      <c r="D55" s="197">
        <f>D46*'Default Values'!C26</f>
        <v>37.96</v>
      </c>
      <c r="E55" s="199">
        <f>'Default Values'!C12</f>
        <v>0.83</v>
      </c>
      <c r="F55" s="197">
        <f>D55*E55*(1+'Default Values'!C$27)</f>
        <v>37.808159999999994</v>
      </c>
      <c r="G55" s="1"/>
      <c r="H55" s="1"/>
      <c r="I55" s="1"/>
      <c r="J55" s="1"/>
      <c r="K55" s="1"/>
      <c r="L55" s="2"/>
      <c r="M55" s="1"/>
    </row>
    <row r="56" spans="1:13" x14ac:dyDescent="0.3">
      <c r="A56" s="1"/>
      <c r="B56" s="237"/>
      <c r="C56" s="1"/>
      <c r="D56" s="194"/>
      <c r="E56" s="244"/>
      <c r="F56" s="194">
        <f>SUM(F54:F55)</f>
        <v>62.6982</v>
      </c>
      <c r="G56" s="1"/>
      <c r="H56" s="1"/>
      <c r="I56" s="1"/>
      <c r="J56" s="1"/>
      <c r="K56" s="1"/>
      <c r="L56" s="2"/>
      <c r="M56" s="1"/>
    </row>
    <row r="57" spans="1:13" ht="15.6" x14ac:dyDescent="0.35">
      <c r="A57" s="193" t="s">
        <v>160</v>
      </c>
      <c r="B57" t="s">
        <v>163</v>
      </c>
      <c r="C57" s="1"/>
      <c r="D57" s="1"/>
      <c r="E57" s="1"/>
      <c r="F57" s="1"/>
      <c r="G57" s="1"/>
      <c r="H57" s="1"/>
      <c r="I57" s="1"/>
      <c r="J57" s="1"/>
      <c r="K57" s="1"/>
      <c r="L57" s="2"/>
      <c r="M57" s="1"/>
    </row>
    <row r="58" spans="1:13" x14ac:dyDescent="0.3">
      <c r="A58" s="2"/>
      <c r="C58" s="1"/>
      <c r="D58" s="1"/>
      <c r="E58" s="1"/>
      <c r="G58" s="194"/>
      <c r="H58" s="1"/>
      <c r="I58" s="1"/>
      <c r="J58" s="1"/>
      <c r="K58" s="1"/>
      <c r="L58" s="2"/>
      <c r="M58" s="1"/>
    </row>
    <row r="59" spans="1:13" ht="31.2" customHeight="1" x14ac:dyDescent="0.3">
      <c r="A59" s="2"/>
      <c r="C59" s="1"/>
      <c r="D59" s="1"/>
      <c r="E59" s="1"/>
      <c r="F59" s="1"/>
      <c r="G59" s="1"/>
      <c r="H59" s="1"/>
      <c r="I59" s="1"/>
      <c r="J59" s="1"/>
      <c r="K59" s="1"/>
      <c r="L59" s="2"/>
      <c r="M59" s="1"/>
    </row>
    <row r="60" spans="1:13" ht="15.6" x14ac:dyDescent="0.35">
      <c r="A60" s="2"/>
      <c r="B60" s="341" t="s">
        <v>223</v>
      </c>
      <c r="C60" s="342"/>
      <c r="D60" s="195" t="s">
        <v>176</v>
      </c>
      <c r="E60" s="1"/>
      <c r="F60" s="1"/>
      <c r="G60" s="1"/>
      <c r="H60" s="1"/>
      <c r="I60" s="1"/>
      <c r="J60" s="1"/>
      <c r="K60" s="1"/>
      <c r="L60" s="2"/>
      <c r="M60" s="1"/>
    </row>
    <row r="61" spans="1:13" ht="14.4" customHeight="1" x14ac:dyDescent="0.3">
      <c r="A61" s="2"/>
      <c r="B61" s="343" t="s">
        <v>221</v>
      </c>
      <c r="C61" s="343"/>
      <c r="D61" s="197">
        <f>D45*'Default Values'!C28</f>
        <v>51.729300000000002</v>
      </c>
      <c r="E61" s="1"/>
      <c r="F61" s="1"/>
      <c r="G61" s="1"/>
      <c r="H61" s="1"/>
      <c r="I61" s="1"/>
      <c r="J61" s="1"/>
      <c r="K61" s="1"/>
      <c r="L61" s="2"/>
      <c r="M61" s="1"/>
    </row>
    <row r="62" spans="1:13" ht="14.4" customHeight="1" x14ac:dyDescent="0.3">
      <c r="A62" s="2"/>
      <c r="B62" s="343" t="s">
        <v>222</v>
      </c>
      <c r="C62" s="343"/>
      <c r="D62" s="197">
        <f>D46*'Default Values'!C28</f>
        <v>78.577200000000005</v>
      </c>
      <c r="E62" s="1"/>
      <c r="F62" s="1"/>
      <c r="G62" s="1"/>
      <c r="H62" s="1"/>
      <c r="I62" s="1"/>
      <c r="J62" s="1"/>
      <c r="K62" s="1"/>
      <c r="L62" s="2"/>
      <c r="M62" s="1"/>
    </row>
    <row r="63" spans="1:13" ht="14.4" customHeight="1" x14ac:dyDescent="0.3">
      <c r="A63" s="2"/>
      <c r="B63" s="245"/>
      <c r="C63" s="245"/>
      <c r="D63" s="194">
        <f>SUM(D61:D62)</f>
        <v>130.3065</v>
      </c>
      <c r="E63" s="1"/>
      <c r="F63" s="1"/>
      <c r="G63" s="1"/>
      <c r="H63" s="1"/>
      <c r="I63" s="1"/>
      <c r="J63" s="1"/>
      <c r="K63" s="1"/>
      <c r="L63" s="2"/>
      <c r="M63" s="1"/>
    </row>
    <row r="64" spans="1:13" ht="15.6" x14ac:dyDescent="0.35">
      <c r="A64" s="193" t="s">
        <v>161</v>
      </c>
      <c r="B64" t="s">
        <v>179</v>
      </c>
      <c r="C64" s="1"/>
      <c r="D64" s="1"/>
      <c r="E64" s="1"/>
      <c r="F64" s="1"/>
      <c r="G64" s="1"/>
      <c r="H64" s="1"/>
      <c r="I64" s="1"/>
      <c r="J64" s="1"/>
      <c r="K64" s="1"/>
      <c r="L64" s="2"/>
      <c r="M64" s="1"/>
    </row>
    <row r="65" spans="1:13" x14ac:dyDescent="0.3">
      <c r="A65" s="1"/>
      <c r="C65" s="1"/>
      <c r="D65" s="1"/>
      <c r="E65" s="1"/>
      <c r="F65" s="1"/>
      <c r="G65" s="1"/>
      <c r="H65" s="1"/>
      <c r="I65" s="1"/>
      <c r="J65" s="1"/>
      <c r="K65" s="1"/>
      <c r="L65" s="2"/>
      <c r="M65" s="1"/>
    </row>
    <row r="66" spans="1:13" x14ac:dyDescent="0.3">
      <c r="A66" s="1"/>
      <c r="C66" s="1"/>
      <c r="D66" s="1"/>
      <c r="E66" s="1"/>
      <c r="F66" s="1"/>
      <c r="H66" s="194"/>
      <c r="I66" s="1"/>
      <c r="J66" s="1"/>
      <c r="K66" s="1"/>
      <c r="L66" s="2"/>
      <c r="M66" s="1"/>
    </row>
    <row r="67" spans="1:13" x14ac:dyDescent="0.3">
      <c r="A67" s="1"/>
      <c r="C67" s="1"/>
      <c r="D67" s="1"/>
      <c r="E67" s="1"/>
      <c r="F67" s="1"/>
      <c r="G67" s="1"/>
      <c r="H67" s="1"/>
      <c r="I67" s="1"/>
      <c r="J67" s="1"/>
      <c r="K67" s="1"/>
      <c r="L67" s="2"/>
      <c r="M67" s="1"/>
    </row>
    <row r="68" spans="1:13" ht="15.6" x14ac:dyDescent="0.35">
      <c r="A68" s="1"/>
      <c r="B68" s="341" t="s">
        <v>223</v>
      </c>
      <c r="C68" s="342"/>
      <c r="D68" s="195" t="s">
        <v>180</v>
      </c>
      <c r="E68" s="1"/>
      <c r="F68" s="1"/>
      <c r="G68" s="1"/>
      <c r="H68" s="1"/>
      <c r="I68" s="1"/>
      <c r="J68" s="1"/>
      <c r="K68" s="1"/>
      <c r="L68" s="2"/>
      <c r="M68" s="1"/>
    </row>
    <row r="69" spans="1:13" x14ac:dyDescent="0.3">
      <c r="A69" s="1"/>
      <c r="B69" s="343" t="s">
        <v>221</v>
      </c>
      <c r="C69" s="343"/>
      <c r="D69" s="199">
        <f>D45*'Default Values'!C29*'Default Values'!C5</f>
        <v>139.94400000000002</v>
      </c>
      <c r="E69" s="1"/>
      <c r="F69" s="1"/>
      <c r="G69" s="1"/>
      <c r="H69" s="1"/>
      <c r="I69" s="1"/>
      <c r="J69" s="1"/>
      <c r="K69" s="1"/>
      <c r="L69" s="2"/>
      <c r="M69" s="1"/>
    </row>
    <row r="70" spans="1:13" x14ac:dyDescent="0.3">
      <c r="A70" s="1"/>
      <c r="B70" s="343" t="s">
        <v>222</v>
      </c>
      <c r="C70" s="343"/>
      <c r="D70" s="199">
        <f>D46*'Default Values'!C29*'Default Values'!C5</f>
        <v>212.57600000000002</v>
      </c>
      <c r="E70" s="1"/>
      <c r="F70" s="1"/>
      <c r="G70" s="1"/>
      <c r="H70" s="1"/>
      <c r="I70" s="1"/>
      <c r="J70" s="1"/>
      <c r="K70" s="1"/>
      <c r="L70" s="2"/>
      <c r="M70" s="1"/>
    </row>
    <row r="71" spans="1:13" x14ac:dyDescent="0.3">
      <c r="A71" s="1"/>
      <c r="B71" s="1"/>
      <c r="C71" s="1"/>
      <c r="D71" s="244">
        <f>SUM(D69:D70)</f>
        <v>352.52000000000004</v>
      </c>
      <c r="E71" s="1"/>
      <c r="F71" s="1"/>
      <c r="G71" s="1"/>
      <c r="H71" s="1"/>
      <c r="I71" s="1"/>
      <c r="J71" s="1"/>
      <c r="K71" s="1"/>
      <c r="L71" s="2"/>
      <c r="M71" s="1"/>
    </row>
    <row r="72" spans="1:13" x14ac:dyDescent="0.3">
      <c r="A72" s="1"/>
      <c r="B72" s="1"/>
      <c r="C72" s="1"/>
      <c r="D72" s="1"/>
      <c r="E72" s="1"/>
      <c r="F72" s="1"/>
      <c r="G72" s="1"/>
      <c r="H72" s="1"/>
      <c r="I72" s="1"/>
      <c r="J72" s="1"/>
      <c r="K72" s="1"/>
      <c r="L72" s="2"/>
      <c r="M72" s="1"/>
    </row>
    <row r="73" spans="1:13" ht="15.6" x14ac:dyDescent="0.35">
      <c r="A73" s="193" t="s">
        <v>189</v>
      </c>
      <c r="B73" t="s">
        <v>183</v>
      </c>
      <c r="C73" s="1"/>
      <c r="D73" s="1"/>
      <c r="E73" s="1"/>
      <c r="F73" s="1"/>
      <c r="G73" s="1"/>
      <c r="H73" s="1"/>
      <c r="I73" s="1"/>
      <c r="J73" s="1"/>
      <c r="K73" s="1"/>
      <c r="L73" s="2"/>
      <c r="M73" s="1"/>
    </row>
    <row r="74" spans="1:13" x14ac:dyDescent="0.3">
      <c r="A74" s="1"/>
      <c r="B74" s="1"/>
      <c r="C74" s="1"/>
      <c r="D74" s="1"/>
      <c r="E74" s="1"/>
      <c r="F74" s="1"/>
      <c r="G74" s="1"/>
      <c r="H74" s="1"/>
      <c r="I74" s="1"/>
      <c r="J74" s="1"/>
      <c r="K74" s="1"/>
      <c r="L74" s="2"/>
      <c r="M74" s="1"/>
    </row>
    <row r="75" spans="1:13" x14ac:dyDescent="0.3">
      <c r="A75" s="1"/>
      <c r="B75" s="1"/>
      <c r="C75" s="1"/>
      <c r="D75" s="1"/>
      <c r="E75" s="1"/>
      <c r="F75" s="1"/>
      <c r="H75" s="194"/>
      <c r="I75" s="1"/>
      <c r="J75" s="1"/>
      <c r="K75" s="1"/>
      <c r="L75" s="2"/>
      <c r="M75" s="1"/>
    </row>
    <row r="76" spans="1:13" x14ac:dyDescent="0.3">
      <c r="A76" s="1"/>
      <c r="B76" s="1"/>
      <c r="C76" s="1"/>
      <c r="D76" s="1"/>
      <c r="E76" s="1"/>
      <c r="F76" s="1"/>
      <c r="G76" s="1"/>
      <c r="H76" s="1"/>
      <c r="I76" s="1"/>
      <c r="J76" s="1"/>
      <c r="K76" s="1"/>
      <c r="L76" s="2"/>
      <c r="M76" s="1"/>
    </row>
    <row r="77" spans="1:13" x14ac:dyDescent="0.3">
      <c r="A77" s="1"/>
      <c r="B77" s="1"/>
      <c r="C77" s="1"/>
      <c r="D77" s="1"/>
      <c r="E77" s="1"/>
      <c r="F77" s="1"/>
      <c r="G77" s="1"/>
      <c r="H77" s="1"/>
      <c r="I77" s="1"/>
      <c r="J77" s="1"/>
      <c r="K77" s="1"/>
      <c r="L77" s="2"/>
      <c r="M77" s="1"/>
    </row>
    <row r="78" spans="1:13" ht="15.6" x14ac:dyDescent="0.35">
      <c r="A78" s="1"/>
      <c r="B78" s="341" t="s">
        <v>223</v>
      </c>
      <c r="C78" s="342"/>
      <c r="D78" s="195" t="s">
        <v>184</v>
      </c>
      <c r="E78" s="1"/>
      <c r="F78" s="1"/>
      <c r="G78" s="1"/>
      <c r="H78" s="1"/>
      <c r="I78" s="1"/>
      <c r="J78" s="1"/>
      <c r="K78" s="1"/>
      <c r="L78" s="2"/>
      <c r="M78" s="1"/>
    </row>
    <row r="79" spans="1:13" x14ac:dyDescent="0.3">
      <c r="A79" s="1"/>
      <c r="B79" s="343" t="s">
        <v>221</v>
      </c>
      <c r="C79" s="343"/>
      <c r="D79" s="199">
        <f>D45*'Default Values'!C30*'Default Values'!C13</f>
        <v>132.447</v>
      </c>
      <c r="E79" s="1"/>
      <c r="F79" s="1"/>
      <c r="G79" s="1"/>
      <c r="H79" s="1"/>
      <c r="I79" s="1"/>
      <c r="J79" s="1"/>
      <c r="K79" s="1"/>
      <c r="L79" s="2"/>
      <c r="M79" s="1"/>
    </row>
    <row r="80" spans="1:13" x14ac:dyDescent="0.3">
      <c r="A80" s="1"/>
      <c r="B80" s="343" t="s">
        <v>222</v>
      </c>
      <c r="C80" s="343"/>
      <c r="D80" s="199">
        <f>D46*'Default Values'!C30*'Default Values'!C13</f>
        <v>201.18799999999999</v>
      </c>
      <c r="E80" s="1"/>
      <c r="F80" s="1"/>
      <c r="G80" s="1"/>
      <c r="H80" s="1"/>
      <c r="I80" s="1"/>
      <c r="J80" s="1"/>
      <c r="K80" s="1"/>
      <c r="L80" s="2"/>
      <c r="M80" s="1"/>
    </row>
    <row r="81" spans="1:15" x14ac:dyDescent="0.3">
      <c r="A81" s="1"/>
      <c r="B81" s="1"/>
      <c r="C81" s="1"/>
      <c r="D81" s="244">
        <f>SUM(D79:D80)</f>
        <v>333.63499999999999</v>
      </c>
      <c r="E81" s="1"/>
      <c r="F81" s="1"/>
      <c r="G81" s="1"/>
      <c r="H81" s="1"/>
      <c r="I81" s="1"/>
      <c r="J81" s="1"/>
      <c r="K81" s="1"/>
      <c r="L81" s="2"/>
      <c r="M81" s="1"/>
    </row>
    <row r="82" spans="1:15" x14ac:dyDescent="0.3">
      <c r="A82" s="1"/>
      <c r="B82" s="1"/>
      <c r="C82" s="1"/>
      <c r="D82" s="1"/>
      <c r="E82" s="1"/>
      <c r="F82" s="1"/>
      <c r="G82" s="1"/>
      <c r="H82" s="1"/>
      <c r="I82" s="1"/>
      <c r="J82" s="1"/>
      <c r="K82" s="1"/>
      <c r="L82" s="2"/>
      <c r="M82" s="1"/>
    </row>
    <row r="83" spans="1:15" x14ac:dyDescent="0.3">
      <c r="A83" s="1"/>
      <c r="B83" s="1"/>
      <c r="C83" s="1"/>
      <c r="D83" s="1"/>
      <c r="E83" s="1"/>
      <c r="F83" s="1"/>
      <c r="G83" s="1"/>
      <c r="H83" s="1"/>
      <c r="I83" s="1"/>
      <c r="J83" s="1"/>
      <c r="K83" s="1"/>
      <c r="L83" s="2"/>
      <c r="M83" s="1"/>
    </row>
    <row r="84" spans="1:15" ht="15.6" x14ac:dyDescent="0.35">
      <c r="A84" s="193" t="s">
        <v>190</v>
      </c>
      <c r="B84" s="1"/>
      <c r="C84" s="1"/>
      <c r="D84" s="1"/>
      <c r="E84" s="1"/>
      <c r="F84" s="1"/>
      <c r="G84" s="1"/>
      <c r="H84" s="1"/>
      <c r="I84" s="1"/>
      <c r="J84" s="1"/>
      <c r="K84" s="1"/>
      <c r="L84" s="2"/>
      <c r="M84" s="1"/>
    </row>
    <row r="85" spans="1:15" ht="43.8" customHeight="1" x14ac:dyDescent="0.3">
      <c r="A85" s="304" t="s">
        <v>220</v>
      </c>
      <c r="B85" s="304"/>
      <c r="C85" s="304"/>
      <c r="D85" s="304"/>
      <c r="E85" s="304"/>
      <c r="F85" s="304"/>
      <c r="G85" s="304"/>
      <c r="H85" s="304"/>
      <c r="I85" s="304"/>
      <c r="J85" s="1"/>
      <c r="K85" s="1"/>
      <c r="L85" s="2"/>
      <c r="M85" s="1"/>
    </row>
    <row r="86" spans="1:15" x14ac:dyDescent="0.3">
      <c r="A86" s="235"/>
      <c r="B86" s="321" t="s">
        <v>227</v>
      </c>
      <c r="C86" s="321"/>
      <c r="D86" s="246">
        <f>F56+D63+D71+D81</f>
        <v>879.15970000000004</v>
      </c>
      <c r="E86" s="235"/>
      <c r="F86" s="235"/>
      <c r="G86" s="235"/>
      <c r="H86" s="235"/>
      <c r="I86" s="235"/>
      <c r="J86" s="1"/>
      <c r="K86" s="1"/>
      <c r="L86" s="2"/>
      <c r="M86" s="1"/>
    </row>
    <row r="89" spans="1:15" s="241" customFormat="1" x14ac:dyDescent="0.3">
      <c r="B89" s="242" t="s">
        <v>235</v>
      </c>
    </row>
    <row r="90" spans="1:15" ht="52.2" customHeight="1" x14ac:dyDescent="0.3">
      <c r="B90" s="334" t="s">
        <v>236</v>
      </c>
      <c r="C90" s="334"/>
      <c r="D90" s="334"/>
      <c r="E90" s="334"/>
      <c r="F90" s="334"/>
      <c r="G90" s="334"/>
      <c r="H90" s="334"/>
      <c r="I90" s="334"/>
      <c r="J90" s="334"/>
      <c r="K90" s="334"/>
      <c r="L90" s="334"/>
      <c r="M90" s="334"/>
      <c r="N90" s="334"/>
      <c r="O90" s="334"/>
    </row>
    <row r="91" spans="1:15" ht="52.2" customHeight="1" x14ac:dyDescent="0.3">
      <c r="B91" s="334" t="s">
        <v>237</v>
      </c>
      <c r="C91" s="334"/>
      <c r="D91" s="334"/>
      <c r="E91" s="334"/>
      <c r="F91" s="334"/>
      <c r="G91" s="334"/>
      <c r="H91" s="334"/>
      <c r="I91" s="334"/>
      <c r="J91" s="334"/>
      <c r="K91" s="334"/>
      <c r="L91" s="334"/>
      <c r="M91" s="334"/>
      <c r="N91" s="334"/>
      <c r="O91" s="334"/>
    </row>
    <row r="92" spans="1:15" x14ac:dyDescent="0.3">
      <c r="B92" s="334"/>
      <c r="C92" s="334"/>
      <c r="D92" s="334"/>
      <c r="E92" s="334"/>
      <c r="F92" s="334"/>
      <c r="G92" s="334"/>
      <c r="H92" s="334"/>
      <c r="I92" s="334"/>
      <c r="J92" s="334"/>
      <c r="K92" s="334"/>
      <c r="L92" s="334"/>
      <c r="M92" s="334"/>
      <c r="N92" s="334"/>
      <c r="O92" s="334"/>
    </row>
    <row r="98" spans="1:15" ht="34.200000000000003" customHeight="1" x14ac:dyDescent="0.3"/>
    <row r="99" spans="1:15" ht="28.8" customHeight="1" x14ac:dyDescent="0.3">
      <c r="B99" s="334" t="s">
        <v>238</v>
      </c>
      <c r="C99" s="334"/>
      <c r="D99" s="334"/>
      <c r="E99" s="334"/>
      <c r="F99" s="334"/>
      <c r="G99" s="334"/>
      <c r="H99" s="334"/>
      <c r="I99" s="334"/>
      <c r="J99" s="334"/>
      <c r="K99" s="334"/>
      <c r="L99" s="334"/>
      <c r="M99" s="334"/>
      <c r="N99" s="334"/>
      <c r="O99" s="334"/>
    </row>
    <row r="101" spans="1:15" ht="15" thickBot="1" x14ac:dyDescent="0.35">
      <c r="B101" s="253"/>
    </row>
    <row r="102" spans="1:15" ht="37.799999999999997" thickBot="1" x14ac:dyDescent="0.35">
      <c r="B102" s="254" t="s">
        <v>205</v>
      </c>
      <c r="C102" s="255" t="s">
        <v>239</v>
      </c>
      <c r="D102" s="255" t="s">
        <v>240</v>
      </c>
      <c r="E102" s="256" t="s">
        <v>241</v>
      </c>
    </row>
    <row r="103" spans="1:15" ht="15" x14ac:dyDescent="0.3">
      <c r="B103" s="257" t="s">
        <v>192</v>
      </c>
      <c r="C103" s="335">
        <v>12963</v>
      </c>
      <c r="D103" s="337">
        <f>ROUNDUP(C103/1.8,0)</f>
        <v>7202</v>
      </c>
      <c r="E103" s="339">
        <f>C103-D103</f>
        <v>5761</v>
      </c>
    </row>
    <row r="104" spans="1:15" ht="30.6" thickBot="1" x14ac:dyDescent="0.35">
      <c r="B104" s="258" t="s">
        <v>242</v>
      </c>
      <c r="C104" s="336"/>
      <c r="D104" s="338"/>
      <c r="E104" s="340"/>
    </row>
    <row r="109" spans="1:15" x14ac:dyDescent="0.3">
      <c r="A109" s="332" t="s">
        <v>202</v>
      </c>
      <c r="B109" s="332"/>
      <c r="C109" s="247">
        <f>D25</f>
        <v>542</v>
      </c>
    </row>
    <row r="110" spans="1:15" x14ac:dyDescent="0.3">
      <c r="A110" s="332" t="s">
        <v>228</v>
      </c>
      <c r="B110" s="332"/>
      <c r="C110" s="248">
        <f>D40</f>
        <v>2282</v>
      </c>
    </row>
    <row r="111" spans="1:15" x14ac:dyDescent="0.3">
      <c r="A111" s="332" t="s">
        <v>227</v>
      </c>
      <c r="B111" s="332"/>
      <c r="C111" s="248">
        <f>ROUNDUP(D86,0)</f>
        <v>880</v>
      </c>
    </row>
    <row r="112" spans="1:15" x14ac:dyDescent="0.3">
      <c r="A112" s="332" t="s">
        <v>243</v>
      </c>
      <c r="B112" s="332"/>
      <c r="C112" s="248">
        <f>E103</f>
        <v>5761</v>
      </c>
    </row>
    <row r="113" spans="1:3" x14ac:dyDescent="0.3">
      <c r="A113" s="333" t="s">
        <v>209</v>
      </c>
      <c r="B113" s="333"/>
      <c r="C113" s="249">
        <f>SUM(C109:C112)</f>
        <v>9465</v>
      </c>
    </row>
  </sheetData>
  <mergeCells count="50">
    <mergeCell ref="B62:C62"/>
    <mergeCell ref="B45:C45"/>
    <mergeCell ref="B46:C46"/>
    <mergeCell ref="D44:E44"/>
    <mergeCell ref="D45:E45"/>
    <mergeCell ref="D46:E46"/>
    <mergeCell ref="B44:C44"/>
    <mergeCell ref="B54:C54"/>
    <mergeCell ref="B55:C55"/>
    <mergeCell ref="B53:C53"/>
    <mergeCell ref="B60:C60"/>
    <mergeCell ref="B61:C61"/>
    <mergeCell ref="A85:I85"/>
    <mergeCell ref="B78:C78"/>
    <mergeCell ref="B79:C79"/>
    <mergeCell ref="B80:C80"/>
    <mergeCell ref="B68:C68"/>
    <mergeCell ref="B69:C69"/>
    <mergeCell ref="B70:C70"/>
    <mergeCell ref="A111:B111"/>
    <mergeCell ref="A113:B113"/>
    <mergeCell ref="A110:B110"/>
    <mergeCell ref="A109:B109"/>
    <mergeCell ref="B86:C86"/>
    <mergeCell ref="A112:B112"/>
    <mergeCell ref="B90:O90"/>
    <mergeCell ref="B92:O92"/>
    <mergeCell ref="B91:O91"/>
    <mergeCell ref="B99:O99"/>
    <mergeCell ref="C103:C104"/>
    <mergeCell ref="D103:D104"/>
    <mergeCell ref="E103:E104"/>
    <mergeCell ref="B5:C5"/>
    <mergeCell ref="B10:C10"/>
    <mergeCell ref="D10:E10"/>
    <mergeCell ref="F10:G10"/>
    <mergeCell ref="B4:J4"/>
    <mergeCell ref="J8:J10"/>
    <mergeCell ref="J19:J21"/>
    <mergeCell ref="B40:C40"/>
    <mergeCell ref="B6:C6"/>
    <mergeCell ref="B17:C17"/>
    <mergeCell ref="H10:I10"/>
    <mergeCell ref="B16:C16"/>
    <mergeCell ref="B29:I29"/>
    <mergeCell ref="B25:C25"/>
    <mergeCell ref="B21:C21"/>
    <mergeCell ref="D21:E21"/>
    <mergeCell ref="F21:G21"/>
    <mergeCell ref="H21:I21"/>
  </mergeCells>
  <hyperlinks>
    <hyperlink ref="B99" location="_ftn1" display="_ftn1" xr:uid="{07CAA47E-4DFE-4C47-8436-5A6D5FF16C58}"/>
  </hyperlinks>
  <pageMargins left="0.7" right="0.7" top="0.75" bottom="0.75" header="0.3" footer="0.3"/>
  <pageSetup orientation="portrait" horizontalDpi="1200" verticalDpi="1200" r:id="rId1"/>
  <drawing r:id="rId2"/>
</worksheet>
</file>

<file path=docMetadata/LabelInfo.xml><?xml version="1.0" encoding="utf-8"?>
<clbl:labelList xmlns:clbl="http://schemas.microsoft.com/office/2020/mipLabelMetadata">
  <clbl:label id="{948094c8-480e-400b-91c4-c984b7e20814}" enabled="1" method="Standard" siteId="{a1109567-0815-4e1f-88af-e23555482aa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Title</vt:lpstr>
      <vt:lpstr>Actual ER</vt:lpstr>
      <vt:lpstr>Baseline Emissions</vt:lpstr>
      <vt:lpstr>Project Emissions</vt:lpstr>
      <vt:lpstr>Default Values</vt:lpstr>
      <vt:lpstr>Data Sheet</vt:lpstr>
      <vt:lpstr>Previous verification data</vt:lpstr>
      <vt:lpstr>Leakage Emissions</vt:lpstr>
      <vt:lpstr>Error Adjustments</vt:lpstr>
      <vt:lpstr>Error Adjustments of MP1</vt:lpstr>
      <vt:lpstr>'Error Adjustments'!_ftn1</vt:lpstr>
      <vt:lpstr>'Error Adjustments'!_ftnref1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Yash - Infinite</dc:creator>
  <cp:lastModifiedBy>Rajeev  Gupta</cp:lastModifiedBy>
  <cp:lastPrinted>2022-01-19T03:36:19Z</cp:lastPrinted>
  <dcterms:created xsi:type="dcterms:W3CDTF">2015-06-05T18:17:20Z</dcterms:created>
  <dcterms:modified xsi:type="dcterms:W3CDTF">2025-08-19T11:06:57Z</dcterms:modified>
</cp:coreProperties>
</file>