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X:\VCS Ver\VVER107 Mahindra 4 location\2. Working\4. Board Reply\PRR R-II\"/>
    </mc:Choice>
  </mc:AlternateContent>
  <xr:revisionPtr revIDLastSave="0" documentId="13_ncr:1_{5280C8F8-8D25-43DC-BDB0-E9D96B1A82CE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Comparision w.r.t. deviated val" sheetId="18" r:id="rId1"/>
    <sheet name="Actual ER" sheetId="1" r:id="rId2"/>
    <sheet name="Default Values" sheetId="2" r:id="rId3"/>
    <sheet name="Baseline Emissions" sheetId="3" r:id="rId4"/>
    <sheet name="Project emissions" sheetId="4" r:id="rId5"/>
    <sheet name="Bio -Methanation- Aurangabad" sheetId="7" r:id="rId6"/>
    <sheet name="Bio - Methanation - Adoni" sheetId="8" r:id="rId7"/>
    <sheet name="Bio - Methaanation - Tirupati" sheetId="9" r:id="rId8"/>
    <sheet name="Bio-Methanation - Piduguralla" sheetId="10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29" i="3" l="1"/>
  <c r="G28" i="3"/>
  <c r="G27" i="3"/>
  <c r="G21" i="3"/>
  <c r="G20" i="3"/>
  <c r="G19" i="3" l="1"/>
  <c r="G13" i="3"/>
  <c r="G14" i="3"/>
  <c r="G12" i="3"/>
  <c r="G6" i="3"/>
  <c r="G7" i="3"/>
  <c r="G5" i="3"/>
  <c r="D17" i="9"/>
  <c r="D16" i="7"/>
  <c r="H17" i="7" l="1"/>
  <c r="J7" i="1"/>
  <c r="N27" i="1"/>
  <c r="N20" i="1"/>
  <c r="G27" i="1"/>
  <c r="G20" i="1"/>
  <c r="I17" i="10"/>
  <c r="H17" i="10"/>
  <c r="G17" i="10"/>
  <c r="F17" i="10"/>
  <c r="D17" i="10"/>
  <c r="I18" i="9"/>
  <c r="H18" i="9"/>
  <c r="G18" i="9"/>
  <c r="F18" i="9"/>
  <c r="I17" i="8"/>
  <c r="H17" i="8"/>
  <c r="G17" i="8"/>
  <c r="F17" i="8"/>
  <c r="D17" i="8"/>
  <c r="L12" i="3" s="1"/>
  <c r="E5" i="8"/>
  <c r="E6" i="8"/>
  <c r="I17" i="7"/>
  <c r="G17" i="7"/>
  <c r="F17" i="7"/>
  <c r="D17" i="7"/>
  <c r="L5" i="3" s="1"/>
  <c r="D15" i="4"/>
  <c r="G15" i="4" s="1"/>
  <c r="L15" i="4"/>
  <c r="O15" i="4" s="1"/>
  <c r="L8" i="4"/>
  <c r="O8" i="4" s="1"/>
  <c r="D8" i="4"/>
  <c r="G8" i="4" s="1"/>
  <c r="D18" i="9"/>
  <c r="L19" i="3" s="1"/>
  <c r="L27" i="3" l="1"/>
  <c r="D19" i="10"/>
  <c r="E15" i="4"/>
  <c r="M15" i="4"/>
  <c r="M8" i="4"/>
  <c r="E8" i="4"/>
  <c r="L28" i="3"/>
  <c r="L29" i="3" s="1"/>
  <c r="L20" i="3"/>
  <c r="L21" i="3" s="1"/>
  <c r="L13" i="3"/>
  <c r="L14" i="3" s="1"/>
  <c r="M29" i="3"/>
  <c r="M28" i="3"/>
  <c r="M21" i="3"/>
  <c r="M20" i="3"/>
  <c r="M14" i="3"/>
  <c r="M13" i="3"/>
  <c r="M7" i="3"/>
  <c r="M6" i="3"/>
  <c r="E27" i="3"/>
  <c r="F27" i="3"/>
  <c r="H27" i="3"/>
  <c r="I27" i="3"/>
  <c r="J27" i="3"/>
  <c r="K27" i="3"/>
  <c r="M27" i="3"/>
  <c r="N27" i="3"/>
  <c r="O27" i="3"/>
  <c r="P27" i="3"/>
  <c r="E28" i="3"/>
  <c r="F28" i="3"/>
  <c r="H28" i="3"/>
  <c r="I28" i="3"/>
  <c r="J28" i="3"/>
  <c r="K28" i="3"/>
  <c r="N28" i="3"/>
  <c r="O28" i="3"/>
  <c r="P28" i="3"/>
  <c r="E29" i="3"/>
  <c r="F29" i="3"/>
  <c r="H29" i="3"/>
  <c r="I29" i="3"/>
  <c r="J29" i="3"/>
  <c r="K29" i="3"/>
  <c r="N29" i="3"/>
  <c r="O29" i="3"/>
  <c r="P29" i="3"/>
  <c r="P21" i="3"/>
  <c r="O21" i="3"/>
  <c r="N21" i="3"/>
  <c r="K21" i="3"/>
  <c r="J21" i="3"/>
  <c r="I21" i="3"/>
  <c r="H21" i="3"/>
  <c r="F21" i="3"/>
  <c r="E21" i="3"/>
  <c r="P20" i="3"/>
  <c r="O20" i="3"/>
  <c r="N20" i="3"/>
  <c r="K20" i="3"/>
  <c r="J20" i="3"/>
  <c r="I20" i="3"/>
  <c r="H20" i="3"/>
  <c r="F20" i="3"/>
  <c r="E20" i="3"/>
  <c r="P19" i="3"/>
  <c r="O19" i="3"/>
  <c r="N19" i="3"/>
  <c r="M19" i="3"/>
  <c r="K19" i="3"/>
  <c r="J19" i="3"/>
  <c r="I19" i="3"/>
  <c r="H19" i="3"/>
  <c r="F19" i="3"/>
  <c r="E19" i="3"/>
  <c r="P14" i="3"/>
  <c r="O14" i="3"/>
  <c r="N14" i="3"/>
  <c r="K14" i="3"/>
  <c r="J14" i="3"/>
  <c r="I14" i="3"/>
  <c r="H14" i="3"/>
  <c r="F14" i="3"/>
  <c r="E14" i="3"/>
  <c r="P13" i="3"/>
  <c r="O13" i="3"/>
  <c r="N13" i="3"/>
  <c r="K13" i="3"/>
  <c r="J13" i="3"/>
  <c r="I13" i="3"/>
  <c r="H13" i="3"/>
  <c r="F13" i="3"/>
  <c r="E13" i="3"/>
  <c r="P12" i="3"/>
  <c r="O12" i="3"/>
  <c r="N12" i="3"/>
  <c r="M12" i="3"/>
  <c r="K12" i="3"/>
  <c r="J12" i="3"/>
  <c r="I12" i="3"/>
  <c r="H12" i="3"/>
  <c r="F12" i="3"/>
  <c r="E12" i="3"/>
  <c r="P7" i="3"/>
  <c r="P6" i="3"/>
  <c r="P5" i="3"/>
  <c r="O7" i="3"/>
  <c r="O6" i="3"/>
  <c r="O5" i="3"/>
  <c r="N7" i="3"/>
  <c r="N6" i="3"/>
  <c r="N5" i="3"/>
  <c r="L6" i="3"/>
  <c r="L7" i="3" s="1"/>
  <c r="M5" i="3"/>
  <c r="K7" i="3"/>
  <c r="J7" i="3"/>
  <c r="I7" i="3"/>
  <c r="H7" i="3"/>
  <c r="F7" i="3"/>
  <c r="E7" i="3"/>
  <c r="K6" i="3"/>
  <c r="J6" i="3"/>
  <c r="I6" i="3"/>
  <c r="H6" i="3"/>
  <c r="F6" i="3"/>
  <c r="E6" i="3"/>
  <c r="K5" i="3"/>
  <c r="J5" i="3"/>
  <c r="I5" i="3"/>
  <c r="H5" i="3"/>
  <c r="F5" i="3"/>
  <c r="E5" i="3"/>
  <c r="E16" i="7"/>
  <c r="E5" i="10"/>
  <c r="Q5" i="3" l="1"/>
  <c r="Q27" i="3"/>
  <c r="Q28" i="3"/>
  <c r="Q29" i="3"/>
  <c r="Q7" i="3"/>
  <c r="Q6" i="3"/>
  <c r="Q19" i="3"/>
  <c r="Q13" i="3"/>
  <c r="Q20" i="3"/>
  <c r="Q12" i="3"/>
  <c r="Q21" i="3"/>
  <c r="Q14" i="3"/>
  <c r="Q15" i="3" l="1"/>
  <c r="E26" i="1" s="1"/>
  <c r="E27" i="1" s="1"/>
  <c r="Q22" i="3"/>
  <c r="L19" i="1" s="1"/>
  <c r="L20" i="1" s="1"/>
  <c r="Q8" i="3"/>
  <c r="E19" i="1" s="1"/>
  <c r="E20" i="1" s="1"/>
  <c r="Q30" i="3"/>
  <c r="L26" i="1" s="1"/>
  <c r="L27" i="1" s="1"/>
  <c r="H6" i="1" l="1"/>
  <c r="H7" i="1" s="1"/>
  <c r="E6" i="10"/>
  <c r="E7" i="10"/>
  <c r="E8" i="10"/>
  <c r="E9" i="10"/>
  <c r="E10" i="10"/>
  <c r="E11" i="10"/>
  <c r="E12" i="10"/>
  <c r="E13" i="10"/>
  <c r="E14" i="10"/>
  <c r="E15" i="10"/>
  <c r="E16" i="10"/>
  <c r="E6" i="9"/>
  <c r="E7" i="9"/>
  <c r="E8" i="9"/>
  <c r="E9" i="9"/>
  <c r="E10" i="9"/>
  <c r="E11" i="9"/>
  <c r="E12" i="9"/>
  <c r="E13" i="9"/>
  <c r="E14" i="9"/>
  <c r="E15" i="9"/>
  <c r="E16" i="9"/>
  <c r="E17" i="9"/>
  <c r="E16" i="8"/>
  <c r="E7" i="8"/>
  <c r="E8" i="8"/>
  <c r="E9" i="8"/>
  <c r="E10" i="8"/>
  <c r="E11" i="8"/>
  <c r="E12" i="8"/>
  <c r="E13" i="8"/>
  <c r="E14" i="8"/>
  <c r="E15" i="8"/>
  <c r="E5" i="7"/>
  <c r="E6" i="7"/>
  <c r="E7" i="7"/>
  <c r="E8" i="7"/>
  <c r="E9" i="7"/>
  <c r="E10" i="7"/>
  <c r="E11" i="7"/>
  <c r="E12" i="7"/>
  <c r="E13" i="7"/>
  <c r="E14" i="7"/>
  <c r="E15" i="7"/>
  <c r="E17" i="10" l="1"/>
  <c r="E17" i="8"/>
  <c r="E17" i="7"/>
  <c r="E18" i="9"/>
  <c r="G11" i="1" l="1"/>
  <c r="C25" i="2" l="1"/>
  <c r="C26" i="2" s="1"/>
  <c r="C28" i="2" s="1"/>
  <c r="N8" i="4" l="1"/>
  <c r="P8" i="4" s="1"/>
  <c r="M5" i="4" s="1"/>
  <c r="P5" i="4" s="1"/>
  <c r="M19" i="1" s="1"/>
  <c r="M20" i="1" s="1"/>
  <c r="F15" i="4"/>
  <c r="H15" i="4" s="1"/>
  <c r="E12" i="4" s="1"/>
  <c r="H12" i="4" s="1"/>
  <c r="F26" i="1" s="1"/>
  <c r="F27" i="1" s="1"/>
  <c r="F8" i="4"/>
  <c r="H8" i="4" s="1"/>
  <c r="E5" i="4" s="1"/>
  <c r="H5" i="4" s="1"/>
  <c r="F19" i="1" s="1"/>
  <c r="N15" i="4"/>
  <c r="P15" i="4" s="1"/>
  <c r="M12" i="4" s="1"/>
  <c r="P12" i="4" s="1"/>
  <c r="M26" i="1" s="1"/>
  <c r="O26" i="1" l="1"/>
  <c r="O27" i="1" s="1"/>
  <c r="M27" i="1"/>
  <c r="H19" i="1"/>
  <c r="H20" i="1" s="1"/>
  <c r="F20" i="1"/>
  <c r="I6" i="1"/>
  <c r="H26" i="1"/>
  <c r="H27" i="1" s="1"/>
  <c r="O19" i="1"/>
  <c r="O20" i="1" s="1"/>
  <c r="K6" i="1" l="1"/>
  <c r="I7" i="1"/>
  <c r="G12" i="1" l="1"/>
  <c r="G14" i="1" s="1"/>
  <c r="K7" i="1"/>
</calcChain>
</file>

<file path=xl/sharedStrings.xml><?xml version="1.0" encoding="utf-8"?>
<sst xmlns="http://schemas.openxmlformats.org/spreadsheetml/2006/main" count="270" uniqueCount="104">
  <si>
    <t>Monitoring Period</t>
  </si>
  <si>
    <r>
      <t>Baseline Emissions (BE</t>
    </r>
    <r>
      <rPr>
        <b/>
        <vertAlign val="subscript"/>
        <sz val="9"/>
        <rFont val="Arial"/>
        <family val="2"/>
      </rPr>
      <t>y</t>
    </r>
    <r>
      <rPr>
        <b/>
        <sz val="9"/>
        <rFont val="Arial"/>
        <family val="2"/>
      </rPr>
      <t>)</t>
    </r>
  </si>
  <si>
    <r>
      <t>Project Emissions (PE</t>
    </r>
    <r>
      <rPr>
        <b/>
        <vertAlign val="subscript"/>
        <sz val="9"/>
        <rFont val="Arial"/>
        <family val="2"/>
      </rPr>
      <t>y</t>
    </r>
    <r>
      <rPr>
        <b/>
        <sz val="9"/>
        <rFont val="Arial"/>
        <family val="2"/>
      </rPr>
      <t>)</t>
    </r>
  </si>
  <si>
    <r>
      <t>Leakage Emissions (LE</t>
    </r>
    <r>
      <rPr>
        <b/>
        <vertAlign val="subscript"/>
        <sz val="9"/>
        <rFont val="Arial"/>
        <family val="2"/>
      </rPr>
      <t>y</t>
    </r>
    <r>
      <rPr>
        <b/>
        <sz val="9"/>
        <rFont val="Arial"/>
        <family val="2"/>
      </rPr>
      <t>)</t>
    </r>
  </si>
  <si>
    <r>
      <t>Emission Reductions (ER</t>
    </r>
    <r>
      <rPr>
        <b/>
        <vertAlign val="subscript"/>
        <sz val="9"/>
        <rFont val="Arial"/>
        <family val="2"/>
      </rPr>
      <t>y</t>
    </r>
    <r>
      <rPr>
        <b/>
        <sz val="9"/>
        <rFont val="Arial"/>
        <family val="2"/>
      </rPr>
      <t>)</t>
    </r>
  </si>
  <si>
    <t>From</t>
  </si>
  <si>
    <t>To</t>
  </si>
  <si>
    <r>
      <t>(tCO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e)</t>
    </r>
  </si>
  <si>
    <t>Total</t>
  </si>
  <si>
    <t>Parameters according to Methodology ACM0022</t>
  </si>
  <si>
    <t>Values</t>
  </si>
  <si>
    <t>Reference</t>
  </si>
  <si>
    <t>Correction Factor</t>
  </si>
  <si>
    <t>Tool 04, Emissions from solid waste disposal site, Version 08.0, EB 94, Annex 7</t>
  </si>
  <si>
    <t>Fraction</t>
  </si>
  <si>
    <t>Oxidation Factor</t>
  </si>
  <si>
    <t>Decay Rate</t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</si>
  <si>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/MWh</t>
    </r>
  </si>
  <si>
    <t xml:space="preserve">Weighted average emission factor, CO2 Baseline Database for the Indian Power Sector, Version 14.0 </t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</si>
  <si>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/t</t>
    </r>
  </si>
  <si>
    <t>Tool 13, Project and leakage emission from composting, Version 2.0, EB 96, Annex 6</t>
  </si>
  <si>
    <r>
      <t>tCH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/t</t>
    </r>
  </si>
  <si>
    <r>
      <t>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e/t 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</si>
  <si>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t 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O/t</t>
    </r>
  </si>
  <si>
    <t>fCH4, default</t>
  </si>
  <si>
    <t>m3 CH4/m3</t>
  </si>
  <si>
    <t>Tool 14, Project and lekage emission from anaerobic digesters, Version 2.0, EB 96 Annex 7</t>
  </si>
  <si>
    <t>φCH4</t>
  </si>
  <si>
    <t>t Ch4/m3 CH4</t>
  </si>
  <si>
    <t>F EC default</t>
  </si>
  <si>
    <t>MWh/ t Ch4 produced</t>
  </si>
  <si>
    <t>EF EL default</t>
  </si>
  <si>
    <t>t CO2/ MWh</t>
  </si>
  <si>
    <t>EFCH4 default</t>
  </si>
  <si>
    <t>t Ch4 leaked/ t Ch4 produced</t>
  </si>
  <si>
    <t>NCV- Diesel Oil</t>
  </si>
  <si>
    <t>TJ/Gg</t>
  </si>
  <si>
    <t>IPCC</t>
  </si>
  <si>
    <t xml:space="preserve">Emission factor- Diesel </t>
  </si>
  <si>
    <t>tCO2/TJ</t>
  </si>
  <si>
    <t>tCO2/Gg</t>
  </si>
  <si>
    <t>Calculated</t>
  </si>
  <si>
    <t>tCO2/kg</t>
  </si>
  <si>
    <t>Density</t>
  </si>
  <si>
    <t>kg/l</t>
  </si>
  <si>
    <t>(http://www.iocl.com/Products/DieselSpecifications.pdf)</t>
  </si>
  <si>
    <t>tCO2/litre</t>
  </si>
  <si>
    <t>F EC deafult</t>
  </si>
  <si>
    <t xml:space="preserve">MWh/tCh4 </t>
  </si>
  <si>
    <t>Parameter</t>
  </si>
  <si>
    <t>Year</t>
  </si>
  <si>
    <t>Computation of Baseline Emissions - Bio-Methanation of Municipal Solid Waste</t>
  </si>
  <si>
    <t>PEAD,y</t>
  </si>
  <si>
    <t>PE, Y</t>
  </si>
  <si>
    <t>QCh4,y</t>
  </si>
  <si>
    <t>PE EC y</t>
  </si>
  <si>
    <t>PE FC y</t>
  </si>
  <si>
    <t>PE CH4 y</t>
  </si>
  <si>
    <t>Sr. No.</t>
  </si>
  <si>
    <t>Month</t>
  </si>
  <si>
    <t>Monthly Qty of Municipal Solid waste treated (In Ton)</t>
  </si>
  <si>
    <t>Monthly Qty of Bio CNG(In T)</t>
  </si>
  <si>
    <t>Monthly Qty of Compost(In Ton)</t>
  </si>
  <si>
    <t xml:space="preserve">Monthly Electricity Consumption </t>
  </si>
  <si>
    <t xml:space="preserve">Monthly Diesel Consumption( In Ltr.) </t>
  </si>
  <si>
    <t>Producted</t>
  </si>
  <si>
    <t>( in Unit)</t>
  </si>
  <si>
    <t>Bio Methanation (Aurangabad):</t>
  </si>
  <si>
    <t>2018-2019</t>
  </si>
  <si>
    <t>https://cpcb.nic.in/uploads/MSW/MSW_AnnualReport_2018-19.pdf</t>
  </si>
  <si>
    <t>Unit</t>
  </si>
  <si>
    <t>Bio Methanation (Aurngabad):</t>
  </si>
  <si>
    <t>Bio Methanation (Adoni):</t>
  </si>
  <si>
    <t>Bio Methanation (Tirupati):</t>
  </si>
  <si>
    <t>Bio Methanation (Pidugaralla):</t>
  </si>
  <si>
    <t>Tons</t>
  </si>
  <si>
    <t>Produced</t>
  </si>
  <si>
    <t>( in kWh or units)</t>
  </si>
  <si>
    <t>At DG used for plant</t>
  </si>
  <si>
    <t>Project Name :- 20 TPD Bio Methanation Plant At Adoni</t>
  </si>
  <si>
    <t>Bio Methanation (Piduguralla):</t>
  </si>
  <si>
    <t>Computation of Emission Reductions (Project Level)</t>
  </si>
  <si>
    <t>tCO2e</t>
  </si>
  <si>
    <t>Start date of MP</t>
  </si>
  <si>
    <t>End date of MP</t>
  </si>
  <si>
    <t>Actual ER during MP</t>
  </si>
  <si>
    <t>Estimated ER during MP</t>
  </si>
  <si>
    <t>% Change in estimated values</t>
  </si>
  <si>
    <t>No of Days</t>
  </si>
  <si>
    <t>Days</t>
  </si>
  <si>
    <t>Project Name :- 30 TPD Bio Methanation Plant At Aurangabad</t>
  </si>
  <si>
    <t>Project Name :- 20 TPD Bio Methanation Plant At Piduguralla</t>
  </si>
  <si>
    <t>Project Name :- 40 TPD Bio Methanation Plant At Tirupati</t>
  </si>
  <si>
    <t xml:space="preserve">Amount of Bio Gas collected (Nm3)
</t>
  </si>
  <si>
    <r>
      <t>BE</t>
    </r>
    <r>
      <rPr>
        <b/>
        <vertAlign val="subscript"/>
        <sz val="10"/>
        <rFont val="Arial"/>
        <family val="2"/>
      </rPr>
      <t>y=3</t>
    </r>
  </si>
  <si>
    <t xml:space="preserve"> Tool 04, Emissions from solid waste disposal site, Version 08.0, EB 94, Annex 7</t>
  </si>
  <si>
    <r>
      <t>DOC</t>
    </r>
    <r>
      <rPr>
        <i/>
        <vertAlign val="subscript"/>
        <sz val="10.5"/>
        <rFont val="Franklin Gothic Book"/>
        <family val="2"/>
      </rPr>
      <t>f,y</t>
    </r>
    <r>
      <rPr>
        <sz val="10.5"/>
        <rFont val="Franklin Gothic Book"/>
        <family val="2"/>
      </rPr>
      <t xml:space="preserve"> </t>
    </r>
  </si>
  <si>
    <t>Estimated value as per Approved PD</t>
  </si>
  <si>
    <t>As per deviation requested</t>
  </si>
  <si>
    <t>Actual Emissions Reductions (tCO2e)</t>
  </si>
  <si>
    <t>Parameters</t>
  </si>
  <si>
    <r>
      <t>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e/t 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(from 01/01/2021)</t>
    </r>
  </si>
  <si>
    <t>Estimated Emissions Reductions (tCO2e/year)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</si>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</sst>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vertAlign val="subscript"/>
      <sz val="9"/>
      <name val="Arial"/>
      <family val="2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Arial"/>
      <family val="2"/>
    </font>
    <font>
      <i/>
      <sz val="10.5"/>
      <name val="Franklin Gothic Book"/>
      <family val="2"/>
    </font>
    <font>
      <i/>
      <vertAlign val="subscript"/>
      <sz val="10.5"/>
      <name val="Franklin Gothic Book"/>
      <family val="2"/>
    </font>
    <font>
      <sz val="10.5"/>
      <name val="Franklin Gothic Book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14" fontId="0" fillId="2" borderId="1" xfId="0" applyNumberFormat="1" applyFill="1" applyBorder="1"/>
    <xf numFmtId="0" fontId="0" fillId="2" borderId="0" xfId="0" applyFill="1"/>
    <xf numFmtId="1" fontId="0" fillId="2" borderId="1" xfId="0" applyNumberFormat="1" applyFill="1" applyBorder="1"/>
    <xf numFmtId="0" fontId="0" fillId="2" borderId="1" xfId="0" applyFill="1" applyBorder="1"/>
    <xf numFmtId="0" fontId="2" fillId="2" borderId="0" xfId="0" applyFont="1" applyFill="1"/>
    <xf numFmtId="2" fontId="0" fillId="2" borderId="1" xfId="0" applyNumberFormat="1" applyFill="1" applyBorder="1"/>
    <xf numFmtId="0" fontId="0" fillId="2" borderId="1" xfId="2" applyFont="1" applyFill="1" applyBorder="1"/>
    <xf numFmtId="0" fontId="0" fillId="0" borderId="1" xfId="0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10" fontId="0" fillId="0" borderId="1" xfId="3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5" fillId="0" borderId="1" xfId="2" applyBorder="1" applyAlignment="1">
      <alignment vertical="center"/>
    </xf>
    <xf numFmtId="0" fontId="2" fillId="2" borderId="1" xfId="0" applyFont="1" applyFill="1" applyBorder="1"/>
    <xf numFmtId="0" fontId="0" fillId="2" borderId="4" xfId="0" applyFill="1" applyBorder="1"/>
    <xf numFmtId="0" fontId="0" fillId="0" borderId="4" xfId="0" applyBorder="1" applyAlignment="1">
      <alignment vertical="center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0" borderId="6" xfId="0" applyFont="1" applyBorder="1" applyAlignment="1">
      <alignment vertical="center" wrapText="1"/>
    </xf>
    <xf numFmtId="0" fontId="2" fillId="2" borderId="10" xfId="0" applyFont="1" applyFill="1" applyBorder="1"/>
    <xf numFmtId="0" fontId="0" fillId="2" borderId="1" xfId="0" applyFill="1" applyBorder="1" applyAlignment="1">
      <alignment wrapText="1"/>
    </xf>
    <xf numFmtId="1" fontId="2" fillId="2" borderId="1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1" fontId="1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/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1" fontId="3" fillId="2" borderId="7" xfId="0" applyNumberFormat="1" applyFont="1" applyFill="1" applyBorder="1" applyAlignment="1">
      <alignment horizontal="right" vertical="center"/>
    </xf>
    <xf numFmtId="1" fontId="3" fillId="2" borderId="2" xfId="0" applyNumberFormat="1" applyFont="1" applyFill="1" applyBorder="1" applyAlignment="1">
      <alignment horizontal="right" vertical="center"/>
    </xf>
    <xf numFmtId="1" fontId="3" fillId="2" borderId="18" xfId="0" applyNumberFormat="1" applyFont="1" applyFill="1" applyBorder="1" applyAlignment="1">
      <alignment horizontal="right" vertical="center"/>
    </xf>
    <xf numFmtId="14" fontId="3" fillId="2" borderId="19" xfId="0" applyNumberFormat="1" applyFont="1" applyFill="1" applyBorder="1" applyAlignment="1">
      <alignment horizontal="center" vertical="center"/>
    </xf>
    <xf numFmtId="14" fontId="3" fillId="2" borderId="17" xfId="0" applyNumberFormat="1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/>
    </xf>
    <xf numFmtId="1" fontId="3" fillId="2" borderId="2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4" fontId="0" fillId="2" borderId="0" xfId="0" applyNumberFormat="1" applyFill="1"/>
    <xf numFmtId="1" fontId="0" fillId="2" borderId="0" xfId="0" applyNumberFormat="1" applyFill="1"/>
    <xf numFmtId="1" fontId="2" fillId="2" borderId="0" xfId="0" applyNumberFormat="1" applyFont="1" applyFill="1"/>
    <xf numFmtId="2" fontId="0" fillId="2" borderId="0" xfId="0" applyNumberFormat="1" applyFill="1"/>
    <xf numFmtId="166" fontId="0" fillId="2" borderId="0" xfId="0" applyNumberFormat="1" applyFill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0" fillId="2" borderId="0" xfId="0" applyNumberFormat="1" applyFill="1"/>
    <xf numFmtId="1" fontId="3" fillId="3" borderId="12" xfId="0" applyNumberFormat="1" applyFont="1" applyFill="1" applyBorder="1" applyAlignment="1">
      <alignment horizontal="right" vertical="center"/>
    </xf>
    <xf numFmtId="164" fontId="3" fillId="3" borderId="13" xfId="1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0" fillId="6" borderId="1" xfId="0" applyFill="1" applyBorder="1" applyAlignment="1">
      <alignment horizontal="center"/>
    </xf>
    <xf numFmtId="1" fontId="2" fillId="6" borderId="1" xfId="0" applyNumberFormat="1" applyFont="1" applyFill="1" applyBorder="1"/>
    <xf numFmtId="165" fontId="2" fillId="6" borderId="1" xfId="0" applyNumberFormat="1" applyFont="1" applyFill="1" applyBorder="1"/>
    <xf numFmtId="2" fontId="2" fillId="6" borderId="1" xfId="0" applyNumberFormat="1" applyFont="1" applyFill="1" applyBorder="1"/>
    <xf numFmtId="165" fontId="8" fillId="6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right" vertical="center" wrapText="1"/>
    </xf>
    <xf numFmtId="1" fontId="0" fillId="6" borderId="1" xfId="0" applyNumberFormat="1" applyFill="1" applyBorder="1"/>
    <xf numFmtId="0" fontId="0" fillId="7" borderId="1" xfId="0" applyFill="1" applyBorder="1"/>
    <xf numFmtId="0" fontId="2" fillId="7" borderId="1" xfId="0" applyFont="1" applyFill="1" applyBorder="1"/>
    <xf numFmtId="1" fontId="2" fillId="7" borderId="1" xfId="0" applyNumberFormat="1" applyFont="1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1" fontId="2" fillId="5" borderId="1" xfId="0" applyNumberFormat="1" applyFont="1" applyFill="1" applyBorder="1"/>
    <xf numFmtId="165" fontId="2" fillId="5" borderId="1" xfId="0" applyNumberFormat="1" applyFont="1" applyFill="1" applyBorder="1"/>
    <xf numFmtId="2" fontId="2" fillId="5" borderId="1" xfId="0" applyNumberFormat="1" applyFont="1" applyFill="1" applyBorder="1"/>
    <xf numFmtId="165" fontId="8" fillId="5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right" vertical="center" wrapText="1"/>
    </xf>
    <xf numFmtId="1" fontId="0" fillId="5" borderId="1" xfId="0" applyNumberFormat="1" applyFill="1" applyBorder="1"/>
    <xf numFmtId="0" fontId="0" fillId="8" borderId="1" xfId="0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1" fontId="2" fillId="8" borderId="1" xfId="0" applyNumberFormat="1" applyFont="1" applyFill="1" applyBorder="1"/>
    <xf numFmtId="165" fontId="2" fillId="8" borderId="1" xfId="0" applyNumberFormat="1" applyFont="1" applyFill="1" applyBorder="1"/>
    <xf numFmtId="2" fontId="2" fillId="8" borderId="1" xfId="0" applyNumberFormat="1" applyFont="1" applyFill="1" applyBorder="1"/>
    <xf numFmtId="1" fontId="2" fillId="3" borderId="1" xfId="0" applyNumberFormat="1" applyFont="1" applyFill="1" applyBorder="1"/>
    <xf numFmtId="165" fontId="2" fillId="3" borderId="1" xfId="0" applyNumberFormat="1" applyFont="1" applyFill="1" applyBorder="1"/>
    <xf numFmtId="2" fontId="2" fillId="3" borderId="1" xfId="0" applyNumberFormat="1" applyFont="1" applyFill="1" applyBorder="1"/>
    <xf numFmtId="166" fontId="0" fillId="2" borderId="1" xfId="0" applyNumberFormat="1" applyFill="1" applyBorder="1"/>
    <xf numFmtId="1" fontId="0" fillId="0" borderId="1" xfId="0" applyNumberFormat="1" applyBorder="1"/>
    <xf numFmtId="1" fontId="3" fillId="2" borderId="17" xfId="1" applyNumberFormat="1" applyFont="1" applyFill="1" applyBorder="1" applyAlignment="1">
      <alignment horizontal="center" vertical="center"/>
    </xf>
    <xf numFmtId="14" fontId="0" fillId="2" borderId="3" xfId="0" applyNumberFormat="1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0" fillId="0" borderId="1" xfId="0" applyNumberFormat="1" applyBorder="1"/>
    <xf numFmtId="1" fontId="3" fillId="3" borderId="1" xfId="0" applyNumberFormat="1" applyFont="1" applyFill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right" vertical="center"/>
    </xf>
    <xf numFmtId="0" fontId="0" fillId="2" borderId="8" xfId="0" applyFill="1" applyBorder="1"/>
    <xf numFmtId="1" fontId="0" fillId="2" borderId="3" xfId="0" applyNumberFormat="1" applyFill="1" applyBorder="1"/>
    <xf numFmtId="1" fontId="0" fillId="2" borderId="9" xfId="0" applyNumberFormat="1" applyFill="1" applyBorder="1"/>
    <xf numFmtId="0" fontId="0" fillId="0" borderId="4" xfId="0" applyBorder="1"/>
    <xf numFmtId="0" fontId="0" fillId="0" borderId="1" xfId="0" applyBorder="1"/>
    <xf numFmtId="0" fontId="7" fillId="0" borderId="1" xfId="0" applyFont="1" applyBorder="1"/>
    <xf numFmtId="0" fontId="15" fillId="0" borderId="0" xfId="0" applyFont="1" applyAlignment="1">
      <alignment vertical="center" wrapText="1"/>
    </xf>
    <xf numFmtId="0" fontId="18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0" fontId="2" fillId="2" borderId="22" xfId="3" applyNumberFormat="1" applyFont="1" applyFill="1" applyBorder="1" applyAlignment="1">
      <alignment horizontal="center"/>
    </xf>
    <xf numFmtId="3" fontId="0" fillId="0" borderId="0" xfId="0" applyNumberFormat="1"/>
    <xf numFmtId="3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3.png"/><Relationship Id="rId2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2.png"/><Relationship Id="rId5" Type="http://schemas.openxmlformats.org/officeDocument/2006/relationships/image" Target="../media/image18.png"/><Relationship Id="rId15" Type="http://schemas.openxmlformats.org/officeDocument/2006/relationships/image" Target="../media/image16.png"/><Relationship Id="rId10" Type="http://schemas.openxmlformats.org/officeDocument/2006/relationships/image" Target="../media/image21.png"/><Relationship Id="rId4" Type="http://schemas.openxmlformats.org/officeDocument/2006/relationships/image" Target="../media/image5.png"/><Relationship Id="rId9" Type="http://schemas.openxmlformats.org/officeDocument/2006/relationships/image" Target="../media/image20.png"/><Relationship Id="rId14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171450</xdr:colOff>
      <xdr:row>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2BA01F-B96A-4010-8726-A0EFB37C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525"/>
          <a:ext cx="1714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123825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207B5A-023E-47B5-A438-F2F7A3E6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"/>
          <a:ext cx="1238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</xdr:row>
      <xdr:rowOff>28575</xdr:rowOff>
    </xdr:from>
    <xdr:to>
      <xdr:col>1</xdr:col>
      <xdr:colOff>533400</xdr:colOff>
      <xdr:row>4</xdr:row>
      <xdr:rowOff>209550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1E1683-7206-4995-A3EF-7121FADE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38225"/>
          <a:ext cx="5334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209550</xdr:colOff>
      <xdr:row>5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31337B-4622-4E0F-8328-0910D02BB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0125"/>
          <a:ext cx="2095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95250</xdr:colOff>
      <xdr:row>6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6F971E3-D476-4431-B794-075CF04B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0625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447675</xdr:colOff>
      <xdr:row>8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7FB9176-82F0-4402-B08D-98E3EB8A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81125"/>
          <a:ext cx="4476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352425</xdr:colOff>
      <xdr:row>9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0861523-67A0-4912-9C0B-6DF77974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71625"/>
          <a:ext cx="3524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333375</xdr:colOff>
      <xdr:row>10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5F19416-AD5A-4717-AA54-D2EE5393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62125"/>
          <a:ext cx="3333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133350</xdr:colOff>
      <xdr:row>11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70960FA-DCA6-43C1-B081-903CBE80B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52625"/>
          <a:ext cx="133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485775</xdr:colOff>
      <xdr:row>12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F28CE92-1F33-4434-A256-F7E7E4A70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43125"/>
          <a:ext cx="4857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752475</xdr:colOff>
      <xdr:row>13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BF9DB76-8562-40B8-92F1-54254515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71725"/>
          <a:ext cx="7524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419100</xdr:colOff>
      <xdr:row>13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6875079-0CBF-4E3F-B991-26C1E9D2D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00325"/>
          <a:ext cx="4191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542925</xdr:colOff>
      <xdr:row>14</xdr:row>
      <xdr:rowOff>180975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1393001-DA9B-4616-9719-394BC1124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28925"/>
          <a:ext cx="5429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495300</xdr:colOff>
      <xdr:row>17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83EFB69-50FD-44D5-9F41-C408CF24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57525"/>
          <a:ext cx="4953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323850</xdr:colOff>
      <xdr:row>24</xdr:row>
      <xdr:rowOff>152400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922454A-09BA-4815-B065-347697F57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19625"/>
          <a:ext cx="3238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323850</xdr:colOff>
      <xdr:row>25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7269C8A-8781-4008-968E-C8AE504E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10125"/>
          <a:ext cx="3238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29</xdr:row>
      <xdr:rowOff>19050</xdr:rowOff>
    </xdr:from>
    <xdr:to>
      <xdr:col>1</xdr:col>
      <xdr:colOff>561975</xdr:colOff>
      <xdr:row>29</xdr:row>
      <xdr:rowOff>180975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0F8D12B-58E3-48AC-8805-76AAC0F8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972175"/>
          <a:ext cx="523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</xdr:row>
      <xdr:rowOff>9525</xdr:rowOff>
    </xdr:from>
    <xdr:to>
      <xdr:col>4</xdr:col>
      <xdr:colOff>266700</xdr:colOff>
      <xdr:row>4</xdr:row>
      <xdr:rowOff>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DC5E263B-662F-4D90-AE95-6D5DF53EA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076575"/>
          <a:ext cx="1714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523875</xdr:colOff>
      <xdr:row>4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7A4C4951-1852-4767-A252-212CD856E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3067050"/>
          <a:ext cx="523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533400</xdr:colOff>
      <xdr:row>3</xdr:row>
      <xdr:rowOff>180975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1BFCDE0-0B84-4DB5-84F8-DD57334D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067050"/>
          <a:ext cx="5334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8</xdr:col>
      <xdr:colOff>95250</xdr:colOff>
      <xdr:row>3</xdr:row>
      <xdr:rowOff>180975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4FF136E5-349C-4FFF-A45A-3A602DF46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3067050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666750</xdr:colOff>
      <xdr:row>3</xdr:row>
      <xdr:rowOff>180975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D2F51EDD-7926-4317-928F-A39393C2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067050"/>
          <a:ext cx="6667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447675</xdr:colOff>
      <xdr:row>4</xdr:row>
      <xdr:rowOff>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CE8DDB06-0A5D-40F2-A0BF-825195EB5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3067050"/>
          <a:ext cx="4476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352425</xdr:colOff>
      <xdr:row>4</xdr:row>
      <xdr:rowOff>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C696B61-E392-40A9-B58B-F17C609C5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067050"/>
          <a:ext cx="3524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238125</xdr:colOff>
      <xdr:row>4</xdr:row>
      <xdr:rowOff>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2AC8A771-70E7-413F-8840-F26A327E8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30670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371475</xdr:colOff>
      <xdr:row>4</xdr:row>
      <xdr:rowOff>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91E4B762-0838-4155-BDDF-8C13ACDB6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3067050"/>
          <a:ext cx="3714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781050</xdr:colOff>
      <xdr:row>4</xdr:row>
      <xdr:rowOff>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4421EBAD-018E-438A-9403-1FE27DA2E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3067050"/>
          <a:ext cx="7810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762000</xdr:colOff>
      <xdr:row>4</xdr:row>
      <xdr:rowOff>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99C4DF45-5C1C-4881-8CA9-34AC4610B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5" y="3067050"/>
          <a:ext cx="7620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3</xdr:row>
      <xdr:rowOff>0</xdr:rowOff>
    </xdr:from>
    <xdr:to>
      <xdr:col>2</xdr:col>
      <xdr:colOff>171450</xdr:colOff>
      <xdr:row>3</xdr:row>
      <xdr:rowOff>180975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B416231C-E42F-4A92-86AE-5A426F16C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3067050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3</xdr:row>
      <xdr:rowOff>9525</xdr:rowOff>
    </xdr:from>
    <xdr:to>
      <xdr:col>3</xdr:col>
      <xdr:colOff>171450</xdr:colOff>
      <xdr:row>4</xdr:row>
      <xdr:rowOff>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3AD85C82-098A-4BBD-8B66-13B5BCD65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07657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819150</xdr:colOff>
      <xdr:row>4</xdr:row>
      <xdr:rowOff>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DDE0F357-5B49-4603-911E-4832CD947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3067050"/>
          <a:ext cx="819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3</xdr:row>
      <xdr:rowOff>9525</xdr:rowOff>
    </xdr:from>
    <xdr:to>
      <xdr:col>4</xdr:col>
      <xdr:colOff>266700</xdr:colOff>
      <xdr:row>4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34B2A215-13E1-44AE-9181-1E54B03E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076575"/>
          <a:ext cx="1714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523875</xdr:colOff>
      <xdr:row>4</xdr:row>
      <xdr:rowOff>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666C05D5-E358-49FA-834C-26F40EB4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3067050"/>
          <a:ext cx="523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9</xdr:col>
      <xdr:colOff>447675</xdr:colOff>
      <xdr:row>4</xdr:row>
      <xdr:rowOff>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9FC12D1C-D122-428F-8BF9-5FE5726C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3067050"/>
          <a:ext cx="4476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352425</xdr:colOff>
      <xdr:row>4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3E94E3B1-B8FE-4CA1-BD80-BDFDC0F2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067050"/>
          <a:ext cx="3524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238125</xdr:colOff>
      <xdr:row>4</xdr:row>
      <xdr:rowOff>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6951B101-0298-4EEA-AAE3-37BFC561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30670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371475</xdr:colOff>
      <xdr:row>4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4BA5977C-45A3-4430-9359-B17628D31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3067050"/>
          <a:ext cx="3714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781050</xdr:colOff>
      <xdr:row>4</xdr:row>
      <xdr:rowOff>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A5643C71-3153-4B5F-B536-805F79881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3067050"/>
          <a:ext cx="7810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819150</xdr:colOff>
      <xdr:row>4</xdr:row>
      <xdr:rowOff>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53FD7106-8F25-4941-B783-EA0D7422D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3067050"/>
          <a:ext cx="819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523875</xdr:colOff>
      <xdr:row>3</xdr:row>
      <xdr:rowOff>161925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56A15F6B-2B6F-4624-AC87-6CB5D6CBE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3067050"/>
          <a:ext cx="523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781050</xdr:colOff>
      <xdr:row>4</xdr:row>
      <xdr:rowOff>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F7D9D08-CB3B-4F6A-9296-3628B3AF0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086225"/>
          <a:ext cx="7810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781050</xdr:colOff>
      <xdr:row>4</xdr:row>
      <xdr:rowOff>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61102DBA-B306-4708-B84C-B83056E1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086225"/>
          <a:ext cx="7810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781050</xdr:colOff>
      <xdr:row>4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61376C3-9E11-42DD-B2FA-3EB84E24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086225"/>
          <a:ext cx="7810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781050</xdr:colOff>
      <xdr:row>4</xdr:row>
      <xdr:rowOff>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2EBF8EF9-343C-4347-87C4-A355A5863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086225"/>
          <a:ext cx="7810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819150</xdr:colOff>
      <xdr:row>4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605DFBB-0CFB-4D44-9A7B-0ABA9884E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381000"/>
          <a:ext cx="819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10</xdr:row>
      <xdr:rowOff>9525</xdr:rowOff>
    </xdr:from>
    <xdr:to>
      <xdr:col>4</xdr:col>
      <xdr:colOff>266700</xdr:colOff>
      <xdr:row>11</xdr:row>
      <xdr:rowOff>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2BAE01F5-D385-4BE9-82C5-8930C893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90550"/>
          <a:ext cx="1714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10</xdr:row>
      <xdr:rowOff>0</xdr:rowOff>
    </xdr:from>
    <xdr:to>
      <xdr:col>5</xdr:col>
      <xdr:colOff>523875</xdr:colOff>
      <xdr:row>11</xdr:row>
      <xdr:rowOff>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B34FA6A3-050A-42DE-AAA4-2CF029D0F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1025"/>
          <a:ext cx="523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533400</xdr:colOff>
      <xdr:row>10</xdr:row>
      <xdr:rowOff>180975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A5DC1C7C-382C-4680-A555-B4A32347F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581025"/>
          <a:ext cx="5334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10</xdr:row>
      <xdr:rowOff>0</xdr:rowOff>
    </xdr:from>
    <xdr:to>
      <xdr:col>8</xdr:col>
      <xdr:colOff>95250</xdr:colOff>
      <xdr:row>10</xdr:row>
      <xdr:rowOff>180975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BB5D064B-4C3B-42F0-80D1-BBF984A31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581025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666750</xdr:colOff>
      <xdr:row>10</xdr:row>
      <xdr:rowOff>180975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E0BA843C-5D5C-4FC3-80DD-3B48CC3B4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581025"/>
          <a:ext cx="6667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447675</xdr:colOff>
      <xdr:row>11</xdr:row>
      <xdr:rowOff>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37B15BF9-E3A5-462C-BFF5-01F4F8531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581025"/>
          <a:ext cx="4476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352425</xdr:colOff>
      <xdr:row>11</xdr:row>
      <xdr:rowOff>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1B6111E3-FD35-4278-844D-28018C972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81025"/>
          <a:ext cx="3524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238125</xdr:colOff>
      <xdr:row>11</xdr:row>
      <xdr:rowOff>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8869ED90-66FD-49A3-9003-E272AC27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5810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371475</xdr:colOff>
      <xdr:row>11</xdr:row>
      <xdr:rowOff>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3B88AF53-DC48-4143-9663-0C1C8929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581025"/>
          <a:ext cx="3714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781050</xdr:colOff>
      <xdr:row>11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AC635D6E-81F2-4519-B183-6227B96F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581025"/>
          <a:ext cx="7810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762000</xdr:colOff>
      <xdr:row>11</xdr:row>
      <xdr:rowOff>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EA416464-31EA-4BEA-89C5-EA82E1E1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5" y="581025"/>
          <a:ext cx="7620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10</xdr:row>
      <xdr:rowOff>0</xdr:rowOff>
    </xdr:from>
    <xdr:to>
      <xdr:col>2</xdr:col>
      <xdr:colOff>171450</xdr:colOff>
      <xdr:row>10</xdr:row>
      <xdr:rowOff>180975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6527851A-27D2-487A-8C37-ABD486D4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58102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10</xdr:row>
      <xdr:rowOff>9525</xdr:rowOff>
    </xdr:from>
    <xdr:to>
      <xdr:col>3</xdr:col>
      <xdr:colOff>171450</xdr:colOff>
      <xdr:row>11</xdr:row>
      <xdr:rowOff>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B0AB52A7-E555-475C-A07B-E3A15F25E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590550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819150</xdr:colOff>
      <xdr:row>11</xdr:row>
      <xdr:rowOff>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E82CE781-04AC-43A6-A6EE-C9C416CC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581025"/>
          <a:ext cx="819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10</xdr:row>
      <xdr:rowOff>9525</xdr:rowOff>
    </xdr:from>
    <xdr:to>
      <xdr:col>4</xdr:col>
      <xdr:colOff>266700</xdr:colOff>
      <xdr:row>11</xdr:row>
      <xdr:rowOff>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C64BB4BB-A90C-4CC5-8875-9852E99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90550"/>
          <a:ext cx="1714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10</xdr:row>
      <xdr:rowOff>0</xdr:rowOff>
    </xdr:from>
    <xdr:to>
      <xdr:col>5</xdr:col>
      <xdr:colOff>523875</xdr:colOff>
      <xdr:row>11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BE1BF9AF-6564-4776-ADAE-7DA43C54D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1025"/>
          <a:ext cx="523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10</xdr:row>
      <xdr:rowOff>0</xdr:rowOff>
    </xdr:from>
    <xdr:to>
      <xdr:col>9</xdr:col>
      <xdr:colOff>447675</xdr:colOff>
      <xdr:row>11</xdr:row>
      <xdr:rowOff>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F855081D-8348-407A-933B-3F8E09260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581025"/>
          <a:ext cx="4476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352425</xdr:colOff>
      <xdr:row>11</xdr:row>
      <xdr:rowOff>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E4D2F21-021C-4683-9705-BC74A9272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81025"/>
          <a:ext cx="3524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238125</xdr:colOff>
      <xdr:row>11</xdr:row>
      <xdr:rowOff>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4C373E3A-CD79-4D8D-87C0-2E00C4C5E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5810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371475</xdr:colOff>
      <xdr:row>11</xdr:row>
      <xdr:rowOff>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AA242FAD-E1D0-4B63-B100-63D6D135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581025"/>
          <a:ext cx="3714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781050</xdr:colOff>
      <xdr:row>11</xdr:row>
      <xdr:rowOff>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7B8D6883-E939-4E9F-BF95-90B3623B5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581025"/>
          <a:ext cx="7810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819150</xdr:colOff>
      <xdr:row>11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C82D4FB-6888-4234-9EDF-4B8946710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581025"/>
          <a:ext cx="819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523875</xdr:colOff>
      <xdr:row>10</xdr:row>
      <xdr:rowOff>161925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E6D70476-9B3C-4F95-9048-ADDBC0A9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581025"/>
          <a:ext cx="523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781050</xdr:colOff>
      <xdr:row>11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A046A8C1-5153-4C9A-9D21-09D0C51D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581025"/>
          <a:ext cx="7810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781050</xdr:colOff>
      <xdr:row>11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8DF724C8-D608-43A2-9743-C466304F9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581025"/>
          <a:ext cx="7810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781050</xdr:colOff>
      <xdr:row>11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163A4640-075B-49AB-B423-4322584A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581025"/>
          <a:ext cx="7810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781050</xdr:colOff>
      <xdr:row>11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DC7C9754-4ED0-47FD-A6F4-B69268C40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581025"/>
          <a:ext cx="7810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819150</xdr:colOff>
      <xdr:row>11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B9315F0F-AC3C-4270-A1A9-8816C25B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857500"/>
          <a:ext cx="819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10</xdr:row>
      <xdr:rowOff>9525</xdr:rowOff>
    </xdr:from>
    <xdr:to>
      <xdr:col>4</xdr:col>
      <xdr:colOff>266700</xdr:colOff>
      <xdr:row>11</xdr:row>
      <xdr:rowOff>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6F052D04-3507-4632-BA01-6361543F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609600"/>
          <a:ext cx="1714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10</xdr:row>
      <xdr:rowOff>9525</xdr:rowOff>
    </xdr:from>
    <xdr:to>
      <xdr:col>4</xdr:col>
      <xdr:colOff>266700</xdr:colOff>
      <xdr:row>11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722200A-EC9D-4EF3-991D-46784C5F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609600"/>
          <a:ext cx="1714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17</xdr:row>
      <xdr:rowOff>9525</xdr:rowOff>
    </xdr:from>
    <xdr:to>
      <xdr:col>4</xdr:col>
      <xdr:colOff>266700</xdr:colOff>
      <xdr:row>18</xdr:row>
      <xdr:rowOff>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1BA50A6B-4AFB-4196-AF08-4EDBE8018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362200"/>
          <a:ext cx="1714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5</xdr:col>
      <xdr:colOff>523875</xdr:colOff>
      <xdr:row>18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241D0FAA-5C51-45F7-ACCC-327D7E41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352675"/>
          <a:ext cx="523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533400</xdr:colOff>
      <xdr:row>17</xdr:row>
      <xdr:rowOff>180975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A1E6B1A0-54DA-41A3-AD7D-E97549E58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2352675"/>
          <a:ext cx="5334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17</xdr:row>
      <xdr:rowOff>0</xdr:rowOff>
    </xdr:from>
    <xdr:to>
      <xdr:col>8</xdr:col>
      <xdr:colOff>95250</xdr:colOff>
      <xdr:row>17</xdr:row>
      <xdr:rowOff>180975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8BAA8ED8-4C73-439A-9586-539EEB6E2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2352675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7</xdr:col>
      <xdr:colOff>666750</xdr:colOff>
      <xdr:row>17</xdr:row>
      <xdr:rowOff>180975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B79BBBC-E3A0-4F7E-AAE2-4B4D144D2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352675"/>
          <a:ext cx="6667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17</xdr:row>
      <xdr:rowOff>0</xdr:rowOff>
    </xdr:from>
    <xdr:to>
      <xdr:col>9</xdr:col>
      <xdr:colOff>447675</xdr:colOff>
      <xdr:row>18</xdr:row>
      <xdr:rowOff>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373DDB61-5410-4F64-B2C3-29F7ECD95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352675"/>
          <a:ext cx="447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352425</xdr:colOff>
      <xdr:row>18</xdr:row>
      <xdr:rowOff>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279BC48-62FC-40BE-996B-11C802B5D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352675"/>
          <a:ext cx="3524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238125</xdr:colOff>
      <xdr:row>18</xdr:row>
      <xdr:rowOff>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6DD25604-F2B6-4DB8-8299-4CEDE99CC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35267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371475</xdr:colOff>
      <xdr:row>18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CE10B6F3-D902-4FB3-B8C7-728E2D9A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2352675"/>
          <a:ext cx="371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781050</xdr:colOff>
      <xdr:row>18</xdr:row>
      <xdr:rowOff>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61B76BD2-DA37-4A41-B6E7-6A6DEA76C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17</xdr:row>
      <xdr:rowOff>0</xdr:rowOff>
    </xdr:from>
    <xdr:to>
      <xdr:col>14</xdr:col>
      <xdr:colOff>762000</xdr:colOff>
      <xdr:row>18</xdr:row>
      <xdr:rowOff>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AC11D6EE-D1F1-48E3-8DB7-4F682B30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5" y="2352675"/>
          <a:ext cx="762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17</xdr:row>
      <xdr:rowOff>0</xdr:rowOff>
    </xdr:from>
    <xdr:to>
      <xdr:col>2</xdr:col>
      <xdr:colOff>171450</xdr:colOff>
      <xdr:row>17</xdr:row>
      <xdr:rowOff>180975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FC521640-DC64-4173-9B82-8B2FCAA2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35267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17</xdr:row>
      <xdr:rowOff>9525</xdr:rowOff>
    </xdr:from>
    <xdr:to>
      <xdr:col>3</xdr:col>
      <xdr:colOff>171450</xdr:colOff>
      <xdr:row>18</xdr:row>
      <xdr:rowOff>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2018CE0A-8677-438C-9702-F5980C319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3622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17</xdr:row>
      <xdr:rowOff>0</xdr:rowOff>
    </xdr:from>
    <xdr:to>
      <xdr:col>16</xdr:col>
      <xdr:colOff>819150</xdr:colOff>
      <xdr:row>18</xdr:row>
      <xdr:rowOff>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2E2AF4D5-847E-427F-A55E-CD8A572D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52675"/>
          <a:ext cx="8191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17</xdr:row>
      <xdr:rowOff>9525</xdr:rowOff>
    </xdr:from>
    <xdr:to>
      <xdr:col>4</xdr:col>
      <xdr:colOff>266700</xdr:colOff>
      <xdr:row>18</xdr:row>
      <xdr:rowOff>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1D84A5DD-94CA-489D-A233-DD9A11D1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362200"/>
          <a:ext cx="1714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5</xdr:col>
      <xdr:colOff>523875</xdr:colOff>
      <xdr:row>18</xdr:row>
      <xdr:rowOff>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6A27E92-194F-4370-89A1-51F6A578D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352675"/>
          <a:ext cx="523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17</xdr:row>
      <xdr:rowOff>0</xdr:rowOff>
    </xdr:from>
    <xdr:to>
      <xdr:col>9</xdr:col>
      <xdr:colOff>447675</xdr:colOff>
      <xdr:row>18</xdr:row>
      <xdr:rowOff>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F42E9D68-458D-4ED7-BF50-705C443B0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352675"/>
          <a:ext cx="447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352425</xdr:colOff>
      <xdr:row>18</xdr:row>
      <xdr:rowOff>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A3F5402-9C53-4E07-A6E3-88C06B2E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352675"/>
          <a:ext cx="3524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238125</xdr:colOff>
      <xdr:row>18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36DFE3BE-98AD-4934-944C-882E8C5AA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35267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17</xdr:row>
      <xdr:rowOff>0</xdr:rowOff>
    </xdr:from>
    <xdr:to>
      <xdr:col>12</xdr:col>
      <xdr:colOff>371475</xdr:colOff>
      <xdr:row>18</xdr:row>
      <xdr:rowOff>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AE71CE96-DD91-485C-9885-6217A3C02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2352675"/>
          <a:ext cx="371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781050</xdr:colOff>
      <xdr:row>18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728A71DF-EDD6-4A68-A233-E7A5C29E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17</xdr:row>
      <xdr:rowOff>0</xdr:rowOff>
    </xdr:from>
    <xdr:to>
      <xdr:col>16</xdr:col>
      <xdr:colOff>819150</xdr:colOff>
      <xdr:row>18</xdr:row>
      <xdr:rowOff>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A21802AE-0D9D-48A9-8CF3-B0B5F090E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52675"/>
          <a:ext cx="8191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17</xdr:row>
      <xdr:rowOff>0</xdr:rowOff>
    </xdr:from>
    <xdr:to>
      <xdr:col>15</xdr:col>
      <xdr:colOff>523875</xdr:colOff>
      <xdr:row>17</xdr:row>
      <xdr:rowOff>161925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F1BB63DA-3890-453F-ABDB-22C115B39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2352675"/>
          <a:ext cx="523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781050</xdr:colOff>
      <xdr:row>18</xdr:row>
      <xdr:rowOff>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116CFCC2-C642-4D42-AD02-635490FC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781050</xdr:colOff>
      <xdr:row>18</xdr:row>
      <xdr:rowOff>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376FB76-B919-4AE4-91F1-B25C6B27B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781050</xdr:colOff>
      <xdr:row>18</xdr:row>
      <xdr:rowOff>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48A77091-5CE2-49EA-A0C2-84FCD6EC4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17</xdr:row>
      <xdr:rowOff>0</xdr:rowOff>
    </xdr:from>
    <xdr:to>
      <xdr:col>13</xdr:col>
      <xdr:colOff>781050</xdr:colOff>
      <xdr:row>18</xdr:row>
      <xdr:rowOff>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1CDC4B3D-2E16-47FA-A23B-9B3B9908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17</xdr:row>
      <xdr:rowOff>0</xdr:rowOff>
    </xdr:from>
    <xdr:to>
      <xdr:col>16</xdr:col>
      <xdr:colOff>819150</xdr:colOff>
      <xdr:row>18</xdr:row>
      <xdr:rowOff>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86005CD-4B65-4133-ACA3-CD163B0DC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52675"/>
          <a:ext cx="8191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17</xdr:row>
      <xdr:rowOff>9525</xdr:rowOff>
    </xdr:from>
    <xdr:to>
      <xdr:col>4</xdr:col>
      <xdr:colOff>266700</xdr:colOff>
      <xdr:row>18</xdr:row>
      <xdr:rowOff>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404E5EED-E27A-4C63-A5A2-0BFC7275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362200"/>
          <a:ext cx="1714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17</xdr:row>
      <xdr:rowOff>9525</xdr:rowOff>
    </xdr:from>
    <xdr:to>
      <xdr:col>4</xdr:col>
      <xdr:colOff>266700</xdr:colOff>
      <xdr:row>18</xdr:row>
      <xdr:rowOff>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57B1854B-11EE-4771-A8B0-3E2FA3259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362200"/>
          <a:ext cx="1714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25</xdr:row>
      <xdr:rowOff>9525</xdr:rowOff>
    </xdr:from>
    <xdr:to>
      <xdr:col>4</xdr:col>
      <xdr:colOff>266700</xdr:colOff>
      <xdr:row>26</xdr:row>
      <xdr:rowOff>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26B15E6B-4D1A-4604-8D21-50B36D161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362200"/>
          <a:ext cx="1714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25</xdr:row>
      <xdr:rowOff>0</xdr:rowOff>
    </xdr:from>
    <xdr:to>
      <xdr:col>5</xdr:col>
      <xdr:colOff>523875</xdr:colOff>
      <xdr:row>26</xdr:row>
      <xdr:rowOff>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8E9C2CF-B9BF-4DA2-9D26-1101DE40F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352675"/>
          <a:ext cx="523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533400</xdr:colOff>
      <xdr:row>25</xdr:row>
      <xdr:rowOff>180975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FA8F2BFB-87CB-4E95-87DB-B1C6B4F8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2352675"/>
          <a:ext cx="5334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25</xdr:row>
      <xdr:rowOff>0</xdr:rowOff>
    </xdr:from>
    <xdr:to>
      <xdr:col>8</xdr:col>
      <xdr:colOff>95250</xdr:colOff>
      <xdr:row>25</xdr:row>
      <xdr:rowOff>180975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E77300AE-8EC3-4099-99F8-2184E0C46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2352675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25</xdr:row>
      <xdr:rowOff>0</xdr:rowOff>
    </xdr:from>
    <xdr:to>
      <xdr:col>7</xdr:col>
      <xdr:colOff>666750</xdr:colOff>
      <xdr:row>25</xdr:row>
      <xdr:rowOff>180975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A02445D1-E73F-4AEB-AFB1-CE6113356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352675"/>
          <a:ext cx="6667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25</xdr:row>
      <xdr:rowOff>0</xdr:rowOff>
    </xdr:from>
    <xdr:to>
      <xdr:col>9</xdr:col>
      <xdr:colOff>447675</xdr:colOff>
      <xdr:row>26</xdr:row>
      <xdr:rowOff>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385D6D57-D151-4A86-AC66-5317652A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352675"/>
          <a:ext cx="447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352425</xdr:colOff>
      <xdr:row>26</xdr:row>
      <xdr:rowOff>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7539354D-F532-4CC1-A729-E42567994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352675"/>
          <a:ext cx="3524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238125</xdr:colOff>
      <xdr:row>26</xdr:row>
      <xdr:rowOff>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17AB1ED3-C6E3-45AA-929C-EC1066F9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35267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371475</xdr:colOff>
      <xdr:row>26</xdr:row>
      <xdr:rowOff>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DFCA8CD0-6B0E-4608-9F85-FA0C3225D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2352675"/>
          <a:ext cx="371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781050</xdr:colOff>
      <xdr:row>26</xdr:row>
      <xdr:rowOff>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C201EC38-3028-4323-AFC0-82D08129D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762000</xdr:colOff>
      <xdr:row>26</xdr:row>
      <xdr:rowOff>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7AE2DBA2-1EED-4C95-8CB1-EDFF11A5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5" y="2352675"/>
          <a:ext cx="762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25</xdr:row>
      <xdr:rowOff>0</xdr:rowOff>
    </xdr:from>
    <xdr:to>
      <xdr:col>2</xdr:col>
      <xdr:colOff>171450</xdr:colOff>
      <xdr:row>25</xdr:row>
      <xdr:rowOff>180975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E86CACBC-3B55-46A4-8670-D2B1D0BD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35267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25</xdr:row>
      <xdr:rowOff>9525</xdr:rowOff>
    </xdr:from>
    <xdr:to>
      <xdr:col>3</xdr:col>
      <xdr:colOff>171450</xdr:colOff>
      <xdr:row>26</xdr:row>
      <xdr:rowOff>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9B72B2AC-9D2E-41A5-9B97-7440A4DF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362200"/>
          <a:ext cx="85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819150</xdr:colOff>
      <xdr:row>26</xdr:row>
      <xdr:rowOff>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5D028D0E-823C-435C-9830-FBA09C0A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52675"/>
          <a:ext cx="8191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25</xdr:row>
      <xdr:rowOff>9525</xdr:rowOff>
    </xdr:from>
    <xdr:to>
      <xdr:col>4</xdr:col>
      <xdr:colOff>266700</xdr:colOff>
      <xdr:row>26</xdr:row>
      <xdr:rowOff>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A575E46C-530D-4350-8E6F-6150A3526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362200"/>
          <a:ext cx="1714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25</xdr:row>
      <xdr:rowOff>0</xdr:rowOff>
    </xdr:from>
    <xdr:to>
      <xdr:col>5</xdr:col>
      <xdr:colOff>523875</xdr:colOff>
      <xdr:row>26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C2DC4B03-D237-4E71-A46E-5C0B66E5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352675"/>
          <a:ext cx="523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25</xdr:row>
      <xdr:rowOff>0</xdr:rowOff>
    </xdr:from>
    <xdr:to>
      <xdr:col>9</xdr:col>
      <xdr:colOff>447675</xdr:colOff>
      <xdr:row>26</xdr:row>
      <xdr:rowOff>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C6C3E41C-1068-483F-824F-F166DF8F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352675"/>
          <a:ext cx="447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352425</xdr:colOff>
      <xdr:row>26</xdr:row>
      <xdr:rowOff>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228B2DA6-B43A-4EBD-967C-F2695AADE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352675"/>
          <a:ext cx="3524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238125</xdr:colOff>
      <xdr:row>26</xdr:row>
      <xdr:rowOff>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5CC052D1-583E-41FF-8D41-5C5C598D6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35267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371475</xdr:colOff>
      <xdr:row>26</xdr:row>
      <xdr:rowOff>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69D98842-688B-476A-9EEE-90D3D412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2352675"/>
          <a:ext cx="371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781050</xdr:colOff>
      <xdr:row>26</xdr:row>
      <xdr:rowOff>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53A2C0FC-8AA8-407B-B43B-BAF2741D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819150</xdr:colOff>
      <xdr:row>26</xdr:row>
      <xdr:rowOff>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2A52D65-C49F-413C-865A-F31D50F68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52675"/>
          <a:ext cx="8191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25</xdr:row>
      <xdr:rowOff>0</xdr:rowOff>
    </xdr:from>
    <xdr:to>
      <xdr:col>15</xdr:col>
      <xdr:colOff>523875</xdr:colOff>
      <xdr:row>25</xdr:row>
      <xdr:rowOff>161925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52F15682-E644-44D8-A120-79A70BB90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2352675"/>
          <a:ext cx="523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781050</xdr:colOff>
      <xdr:row>26</xdr:row>
      <xdr:rowOff>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E7BE5DBA-103D-43EE-9642-E214CB8CF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781050</xdr:colOff>
      <xdr:row>26</xdr:row>
      <xdr:rowOff>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AF105EA5-4BD9-4272-8D0D-64DE6F48D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781050</xdr:colOff>
      <xdr:row>26</xdr:row>
      <xdr:rowOff>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86C9A896-24EB-4F8A-BCBA-045EFC5D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781050</xdr:colOff>
      <xdr:row>26</xdr:row>
      <xdr:rowOff>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621742FE-7772-4F49-AE4F-00AF4AAF7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352675"/>
          <a:ext cx="781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819150</xdr:colOff>
      <xdr:row>26</xdr:row>
      <xdr:rowOff>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461F3C84-4DA4-400E-BF6B-89808C812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52675"/>
          <a:ext cx="8191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25</xdr:row>
      <xdr:rowOff>9525</xdr:rowOff>
    </xdr:from>
    <xdr:to>
      <xdr:col>4</xdr:col>
      <xdr:colOff>266700</xdr:colOff>
      <xdr:row>26</xdr:row>
      <xdr:rowOff>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E416B63B-0D4F-4DB6-801E-97B865DA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362200"/>
          <a:ext cx="1714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25</xdr:row>
      <xdr:rowOff>9525</xdr:rowOff>
    </xdr:from>
    <xdr:to>
      <xdr:col>4</xdr:col>
      <xdr:colOff>266700</xdr:colOff>
      <xdr:row>26</xdr:row>
      <xdr:rowOff>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A9A2E18-50DC-4F6E-AE65-75DBDD9A6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362200"/>
          <a:ext cx="1714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3</xdr:col>
      <xdr:colOff>590550</xdr:colOff>
      <xdr:row>4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BF43DDA-BB82-480A-AC17-8A10A3613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524000"/>
          <a:ext cx="5905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590550</xdr:colOff>
      <xdr:row>11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E1A863B-E959-46BA-B26B-29460F917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905000"/>
          <a:ext cx="5905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590550</xdr:colOff>
      <xdr:row>4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29832E8-0D16-4B8D-AE07-69E94B063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00050"/>
          <a:ext cx="5905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590550</xdr:colOff>
      <xdr:row>11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637016D-FE89-4239-A42E-4DA9C81B3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943100"/>
          <a:ext cx="5905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pcb.nic.in/uploads/MSW/MSW_AnnualReport_2018-19.pdf" TargetMode="External"/><Relationship Id="rId1" Type="http://schemas.openxmlformats.org/officeDocument/2006/relationships/hyperlink" Target="http://www.cea.nic.in/reports/others/thermal/tpece/cdm_co2/user_guide_ver14.pdf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FB40-6B1E-48D3-8442-1182F38C96D9}">
  <dimension ref="B2:G6"/>
  <sheetViews>
    <sheetView tabSelected="1" zoomScale="139" zoomScaleNormal="139" workbookViewId="0">
      <selection activeCell="C9" sqref="C9"/>
    </sheetView>
  </sheetViews>
  <sheetFormatPr defaultColWidth="8.77734375" defaultRowHeight="14.4" x14ac:dyDescent="0.3"/>
  <cols>
    <col min="2" max="2" width="18.77734375" customWidth="1"/>
    <col min="3" max="3" width="7.109375" customWidth="1"/>
    <col min="4" max="4" width="6.109375" bestFit="1" customWidth="1"/>
    <col min="5" max="5" width="23.33203125" bestFit="1" customWidth="1"/>
    <col min="6" max="6" width="20.77734375" customWidth="1"/>
  </cols>
  <sheetData>
    <row r="2" spans="2:7" ht="36.450000000000003" customHeight="1" x14ac:dyDescent="0.3">
      <c r="B2" s="140" t="s">
        <v>100</v>
      </c>
      <c r="C2" s="140"/>
      <c r="D2" s="132" t="s">
        <v>103</v>
      </c>
      <c r="E2" s="133" t="s">
        <v>102</v>
      </c>
      <c r="F2" s="133" t="s">
        <v>99</v>
      </c>
      <c r="G2" s="141"/>
    </row>
    <row r="3" spans="2:7" ht="30" x14ac:dyDescent="0.3">
      <c r="B3" s="134" t="s">
        <v>97</v>
      </c>
      <c r="C3" s="135" t="s">
        <v>96</v>
      </c>
      <c r="D3" s="128">
        <v>0.9</v>
      </c>
      <c r="E3" s="138">
        <v>47359</v>
      </c>
      <c r="F3" s="139">
        <v>28790</v>
      </c>
      <c r="G3" s="141"/>
    </row>
    <row r="4" spans="2:7" ht="30" x14ac:dyDescent="0.3">
      <c r="B4" s="134" t="s">
        <v>98</v>
      </c>
      <c r="C4" s="135" t="s">
        <v>96</v>
      </c>
      <c r="D4" s="128">
        <v>0.5</v>
      </c>
      <c r="E4" s="138">
        <v>25440</v>
      </c>
      <c r="F4" s="139">
        <v>15900</v>
      </c>
      <c r="G4" s="130"/>
    </row>
    <row r="5" spans="2:7" x14ac:dyDescent="0.3">
      <c r="F5" s="137"/>
      <c r="G5" s="130"/>
    </row>
    <row r="6" spans="2:7" ht="15" x14ac:dyDescent="0.3">
      <c r="B6" s="131"/>
      <c r="G6" s="130"/>
    </row>
  </sheetData>
  <mergeCells count="2">
    <mergeCell ref="B2:C2"/>
    <mergeCell ref="G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T27"/>
  <sheetViews>
    <sheetView topLeftCell="A4" workbookViewId="0">
      <selection activeCell="E19" sqref="E19"/>
    </sheetView>
  </sheetViews>
  <sheetFormatPr defaultColWidth="9.109375" defaultRowHeight="14.4" x14ac:dyDescent="0.3"/>
  <cols>
    <col min="1" max="2" width="9.109375" style="2"/>
    <col min="3" max="3" width="10.44140625" style="2" bestFit="1" customWidth="1"/>
    <col min="4" max="4" width="11.44140625" style="2" customWidth="1"/>
    <col min="5" max="5" width="18.109375" style="2" customWidth="1"/>
    <col min="6" max="6" width="27.77734375" style="2" bestFit="1" customWidth="1"/>
    <col min="7" max="7" width="17.77734375" style="2" customWidth="1"/>
    <col min="8" max="8" width="19.44140625" style="2" customWidth="1"/>
    <col min="9" max="9" width="9.109375" style="2"/>
    <col min="10" max="10" width="13.33203125" style="2" customWidth="1"/>
    <col min="11" max="11" width="10.109375" style="2" customWidth="1"/>
    <col min="12" max="12" width="16.109375" style="2" customWidth="1"/>
    <col min="13" max="14" width="12.6640625" style="2" customWidth="1"/>
    <col min="15" max="15" width="12.44140625" style="2" customWidth="1"/>
    <col min="16" max="16384" width="9.109375" style="2"/>
  </cols>
  <sheetData>
    <row r="3" spans="3:20" x14ac:dyDescent="0.3">
      <c r="F3" s="142" t="s">
        <v>81</v>
      </c>
      <c r="G3" s="142"/>
      <c r="H3" s="142"/>
      <c r="I3" s="142"/>
      <c r="J3" s="142"/>
      <c r="K3" s="142"/>
      <c r="N3" s="117"/>
      <c r="O3" s="117"/>
      <c r="P3" s="117"/>
      <c r="Q3" s="117"/>
      <c r="R3" s="117"/>
      <c r="S3" s="117"/>
      <c r="T3" s="117"/>
    </row>
    <row r="4" spans="3:20" ht="37.200000000000003" x14ac:dyDescent="0.3">
      <c r="F4" s="143" t="s">
        <v>0</v>
      </c>
      <c r="G4" s="143"/>
      <c r="H4" s="119" t="s">
        <v>1</v>
      </c>
      <c r="I4" s="119" t="s">
        <v>2</v>
      </c>
      <c r="J4" s="119" t="s">
        <v>3</v>
      </c>
      <c r="K4" s="119" t="s">
        <v>4</v>
      </c>
      <c r="M4" s="118"/>
    </row>
    <row r="5" spans="3:20" x14ac:dyDescent="0.3">
      <c r="F5" s="120" t="s">
        <v>5</v>
      </c>
      <c r="G5" s="120" t="s">
        <v>6</v>
      </c>
      <c r="H5" s="119" t="s">
        <v>7</v>
      </c>
      <c r="I5" s="119" t="s">
        <v>7</v>
      </c>
      <c r="J5" s="119" t="s">
        <v>7</v>
      </c>
      <c r="K5" s="119" t="s">
        <v>7</v>
      </c>
      <c r="M5" s="118"/>
    </row>
    <row r="6" spans="3:20" x14ac:dyDescent="0.3">
      <c r="F6" s="121">
        <v>44197</v>
      </c>
      <c r="G6" s="1">
        <v>44561</v>
      </c>
      <c r="H6" s="112">
        <f>ROUNDDOWN((E19+L19+E26+L26),0)</f>
        <v>16111</v>
      </c>
      <c r="I6" s="112">
        <f>+ROUNDUP((F19+M19+F26+M26),0)</f>
        <v>211</v>
      </c>
      <c r="J6" s="112">
        <v>0</v>
      </c>
      <c r="K6" s="112">
        <f>H6-I6-J6</f>
        <v>15900</v>
      </c>
      <c r="M6" s="118"/>
    </row>
    <row r="7" spans="3:20" x14ac:dyDescent="0.3">
      <c r="F7" s="143" t="s">
        <v>8</v>
      </c>
      <c r="G7" s="143"/>
      <c r="H7" s="122">
        <f>+H6</f>
        <v>16111</v>
      </c>
      <c r="I7" s="122">
        <f>+I6</f>
        <v>211</v>
      </c>
      <c r="J7" s="122">
        <f>+J6</f>
        <v>0</v>
      </c>
      <c r="K7" s="123">
        <f>+K6</f>
        <v>15900</v>
      </c>
    </row>
    <row r="8" spans="3:20" ht="15" thickBot="1" x14ac:dyDescent="0.35">
      <c r="F8" s="39"/>
      <c r="G8" s="39"/>
      <c r="H8" s="40"/>
      <c r="I8" s="40"/>
      <c r="J8" s="40"/>
      <c r="K8" s="41"/>
      <c r="L8" s="75"/>
    </row>
    <row r="9" spans="3:20" x14ac:dyDescent="0.3">
      <c r="F9" s="48" t="s">
        <v>83</v>
      </c>
      <c r="G9" s="45">
        <v>44197</v>
      </c>
      <c r="H9" s="42"/>
      <c r="I9" s="40"/>
      <c r="J9" s="40"/>
      <c r="K9" s="41"/>
      <c r="L9" s="55"/>
    </row>
    <row r="10" spans="3:20" x14ac:dyDescent="0.3">
      <c r="F10" s="49" t="s">
        <v>84</v>
      </c>
      <c r="G10" s="46">
        <v>44561</v>
      </c>
      <c r="H10" s="43"/>
      <c r="I10" s="40"/>
      <c r="J10" s="40"/>
      <c r="K10" s="41"/>
      <c r="L10" s="55"/>
    </row>
    <row r="11" spans="3:20" x14ac:dyDescent="0.3">
      <c r="F11" s="49" t="s">
        <v>88</v>
      </c>
      <c r="G11" s="47">
        <f>+(G10-G9)+1</f>
        <v>365</v>
      </c>
      <c r="H11" s="43" t="s">
        <v>89</v>
      </c>
      <c r="I11" s="40"/>
      <c r="J11" s="40"/>
      <c r="K11" s="41"/>
    </row>
    <row r="12" spans="3:20" x14ac:dyDescent="0.3">
      <c r="F12" s="49" t="s">
        <v>85</v>
      </c>
      <c r="G12" s="113">
        <f>+K6</f>
        <v>15900</v>
      </c>
      <c r="H12" s="44" t="s">
        <v>82</v>
      </c>
      <c r="I12" s="40"/>
      <c r="J12" s="40"/>
      <c r="K12" s="41"/>
      <c r="L12" s="75"/>
    </row>
    <row r="13" spans="3:20" x14ac:dyDescent="0.3">
      <c r="F13" s="49" t="s">
        <v>86</v>
      </c>
      <c r="G13" s="51">
        <f>(25440*G11)/365</f>
        <v>25440</v>
      </c>
      <c r="H13" s="43" t="s">
        <v>82</v>
      </c>
      <c r="I13" s="40"/>
      <c r="J13" s="40"/>
      <c r="K13" s="41"/>
    </row>
    <row r="14" spans="3:20" ht="15" thickBot="1" x14ac:dyDescent="0.35">
      <c r="F14" s="50" t="s">
        <v>87</v>
      </c>
      <c r="G14" s="136">
        <f>+(G12-G13)/G13</f>
        <v>-0.375</v>
      </c>
      <c r="H14" s="38"/>
    </row>
    <row r="15" spans="3:20" ht="15" thickBot="1" x14ac:dyDescent="0.35"/>
    <row r="16" spans="3:20" ht="15" thickBot="1" x14ac:dyDescent="0.35">
      <c r="C16" s="146" t="s">
        <v>67</v>
      </c>
      <c r="D16" s="147"/>
      <c r="E16" s="147"/>
      <c r="F16" s="147"/>
      <c r="G16" s="147"/>
      <c r="H16" s="148"/>
      <c r="J16" s="146" t="s">
        <v>73</v>
      </c>
      <c r="K16" s="147"/>
      <c r="L16" s="147"/>
      <c r="M16" s="147"/>
      <c r="N16" s="147"/>
      <c r="O16" s="148"/>
    </row>
    <row r="17" spans="3:15" ht="37.799999999999997" thickBot="1" x14ac:dyDescent="0.35">
      <c r="C17" s="149" t="s">
        <v>0</v>
      </c>
      <c r="D17" s="150"/>
      <c r="E17" s="27" t="s">
        <v>1</v>
      </c>
      <c r="F17" s="27" t="s">
        <v>2</v>
      </c>
      <c r="G17" s="27" t="s">
        <v>3</v>
      </c>
      <c r="H17" s="28" t="s">
        <v>4</v>
      </c>
      <c r="J17" s="149" t="s">
        <v>0</v>
      </c>
      <c r="K17" s="150"/>
      <c r="L17" s="27" t="s">
        <v>1</v>
      </c>
      <c r="M17" s="27" t="s">
        <v>2</v>
      </c>
      <c r="N17" s="27" t="s">
        <v>3</v>
      </c>
      <c r="O17" s="28" t="s">
        <v>4</v>
      </c>
    </row>
    <row r="18" spans="3:15" x14ac:dyDescent="0.3">
      <c r="C18" s="29" t="s">
        <v>5</v>
      </c>
      <c r="D18" s="25" t="s">
        <v>6</v>
      </c>
      <c r="E18" s="26" t="s">
        <v>7</v>
      </c>
      <c r="F18" s="26" t="s">
        <v>7</v>
      </c>
      <c r="G18" s="26" t="s">
        <v>7</v>
      </c>
      <c r="H18" s="30" t="s">
        <v>7</v>
      </c>
      <c r="J18" s="29" t="s">
        <v>5</v>
      </c>
      <c r="K18" s="25" t="s">
        <v>6</v>
      </c>
      <c r="L18" s="26" t="s">
        <v>7</v>
      </c>
      <c r="M18" s="26" t="s">
        <v>7</v>
      </c>
      <c r="N18" s="26" t="s">
        <v>7</v>
      </c>
      <c r="O18" s="30" t="s">
        <v>7</v>
      </c>
    </row>
    <row r="19" spans="3:15" ht="15" thickBot="1" x14ac:dyDescent="0.35">
      <c r="C19" s="124">
        <v>2021</v>
      </c>
      <c r="D19" s="114"/>
      <c r="E19" s="125">
        <f>'Baseline Emissions'!Q8</f>
        <v>3525.5230051982167</v>
      </c>
      <c r="F19" s="125">
        <f>'Project emissions'!H5</f>
        <v>75</v>
      </c>
      <c r="G19" s="125">
        <v>0</v>
      </c>
      <c r="H19" s="126">
        <f>E19-F19-G19</f>
        <v>3450.5230051982167</v>
      </c>
      <c r="J19" s="124">
        <v>2021</v>
      </c>
      <c r="K19" s="114"/>
      <c r="L19" s="125">
        <f>'Baseline Emissions'!Q22</f>
        <v>5440.0856786606419</v>
      </c>
      <c r="M19" s="125">
        <f>+'Project emissions'!P5</f>
        <v>106</v>
      </c>
      <c r="N19" s="125">
        <v>0</v>
      </c>
      <c r="O19" s="126">
        <f>L19-M19-N19</f>
        <v>5334.0856786606419</v>
      </c>
    </row>
    <row r="20" spans="3:15" ht="15" thickBot="1" x14ac:dyDescent="0.35">
      <c r="C20" s="144" t="s">
        <v>8</v>
      </c>
      <c r="D20" s="145"/>
      <c r="E20" s="76">
        <f>+E19</f>
        <v>3525.5230051982167</v>
      </c>
      <c r="F20" s="76">
        <f>+F19</f>
        <v>75</v>
      </c>
      <c r="G20" s="76">
        <f>+G19</f>
        <v>0</v>
      </c>
      <c r="H20" s="77">
        <f>+H19</f>
        <v>3450.5230051982167</v>
      </c>
      <c r="J20" s="144" t="s">
        <v>8</v>
      </c>
      <c r="K20" s="145"/>
      <c r="L20" s="76">
        <f>+L19</f>
        <v>5440.0856786606419</v>
      </c>
      <c r="M20" s="76">
        <f>+M19</f>
        <v>106</v>
      </c>
      <c r="N20" s="76">
        <f>+N19</f>
        <v>0</v>
      </c>
      <c r="O20" s="77">
        <f>+O19</f>
        <v>5334.0856786606419</v>
      </c>
    </row>
    <row r="22" spans="3:15" ht="15" thickBot="1" x14ac:dyDescent="0.35"/>
    <row r="23" spans="3:15" ht="15" thickBot="1" x14ac:dyDescent="0.35">
      <c r="C23" s="146" t="s">
        <v>72</v>
      </c>
      <c r="D23" s="147"/>
      <c r="E23" s="147"/>
      <c r="F23" s="147"/>
      <c r="G23" s="147"/>
      <c r="H23" s="148"/>
      <c r="J23" s="146" t="s">
        <v>74</v>
      </c>
      <c r="K23" s="147"/>
      <c r="L23" s="147"/>
      <c r="M23" s="147"/>
      <c r="N23" s="147"/>
      <c r="O23" s="148"/>
    </row>
    <row r="24" spans="3:15" ht="37.799999999999997" thickBot="1" x14ac:dyDescent="0.35">
      <c r="C24" s="149" t="s">
        <v>0</v>
      </c>
      <c r="D24" s="150"/>
      <c r="E24" s="27" t="s">
        <v>1</v>
      </c>
      <c r="F24" s="27" t="s">
        <v>2</v>
      </c>
      <c r="G24" s="27" t="s">
        <v>3</v>
      </c>
      <c r="H24" s="28" t="s">
        <v>4</v>
      </c>
      <c r="J24" s="149" t="s">
        <v>0</v>
      </c>
      <c r="K24" s="150"/>
      <c r="L24" s="27" t="s">
        <v>1</v>
      </c>
      <c r="M24" s="27" t="s">
        <v>2</v>
      </c>
      <c r="N24" s="27" t="s">
        <v>3</v>
      </c>
      <c r="O24" s="28" t="s">
        <v>4</v>
      </c>
    </row>
    <row r="25" spans="3:15" x14ac:dyDescent="0.3">
      <c r="C25" s="29" t="s">
        <v>5</v>
      </c>
      <c r="D25" s="25" t="s">
        <v>6</v>
      </c>
      <c r="E25" s="26" t="s">
        <v>7</v>
      </c>
      <c r="F25" s="26" t="s">
        <v>7</v>
      </c>
      <c r="G25" s="26" t="s">
        <v>7</v>
      </c>
      <c r="H25" s="30" t="s">
        <v>7</v>
      </c>
      <c r="J25" s="29" t="s">
        <v>5</v>
      </c>
      <c r="K25" s="25" t="s">
        <v>6</v>
      </c>
      <c r="L25" s="26" t="s">
        <v>7</v>
      </c>
      <c r="M25" s="26" t="s">
        <v>7</v>
      </c>
      <c r="N25" s="26" t="s">
        <v>7</v>
      </c>
      <c r="O25" s="30" t="s">
        <v>7</v>
      </c>
    </row>
    <row r="26" spans="3:15" ht="15" thickBot="1" x14ac:dyDescent="0.35">
      <c r="C26" s="124">
        <v>2021</v>
      </c>
      <c r="D26" s="114"/>
      <c r="E26" s="125">
        <f>'Baseline Emissions'!Q15</f>
        <v>3450.8509224264972</v>
      </c>
      <c r="F26" s="125">
        <f>'Project emissions'!H12</f>
        <v>6</v>
      </c>
      <c r="G26" s="125">
        <v>0</v>
      </c>
      <c r="H26" s="126">
        <f>E26-F26-G26</f>
        <v>3444.8509224264972</v>
      </c>
      <c r="J26" s="124">
        <v>2021</v>
      </c>
      <c r="K26" s="114"/>
      <c r="L26" s="125">
        <f>'Baseline Emissions'!Q30</f>
        <v>3695.4180255567994</v>
      </c>
      <c r="M26" s="125">
        <f>'Project emissions'!P12</f>
        <v>24</v>
      </c>
      <c r="N26" s="125">
        <v>0</v>
      </c>
      <c r="O26" s="126">
        <f>L26-M26-N26</f>
        <v>3671.4180255567994</v>
      </c>
    </row>
    <row r="27" spans="3:15" ht="15" thickBot="1" x14ac:dyDescent="0.35">
      <c r="C27" s="144" t="s">
        <v>8</v>
      </c>
      <c r="D27" s="145"/>
      <c r="E27" s="76">
        <f>+E26</f>
        <v>3450.8509224264972</v>
      </c>
      <c r="F27" s="76">
        <f>+F26</f>
        <v>6</v>
      </c>
      <c r="G27" s="76">
        <f>+G26</f>
        <v>0</v>
      </c>
      <c r="H27" s="77">
        <f>+H26</f>
        <v>3444.8509224264972</v>
      </c>
      <c r="J27" s="144" t="s">
        <v>8</v>
      </c>
      <c r="K27" s="145"/>
      <c r="L27" s="76">
        <f>+L26</f>
        <v>3695.4180255567994</v>
      </c>
      <c r="M27" s="76">
        <f>+M26</f>
        <v>24</v>
      </c>
      <c r="N27" s="76">
        <f>+N26</f>
        <v>0</v>
      </c>
      <c r="O27" s="77">
        <f>+O26</f>
        <v>3671.4180255567994</v>
      </c>
    </row>
  </sheetData>
  <mergeCells count="15">
    <mergeCell ref="F3:K3"/>
    <mergeCell ref="F4:G4"/>
    <mergeCell ref="F7:G7"/>
    <mergeCell ref="C27:D27"/>
    <mergeCell ref="J16:O16"/>
    <mergeCell ref="J17:K17"/>
    <mergeCell ref="J20:K20"/>
    <mergeCell ref="J23:O23"/>
    <mergeCell ref="J24:K24"/>
    <mergeCell ref="J27:K27"/>
    <mergeCell ref="C23:H23"/>
    <mergeCell ref="C24:D24"/>
    <mergeCell ref="C16:H16"/>
    <mergeCell ref="C17:D17"/>
    <mergeCell ref="C20:D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0"/>
  <sheetViews>
    <sheetView workbookViewId="0">
      <selection activeCell="E10" sqref="E10"/>
    </sheetView>
  </sheetViews>
  <sheetFormatPr defaultColWidth="9.109375" defaultRowHeight="14.4" x14ac:dyDescent="0.3"/>
  <cols>
    <col min="1" max="1" width="9.109375" style="2"/>
    <col min="2" max="2" width="43.44140625" style="2" customWidth="1"/>
    <col min="3" max="3" width="9.109375" style="2"/>
    <col min="4" max="4" width="27.77734375" style="2" bestFit="1" customWidth="1"/>
    <col min="5" max="5" width="92" style="2" bestFit="1" customWidth="1"/>
    <col min="6" max="16384" width="9.109375" style="2"/>
  </cols>
  <sheetData>
    <row r="1" spans="2:5" ht="15" thickBot="1" x14ac:dyDescent="0.35">
      <c r="D1" s="11"/>
    </row>
    <row r="2" spans="2:5" s="5" customFormat="1" ht="15" thickBot="1" x14ac:dyDescent="0.35">
      <c r="B2" s="19" t="s">
        <v>9</v>
      </c>
      <c r="C2" s="20" t="s">
        <v>10</v>
      </c>
      <c r="D2" s="21" t="s">
        <v>70</v>
      </c>
      <c r="E2" s="22" t="s">
        <v>11</v>
      </c>
    </row>
    <row r="3" spans="2:5" x14ac:dyDescent="0.3">
      <c r="B3" s="127"/>
      <c r="C3" s="17">
        <v>0.85</v>
      </c>
      <c r="D3" s="18" t="s">
        <v>12</v>
      </c>
      <c r="E3" s="17" t="s">
        <v>13</v>
      </c>
    </row>
    <row r="4" spans="2:5" x14ac:dyDescent="0.3">
      <c r="B4" s="128"/>
      <c r="C4" s="4">
        <v>0</v>
      </c>
      <c r="D4" s="4" t="s">
        <v>14</v>
      </c>
      <c r="E4" s="4" t="s">
        <v>13</v>
      </c>
    </row>
    <row r="5" spans="2:5" ht="15.6" x14ac:dyDescent="0.35">
      <c r="B5" s="127"/>
      <c r="C5" s="4">
        <v>28</v>
      </c>
      <c r="D5" s="4" t="s">
        <v>101</v>
      </c>
      <c r="E5" s="4" t="s">
        <v>13</v>
      </c>
    </row>
    <row r="6" spans="2:5" x14ac:dyDescent="0.3">
      <c r="B6" s="128"/>
      <c r="C6" s="4">
        <v>0.1</v>
      </c>
      <c r="D6" s="4" t="s">
        <v>15</v>
      </c>
      <c r="E6" s="4" t="s">
        <v>13</v>
      </c>
    </row>
    <row r="7" spans="2:5" x14ac:dyDescent="0.3">
      <c r="B7" s="128"/>
      <c r="C7" s="4">
        <v>0.5</v>
      </c>
      <c r="D7" s="4" t="s">
        <v>14</v>
      </c>
      <c r="E7" s="4" t="s">
        <v>13</v>
      </c>
    </row>
    <row r="8" spans="2:5" x14ac:dyDescent="0.3">
      <c r="B8" s="128"/>
      <c r="C8" s="4">
        <v>0.5</v>
      </c>
      <c r="D8" s="4" t="s">
        <v>14</v>
      </c>
      <c r="E8" s="23" t="s">
        <v>95</v>
      </c>
    </row>
    <row r="9" spans="2:5" x14ac:dyDescent="0.3">
      <c r="B9" s="128"/>
      <c r="C9" s="4">
        <v>1</v>
      </c>
      <c r="D9" s="4" t="s">
        <v>12</v>
      </c>
      <c r="E9" s="4" t="s">
        <v>13</v>
      </c>
    </row>
    <row r="10" spans="2:5" x14ac:dyDescent="0.3">
      <c r="B10" s="128"/>
      <c r="C10" s="4">
        <v>0.15</v>
      </c>
      <c r="D10" s="4" t="s">
        <v>14</v>
      </c>
      <c r="E10" s="4" t="s">
        <v>13</v>
      </c>
    </row>
    <row r="11" spans="2:5" x14ac:dyDescent="0.3">
      <c r="B11" s="128"/>
      <c r="C11" s="4">
        <v>0.4</v>
      </c>
      <c r="D11" s="4" t="s">
        <v>16</v>
      </c>
      <c r="E11" s="4" t="s">
        <v>13</v>
      </c>
    </row>
    <row r="12" spans="2:5" ht="15.6" x14ac:dyDescent="0.35">
      <c r="B12" s="128"/>
      <c r="C12" s="6">
        <v>0.83</v>
      </c>
      <c r="D12" s="4" t="s">
        <v>17</v>
      </c>
      <c r="E12" s="7" t="s">
        <v>18</v>
      </c>
    </row>
    <row r="13" spans="2:5" ht="15.6" x14ac:dyDescent="0.35">
      <c r="B13" s="128"/>
      <c r="C13" s="4">
        <v>2.07E-2</v>
      </c>
      <c r="D13" s="4" t="s">
        <v>19</v>
      </c>
      <c r="E13" s="4" t="s">
        <v>20</v>
      </c>
    </row>
    <row r="14" spans="2:5" ht="15.6" x14ac:dyDescent="0.35">
      <c r="B14" s="128"/>
      <c r="C14" s="4">
        <v>2E-3</v>
      </c>
      <c r="D14" s="4" t="s">
        <v>21</v>
      </c>
      <c r="E14" s="4" t="s">
        <v>20</v>
      </c>
    </row>
    <row r="15" spans="2:5" ht="15.6" x14ac:dyDescent="0.35">
      <c r="B15" s="151"/>
      <c r="C15" s="4">
        <v>298</v>
      </c>
      <c r="D15" s="4" t="s">
        <v>22</v>
      </c>
      <c r="E15" s="4" t="s">
        <v>20</v>
      </c>
    </row>
    <row r="16" spans="2:5" ht="15.6" x14ac:dyDescent="0.35">
      <c r="B16" s="152"/>
      <c r="C16" s="4">
        <v>265</v>
      </c>
      <c r="D16" s="4" t="s">
        <v>22</v>
      </c>
      <c r="E16" s="4" t="s">
        <v>20</v>
      </c>
    </row>
    <row r="17" spans="2:11" ht="15.6" x14ac:dyDescent="0.35">
      <c r="B17" s="128"/>
      <c r="C17" s="4">
        <v>2.0000000000000001E-4</v>
      </c>
      <c r="D17" s="4" t="s">
        <v>23</v>
      </c>
      <c r="E17" s="4" t="s">
        <v>20</v>
      </c>
    </row>
    <row r="18" spans="2:11" x14ac:dyDescent="0.3">
      <c r="B18" s="128" t="s">
        <v>24</v>
      </c>
      <c r="C18" s="4">
        <v>0.6</v>
      </c>
      <c r="D18" s="4" t="s">
        <v>25</v>
      </c>
      <c r="E18" s="4" t="s">
        <v>26</v>
      </c>
    </row>
    <row r="19" spans="2:11" x14ac:dyDescent="0.3">
      <c r="B19" s="129" t="s">
        <v>27</v>
      </c>
      <c r="C19" s="4">
        <v>6.7000000000000002E-4</v>
      </c>
      <c r="D19" s="4" t="s">
        <v>28</v>
      </c>
      <c r="E19" s="4" t="s">
        <v>26</v>
      </c>
    </row>
    <row r="20" spans="2:11" x14ac:dyDescent="0.3">
      <c r="B20" s="128" t="s">
        <v>29</v>
      </c>
      <c r="C20" s="4">
        <v>0</v>
      </c>
      <c r="D20" s="4" t="s">
        <v>30</v>
      </c>
      <c r="E20" s="4" t="s">
        <v>26</v>
      </c>
    </row>
    <row r="21" spans="2:11" x14ac:dyDescent="0.3">
      <c r="B21" s="128" t="s">
        <v>31</v>
      </c>
      <c r="C21" s="4">
        <v>1.3</v>
      </c>
      <c r="D21" s="4" t="s">
        <v>32</v>
      </c>
      <c r="E21" s="4" t="s">
        <v>26</v>
      </c>
    </row>
    <row r="22" spans="2:11" x14ac:dyDescent="0.3">
      <c r="B22" s="128" t="s">
        <v>33</v>
      </c>
      <c r="C22" s="4">
        <v>2.8000000000000001E-2</v>
      </c>
      <c r="D22" s="4" t="s">
        <v>34</v>
      </c>
      <c r="E22" s="4" t="s">
        <v>26</v>
      </c>
    </row>
    <row r="23" spans="2:11" x14ac:dyDescent="0.3">
      <c r="B23" s="128" t="s">
        <v>35</v>
      </c>
      <c r="C23" s="4">
        <v>43</v>
      </c>
      <c r="D23" s="4" t="s">
        <v>36</v>
      </c>
      <c r="E23" s="4" t="s">
        <v>37</v>
      </c>
    </row>
    <row r="24" spans="2:11" x14ac:dyDescent="0.3">
      <c r="B24" s="128" t="s">
        <v>38</v>
      </c>
      <c r="C24" s="4">
        <v>74.099999999999994</v>
      </c>
      <c r="D24" s="4" t="s">
        <v>39</v>
      </c>
      <c r="E24" s="4" t="s">
        <v>37</v>
      </c>
    </row>
    <row r="25" spans="2:11" x14ac:dyDescent="0.3">
      <c r="B25" s="128"/>
      <c r="C25" s="4">
        <f>C24*C23</f>
        <v>3186.2999999999997</v>
      </c>
      <c r="D25" s="4" t="s">
        <v>40</v>
      </c>
      <c r="E25" s="4" t="s">
        <v>41</v>
      </c>
    </row>
    <row r="26" spans="2:11" x14ac:dyDescent="0.3">
      <c r="B26" s="128"/>
      <c r="C26" s="4">
        <f>C25/(10^6)</f>
        <v>3.1862999999999995E-3</v>
      </c>
      <c r="D26" s="4" t="s">
        <v>42</v>
      </c>
      <c r="E26" s="4" t="s">
        <v>41</v>
      </c>
    </row>
    <row r="27" spans="2:11" x14ac:dyDescent="0.3">
      <c r="B27" s="128" t="s">
        <v>43</v>
      </c>
      <c r="C27" s="4">
        <v>0.83</v>
      </c>
      <c r="D27" s="4" t="s">
        <v>44</v>
      </c>
      <c r="E27" s="4" t="s">
        <v>45</v>
      </c>
    </row>
    <row r="28" spans="2:11" x14ac:dyDescent="0.3">
      <c r="B28" s="128" t="s">
        <v>38</v>
      </c>
      <c r="C28" s="4">
        <f>C26*C27</f>
        <v>2.6446289999999995E-3</v>
      </c>
      <c r="D28" s="4" t="s">
        <v>46</v>
      </c>
      <c r="E28" s="4" t="s">
        <v>41</v>
      </c>
    </row>
    <row r="29" spans="2:11" x14ac:dyDescent="0.3">
      <c r="B29" s="128" t="s">
        <v>47</v>
      </c>
      <c r="C29" s="4">
        <v>0</v>
      </c>
      <c r="D29" s="4" t="s">
        <v>48</v>
      </c>
      <c r="E29" s="4" t="s">
        <v>26</v>
      </c>
    </row>
    <row r="30" spans="2:11" x14ac:dyDescent="0.3">
      <c r="B30" s="128"/>
      <c r="C30" s="12">
        <v>0.3666544579149863</v>
      </c>
      <c r="D30" s="13" t="s">
        <v>68</v>
      </c>
      <c r="E30" s="15" t="s">
        <v>69</v>
      </c>
      <c r="F30" s="14"/>
      <c r="G30" s="14"/>
      <c r="H30" s="14"/>
      <c r="I30" s="14"/>
      <c r="J30" s="14"/>
      <c r="K30" s="14"/>
    </row>
  </sheetData>
  <mergeCells count="1">
    <mergeCell ref="B15:B16"/>
  </mergeCells>
  <phoneticPr fontId="20" type="noConversion"/>
  <hyperlinks>
    <hyperlink ref="E12" r:id="rId1" display="Weighted average emission factor, CO2 Baseline Database for the Indian Power Sector, Version 14.0 (link)" xr:uid="{00000000-0004-0000-0100-000000000000}"/>
    <hyperlink ref="E30" r:id="rId2" xr:uid="{00000000-0004-0000-0100-000002000000}"/>
  </hyperlinks>
  <pageMargins left="0.7" right="0.7" top="0.75" bottom="0.75" header="0.3" footer="0.3"/>
  <pageSetup orientation="portrait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30"/>
  <sheetViews>
    <sheetView topLeftCell="A8" zoomScale="132" zoomScaleNormal="132" workbookViewId="0">
      <selection activeCell="P5" sqref="P5"/>
    </sheetView>
  </sheetViews>
  <sheetFormatPr defaultColWidth="9.109375" defaultRowHeight="14.4" x14ac:dyDescent="0.3"/>
  <cols>
    <col min="1" max="1" width="12.77734375" style="4" customWidth="1"/>
    <col min="2" max="4" width="10.33203125" style="4" customWidth="1"/>
    <col min="5" max="6" width="9.109375" style="4"/>
    <col min="7" max="7" width="11.109375" style="4" customWidth="1"/>
    <col min="8" max="8" width="14.33203125" style="4" customWidth="1"/>
    <col min="9" max="9" width="9.109375" style="4"/>
    <col min="10" max="10" width="13.77734375" style="4" customWidth="1"/>
    <col min="11" max="13" width="9.109375" style="4"/>
    <col min="14" max="14" width="14" style="4" customWidth="1"/>
    <col min="15" max="16" width="15.33203125" style="4" customWidth="1"/>
    <col min="17" max="17" width="14.44140625" style="4" customWidth="1"/>
    <col min="18" max="16384" width="9.109375" style="4"/>
  </cols>
  <sheetData>
    <row r="2" spans="1:18" s="80" customFormat="1" x14ac:dyDescent="0.3">
      <c r="A2" s="155" t="s">
        <v>71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8" s="80" customFormat="1" x14ac:dyDescent="0.3">
      <c r="A3" s="156" t="s">
        <v>51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8" s="83" customFormat="1" x14ac:dyDescent="0.3">
      <c r="A4" s="81" t="s">
        <v>49</v>
      </c>
      <c r="B4" s="81" t="s">
        <v>50</v>
      </c>
      <c r="C4" s="82"/>
      <c r="D4" s="82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2"/>
    </row>
    <row r="5" spans="1:18" s="80" customFormat="1" x14ac:dyDescent="0.3">
      <c r="A5" s="82"/>
      <c r="B5" s="82">
        <v>2021</v>
      </c>
      <c r="C5" s="82">
        <v>1</v>
      </c>
      <c r="D5" s="82">
        <v>3</v>
      </c>
      <c r="E5" s="82">
        <f>+'Default Values'!$C$3</f>
        <v>0.85</v>
      </c>
      <c r="F5" s="82">
        <f>+(1-'Default Values'!$C$4)</f>
        <v>1</v>
      </c>
      <c r="G5" s="82">
        <f>'Default Values'!$C$5</f>
        <v>28</v>
      </c>
      <c r="H5" s="82">
        <f>+(1-'Default Values'!$C$6)</f>
        <v>0.9</v>
      </c>
      <c r="I5" s="82">
        <f>+'Default Values'!$C$7</f>
        <v>0.5</v>
      </c>
      <c r="J5" s="82">
        <f>+'Default Values'!$C$8</f>
        <v>0.5</v>
      </c>
      <c r="K5" s="82">
        <f>+'Default Values'!$C$9</f>
        <v>1</v>
      </c>
      <c r="L5" s="84">
        <f>SUM('Bio -Methanation- Aurangabad'!D17)</f>
        <v>4727.95</v>
      </c>
      <c r="M5" s="82">
        <f>+'Default Values'!$C$10</f>
        <v>0.15</v>
      </c>
      <c r="N5" s="85">
        <f>+EXP((-'Default Values'!$C$11)*(D5-C5))</f>
        <v>0.44932896411722156</v>
      </c>
      <c r="O5" s="86">
        <f>(1-EXP(-'Default Values'!$C$11))</f>
        <v>0.32967995396436067</v>
      </c>
      <c r="P5" s="86">
        <f>+'Default Values'!$C$30</f>
        <v>0.3666544579149863</v>
      </c>
      <c r="Q5" s="84">
        <f>(E5*F5*G5*H5*(16/12)*I5*J5*K5*L5*M5*N5*O5)*(1-P5%)</f>
        <v>747.34995855889758</v>
      </c>
      <c r="R5" s="89"/>
    </row>
    <row r="6" spans="1:18" s="80" customFormat="1" x14ac:dyDescent="0.3">
      <c r="A6" s="82"/>
      <c r="B6" s="82"/>
      <c r="C6" s="82">
        <v>2</v>
      </c>
      <c r="D6" s="82">
        <v>3</v>
      </c>
      <c r="E6" s="82">
        <f>+'Default Values'!$C$3</f>
        <v>0.85</v>
      </c>
      <c r="F6" s="82">
        <f>+(1-'Default Values'!$C$4)</f>
        <v>1</v>
      </c>
      <c r="G6" s="82">
        <f>'Default Values'!$C$5</f>
        <v>28</v>
      </c>
      <c r="H6" s="82">
        <f>+(1-'Default Values'!$C$6)</f>
        <v>0.9</v>
      </c>
      <c r="I6" s="82">
        <f>+'Default Values'!$C$7</f>
        <v>0.5</v>
      </c>
      <c r="J6" s="82">
        <f>+'Default Values'!$C$8</f>
        <v>0.5</v>
      </c>
      <c r="K6" s="82">
        <f>+'Default Values'!$C$9</f>
        <v>1</v>
      </c>
      <c r="L6" s="84">
        <f>L5</f>
        <v>4727.95</v>
      </c>
      <c r="M6" s="82">
        <f>+'Default Values'!$C$10</f>
        <v>0.15</v>
      </c>
      <c r="N6" s="85">
        <f>+EXP((-'Default Values'!$C$11)*(D6-C6))</f>
        <v>0.67032004603563933</v>
      </c>
      <c r="O6" s="86">
        <f>(1-EXP(-'Default Values'!$C$11))</f>
        <v>0.32967995396436067</v>
      </c>
      <c r="P6" s="86">
        <f>+'Default Values'!$C$30</f>
        <v>0.3666544579149863</v>
      </c>
      <c r="Q6" s="84">
        <f>(E6*F6*G6*H6*(16/12)*I6*J6*K6*L6*M6*N6*O6)*(1-P6%)</f>
        <v>1114.9151259593434</v>
      </c>
    </row>
    <row r="7" spans="1:18" s="80" customFormat="1" x14ac:dyDescent="0.3">
      <c r="A7" s="82"/>
      <c r="B7" s="82"/>
      <c r="C7" s="82">
        <v>3</v>
      </c>
      <c r="D7" s="82">
        <v>3</v>
      </c>
      <c r="E7" s="82">
        <f>+'Default Values'!$C$3</f>
        <v>0.85</v>
      </c>
      <c r="F7" s="82">
        <f>+(1-'Default Values'!$C$4)</f>
        <v>1</v>
      </c>
      <c r="G7" s="82">
        <f>'Default Values'!$C$5</f>
        <v>28</v>
      </c>
      <c r="H7" s="82">
        <f>+(1-'Default Values'!$C$6)</f>
        <v>0.9</v>
      </c>
      <c r="I7" s="82">
        <f>+'Default Values'!$C$7</f>
        <v>0.5</v>
      </c>
      <c r="J7" s="82">
        <f>+'Default Values'!$C$8</f>
        <v>0.5</v>
      </c>
      <c r="K7" s="82">
        <f>+'Default Values'!$C$9</f>
        <v>1</v>
      </c>
      <c r="L7" s="84">
        <f>L6</f>
        <v>4727.95</v>
      </c>
      <c r="M7" s="82">
        <f>+'Default Values'!$C$10</f>
        <v>0.15</v>
      </c>
      <c r="N7" s="85">
        <f>+EXP((-'Default Values'!$C$11)*(D7-C7))</f>
        <v>1</v>
      </c>
      <c r="O7" s="86">
        <f>(1-EXP(-'Default Values'!$C$11))</f>
        <v>0.32967995396436067</v>
      </c>
      <c r="P7" s="86">
        <f>+'Default Values'!$C$30</f>
        <v>0.3666544579149863</v>
      </c>
      <c r="Q7" s="84">
        <f>(E7*F7*G7*H7*(16/12)*I7*J7*K7*L7*M7*N7*O7)*(1-P7%)</f>
        <v>1663.2579206799758</v>
      </c>
      <c r="R7" s="89"/>
    </row>
    <row r="8" spans="1:18" ht="15.6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87" t="s">
        <v>94</v>
      </c>
      <c r="P8" s="16"/>
      <c r="Q8" s="88">
        <f>SUM(Q6,Q7,Q5)</f>
        <v>3525.5230051982167</v>
      </c>
    </row>
    <row r="9" spans="1:18" s="93" customFormat="1" x14ac:dyDescent="0.3">
      <c r="A9" s="158" t="s">
        <v>72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</row>
    <row r="10" spans="1:18" s="93" customFormat="1" x14ac:dyDescent="0.3">
      <c r="A10" s="157" t="s">
        <v>51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</row>
    <row r="11" spans="1:18" s="93" customFormat="1" x14ac:dyDescent="0.3">
      <c r="A11" s="94" t="s">
        <v>49</v>
      </c>
      <c r="B11" s="94" t="s">
        <v>50</v>
      </c>
      <c r="C11" s="95"/>
      <c r="D11" s="95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</row>
    <row r="12" spans="1:18" s="93" customFormat="1" x14ac:dyDescent="0.3">
      <c r="A12" s="95"/>
      <c r="B12" s="95">
        <v>2021</v>
      </c>
      <c r="C12" s="95">
        <v>1</v>
      </c>
      <c r="D12" s="95">
        <v>3</v>
      </c>
      <c r="E12" s="95">
        <f>+'Default Values'!$C$3</f>
        <v>0.85</v>
      </c>
      <c r="F12" s="95">
        <f>+(1-'Default Values'!$C$4)</f>
        <v>1</v>
      </c>
      <c r="G12" s="95">
        <f>'Default Values'!$C$5</f>
        <v>28</v>
      </c>
      <c r="H12" s="95">
        <f>+(1-'Default Values'!$C$6)</f>
        <v>0.9</v>
      </c>
      <c r="I12" s="95">
        <f>+'Default Values'!$C$7</f>
        <v>0.5</v>
      </c>
      <c r="J12" s="95">
        <f>+'Default Values'!$C$8</f>
        <v>0.5</v>
      </c>
      <c r="K12" s="95">
        <f>+'Default Values'!$C$9</f>
        <v>1</v>
      </c>
      <c r="L12" s="96">
        <f>SUM('Bio - Methanation - Adoni'!D17)</f>
        <v>4627.8099999999995</v>
      </c>
      <c r="M12" s="95">
        <f>+'Default Values'!$C$10</f>
        <v>0.15</v>
      </c>
      <c r="N12" s="97">
        <f>+EXP((-'Default Values'!$C$11)*(D12-C12))</f>
        <v>0.44932896411722156</v>
      </c>
      <c r="O12" s="98">
        <f>(1-EXP(-'Default Values'!$C$11))</f>
        <v>0.32967995396436067</v>
      </c>
      <c r="P12" s="98">
        <f>+'Default Values'!$C$30</f>
        <v>0.3666544579149863</v>
      </c>
      <c r="Q12" s="96">
        <f>(E12*F12*G12*H12*(16/12)*I12*J12*K12*L12*M12*N12*O12)*(1-P12%)</f>
        <v>731.52076729205066</v>
      </c>
      <c r="R12" s="101"/>
    </row>
    <row r="13" spans="1:18" s="93" customFormat="1" x14ac:dyDescent="0.3">
      <c r="A13" s="95"/>
      <c r="B13" s="95"/>
      <c r="C13" s="95">
        <v>2</v>
      </c>
      <c r="D13" s="95">
        <v>3</v>
      </c>
      <c r="E13" s="95">
        <f>+'Default Values'!$C$3</f>
        <v>0.85</v>
      </c>
      <c r="F13" s="95">
        <f>+(1-'Default Values'!$C$4)</f>
        <v>1</v>
      </c>
      <c r="G13" s="95">
        <f>'Default Values'!$C$5</f>
        <v>28</v>
      </c>
      <c r="H13" s="95">
        <f>+(1-'Default Values'!$C$6)</f>
        <v>0.9</v>
      </c>
      <c r="I13" s="95">
        <f>+'Default Values'!$C$7</f>
        <v>0.5</v>
      </c>
      <c r="J13" s="95">
        <f>+'Default Values'!$C$8</f>
        <v>0.5</v>
      </c>
      <c r="K13" s="95">
        <f>+'Default Values'!$C$9</f>
        <v>1</v>
      </c>
      <c r="L13" s="96">
        <f>L12</f>
        <v>4627.8099999999995</v>
      </c>
      <c r="M13" s="95">
        <f>+'Default Values'!$C$10</f>
        <v>0.15</v>
      </c>
      <c r="N13" s="97">
        <f>+EXP((-'Default Values'!$C$11)*(D13-C13))</f>
        <v>0.67032004603563933</v>
      </c>
      <c r="O13" s="98">
        <f>(1-EXP(-'Default Values'!$C$11))</f>
        <v>0.32967995396436067</v>
      </c>
      <c r="P13" s="98">
        <f>+'Default Values'!$C$30</f>
        <v>0.3666544579149863</v>
      </c>
      <c r="Q13" s="96">
        <f>(E13*F13*G13*H13*(16/12)*I13*J13*K13*L13*M13*N13*O13)*(1-P13%)</f>
        <v>1091.3007474837736</v>
      </c>
    </row>
    <row r="14" spans="1:18" s="93" customFormat="1" x14ac:dyDescent="0.3">
      <c r="A14" s="95"/>
      <c r="B14" s="95"/>
      <c r="C14" s="95">
        <v>3</v>
      </c>
      <c r="D14" s="95">
        <v>3</v>
      </c>
      <c r="E14" s="95">
        <f>+'Default Values'!$C$3</f>
        <v>0.85</v>
      </c>
      <c r="F14" s="95">
        <f>+(1-'Default Values'!$C$4)</f>
        <v>1</v>
      </c>
      <c r="G14" s="95">
        <f>'Default Values'!$C$5</f>
        <v>28</v>
      </c>
      <c r="H14" s="95">
        <f>+(1-'Default Values'!$C$6)</f>
        <v>0.9</v>
      </c>
      <c r="I14" s="95">
        <f>+'Default Values'!$C$7</f>
        <v>0.5</v>
      </c>
      <c r="J14" s="95">
        <f>+'Default Values'!$C$8</f>
        <v>0.5</v>
      </c>
      <c r="K14" s="95">
        <f>+'Default Values'!$C$9</f>
        <v>1</v>
      </c>
      <c r="L14" s="96">
        <f>L13</f>
        <v>4627.8099999999995</v>
      </c>
      <c r="M14" s="95">
        <f>+'Default Values'!$C$10</f>
        <v>0.15</v>
      </c>
      <c r="N14" s="97">
        <f>+EXP((-'Default Values'!$C$11)*(D14-C14))</f>
        <v>1</v>
      </c>
      <c r="O14" s="98">
        <f>(1-EXP(-'Default Values'!$C$11))</f>
        <v>0.32967995396436067</v>
      </c>
      <c r="P14" s="98">
        <f>+'Default Values'!$C$30</f>
        <v>0.3666544579149863</v>
      </c>
      <c r="Q14" s="96">
        <f>(E14*F14*G14*H14*(16/12)*I14*J14*K14*L14*M14*N14*O14)*(1-P14%)</f>
        <v>1628.029407650673</v>
      </c>
    </row>
    <row r="15" spans="1:18" ht="15.6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87" t="s">
        <v>94</v>
      </c>
      <c r="P15" s="95"/>
      <c r="Q15" s="100">
        <f>SUM(Q13,Q14,Q12)</f>
        <v>3450.8509224264972</v>
      </c>
    </row>
    <row r="16" spans="1:18" s="102" customFormat="1" x14ac:dyDescent="0.3">
      <c r="A16" s="159" t="s">
        <v>73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</row>
    <row r="17" spans="1:17" s="102" customFormat="1" x14ac:dyDescent="0.3">
      <c r="A17" s="160" t="s">
        <v>51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</row>
    <row r="18" spans="1:17" s="102" customFormat="1" x14ac:dyDescent="0.3">
      <c r="A18" s="103" t="s">
        <v>49</v>
      </c>
      <c r="B18" s="103" t="s">
        <v>50</v>
      </c>
      <c r="C18" s="104"/>
      <c r="D18" s="104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4"/>
    </row>
    <row r="19" spans="1:17" s="102" customFormat="1" x14ac:dyDescent="0.3">
      <c r="A19" s="104"/>
      <c r="B19" s="104">
        <v>2021</v>
      </c>
      <c r="C19" s="104">
        <v>1</v>
      </c>
      <c r="D19" s="104">
        <v>3</v>
      </c>
      <c r="E19" s="104">
        <f>+'Default Values'!$C$3</f>
        <v>0.85</v>
      </c>
      <c r="F19" s="104">
        <f>+(1-'Default Values'!$C$4)</f>
        <v>1</v>
      </c>
      <c r="G19" s="104">
        <f>'Default Values'!$C$5</f>
        <v>28</v>
      </c>
      <c r="H19" s="104">
        <f>+(1-'Default Values'!$C$6)</f>
        <v>0.9</v>
      </c>
      <c r="I19" s="104">
        <f>+'Default Values'!$C$7</f>
        <v>0.5</v>
      </c>
      <c r="J19" s="104">
        <f>+'Default Values'!$C$8</f>
        <v>0.5</v>
      </c>
      <c r="K19" s="104">
        <f>+'Default Values'!$C$9</f>
        <v>1</v>
      </c>
      <c r="L19" s="105">
        <f>SUM('Bio - Methaanation - Tirupati'!D18)</f>
        <v>7295.5</v>
      </c>
      <c r="M19" s="104">
        <f>+'Default Values'!$C$10</f>
        <v>0.15</v>
      </c>
      <c r="N19" s="106">
        <f>+EXP((-'Default Values'!$C$11)*(D19-C19))</f>
        <v>0.44932896411722156</v>
      </c>
      <c r="O19" s="107">
        <f>(1-EXP(-'Default Values'!$C$11))</f>
        <v>0.32967995396436067</v>
      </c>
      <c r="P19" s="107">
        <f>+'Default Values'!$C$30</f>
        <v>0.3666544579149863</v>
      </c>
      <c r="Q19" s="105">
        <f>(E19*F19*G19*H19*(16/12)*I19*J19*K19*L19*M19*N19*O19)*(1-P19%)</f>
        <v>1153.2041630445406</v>
      </c>
    </row>
    <row r="20" spans="1:17" s="102" customFormat="1" x14ac:dyDescent="0.3">
      <c r="A20" s="104"/>
      <c r="B20" s="104"/>
      <c r="C20" s="104">
        <v>2</v>
      </c>
      <c r="D20" s="104">
        <v>3</v>
      </c>
      <c r="E20" s="104">
        <f>+'Default Values'!$C$3</f>
        <v>0.85</v>
      </c>
      <c r="F20" s="104">
        <f>+(1-'Default Values'!$C$4)</f>
        <v>1</v>
      </c>
      <c r="G20" s="104">
        <f>'Default Values'!$C$5</f>
        <v>28</v>
      </c>
      <c r="H20" s="104">
        <f>+(1-'Default Values'!$C$6)</f>
        <v>0.9</v>
      </c>
      <c r="I20" s="104">
        <f>+'Default Values'!$C$7</f>
        <v>0.5</v>
      </c>
      <c r="J20" s="104">
        <f>+'Default Values'!$C$8</f>
        <v>0.5</v>
      </c>
      <c r="K20" s="104">
        <f>+'Default Values'!$C$9</f>
        <v>1</v>
      </c>
      <c r="L20" s="105">
        <f>L19</f>
        <v>7295.5</v>
      </c>
      <c r="M20" s="104">
        <f>+'Default Values'!$C$10</f>
        <v>0.15</v>
      </c>
      <c r="N20" s="106">
        <f>+EXP((-'Default Values'!$C$11)*(D20-C20))</f>
        <v>0.67032004603563933</v>
      </c>
      <c r="O20" s="107">
        <f>(1-EXP(-'Default Values'!$C$11))</f>
        <v>0.32967995396436067</v>
      </c>
      <c r="P20" s="107">
        <f>+'Default Values'!$C$30</f>
        <v>0.3666544579149863</v>
      </c>
      <c r="Q20" s="105">
        <f>(E20*F20*G20*H20*(16/12)*I20*J20*K20*L20*M20*N20*O20)*(1-P20%)</f>
        <v>1720.3784518525763</v>
      </c>
    </row>
    <row r="21" spans="1:17" s="102" customFormat="1" x14ac:dyDescent="0.3">
      <c r="A21" s="104"/>
      <c r="B21" s="104"/>
      <c r="C21" s="104">
        <v>3</v>
      </c>
      <c r="D21" s="104">
        <v>3</v>
      </c>
      <c r="E21" s="104">
        <f>+'Default Values'!$C$3</f>
        <v>0.85</v>
      </c>
      <c r="F21" s="104">
        <f>+(1-'Default Values'!$C$4)</f>
        <v>1</v>
      </c>
      <c r="G21" s="104">
        <f>'Default Values'!$C$5</f>
        <v>28</v>
      </c>
      <c r="H21" s="104">
        <f>+(1-'Default Values'!$C$6)</f>
        <v>0.9</v>
      </c>
      <c r="I21" s="104">
        <f>+'Default Values'!$C$7</f>
        <v>0.5</v>
      </c>
      <c r="J21" s="104">
        <f>+'Default Values'!$C$8</f>
        <v>0.5</v>
      </c>
      <c r="K21" s="104">
        <f>+'Default Values'!$C$9</f>
        <v>1</v>
      </c>
      <c r="L21" s="105">
        <f>L20</f>
        <v>7295.5</v>
      </c>
      <c r="M21" s="104">
        <f>+'Default Values'!$C$10</f>
        <v>0.15</v>
      </c>
      <c r="N21" s="106">
        <f>+EXP((-'Default Values'!$C$11)*(D21-C21))</f>
        <v>1</v>
      </c>
      <c r="O21" s="107">
        <f>(1-EXP(-'Default Values'!$C$11))</f>
        <v>0.32967995396436067</v>
      </c>
      <c r="P21" s="107">
        <f>+'Default Values'!$C$30</f>
        <v>0.3666544579149863</v>
      </c>
      <c r="Q21" s="105">
        <f>(E21*F21*G21*H21*(16/12)*I21*J21*K21*L21*M21*N21*O21)*(1-P21%)</f>
        <v>2566.5030637635259</v>
      </c>
    </row>
    <row r="22" spans="1:17" s="102" customFormat="1" ht="15.6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99" t="s">
        <v>94</v>
      </c>
      <c r="P22" s="104"/>
      <c r="Q22" s="105">
        <f>SUM(Q20,Q21,Q19)</f>
        <v>5440.0856786606419</v>
      </c>
    </row>
    <row r="23" spans="1:17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5"/>
      <c r="P23" s="35"/>
      <c r="Q23" s="79"/>
    </row>
    <row r="24" spans="1:17" s="74" customFormat="1" ht="13.5" customHeight="1" x14ac:dyDescent="0.3">
      <c r="A24" s="153" t="s">
        <v>80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</row>
    <row r="25" spans="1:17" s="74" customFormat="1" x14ac:dyDescent="0.3">
      <c r="A25" s="154" t="s">
        <v>51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</row>
    <row r="26" spans="1:17" s="74" customFormat="1" x14ac:dyDescent="0.3">
      <c r="A26" s="65" t="s">
        <v>49</v>
      </c>
      <c r="B26" s="65" t="s">
        <v>50</v>
      </c>
      <c r="C26" s="70"/>
      <c r="D26" s="70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70"/>
    </row>
    <row r="27" spans="1:17" s="74" customFormat="1" x14ac:dyDescent="0.3">
      <c r="A27" s="70"/>
      <c r="B27" s="70">
        <v>2021</v>
      </c>
      <c r="C27" s="70">
        <v>1</v>
      </c>
      <c r="D27" s="70">
        <v>3</v>
      </c>
      <c r="E27" s="70">
        <f>+'Default Values'!$C$3</f>
        <v>0.85</v>
      </c>
      <c r="F27" s="70">
        <f>+(1-'Default Values'!$C$4)</f>
        <v>1</v>
      </c>
      <c r="G27" s="70">
        <f>'Default Values'!$C$5</f>
        <v>28</v>
      </c>
      <c r="H27" s="70">
        <f>+(1-'Default Values'!$C$6)</f>
        <v>0.9</v>
      </c>
      <c r="I27" s="70">
        <f>+'Default Values'!$C$7</f>
        <v>0.5</v>
      </c>
      <c r="J27" s="70">
        <f>+'Default Values'!$C$8</f>
        <v>0.5</v>
      </c>
      <c r="K27" s="70">
        <f>+'Default Values'!$C$9</f>
        <v>1</v>
      </c>
      <c r="L27" s="108">
        <f>SUM('Bio-Methanation - Piduguralla'!D17)</f>
        <v>4955.79</v>
      </c>
      <c r="M27" s="70">
        <f>+'Default Values'!$C$10</f>
        <v>0.15</v>
      </c>
      <c r="N27" s="109">
        <f>+EXP((-'Default Values'!$C$11)*(D27-C27))</f>
        <v>0.44932896411722156</v>
      </c>
      <c r="O27" s="110">
        <f>(1-EXP(-'Default Values'!$C$11))</f>
        <v>0.32967995396436067</v>
      </c>
      <c r="P27" s="110">
        <f>+'Default Values'!$C$30</f>
        <v>0.3666544579149863</v>
      </c>
      <c r="Q27" s="108">
        <f>(E27*F27*G27*H27*(16/12)*I27*J27*K27*L27*M27*N27*O27)*(1-P27%)</f>
        <v>783.36476720917062</v>
      </c>
    </row>
    <row r="28" spans="1:17" s="74" customFormat="1" x14ac:dyDescent="0.3">
      <c r="A28" s="70"/>
      <c r="B28" s="70"/>
      <c r="C28" s="70">
        <v>2</v>
      </c>
      <c r="D28" s="70">
        <v>3</v>
      </c>
      <c r="E28" s="70">
        <f>+'Default Values'!$C$3</f>
        <v>0.85</v>
      </c>
      <c r="F28" s="70">
        <f>+(1-'Default Values'!$C$4)</f>
        <v>1</v>
      </c>
      <c r="G28" s="70">
        <f>'Default Values'!$C$5</f>
        <v>28</v>
      </c>
      <c r="H28" s="70">
        <f>+(1-'Default Values'!$C$6)</f>
        <v>0.9</v>
      </c>
      <c r="I28" s="70">
        <f>+'Default Values'!$C$7</f>
        <v>0.5</v>
      </c>
      <c r="J28" s="70">
        <f>+'Default Values'!$C$8</f>
        <v>0.5</v>
      </c>
      <c r="K28" s="70">
        <f>+'Default Values'!$C$9</f>
        <v>1</v>
      </c>
      <c r="L28" s="108">
        <f>L27</f>
        <v>4955.79</v>
      </c>
      <c r="M28" s="70">
        <f>+'Default Values'!$C$10</f>
        <v>0.15</v>
      </c>
      <c r="N28" s="109">
        <f>+EXP((-'Default Values'!$C$11)*(D28-C28))</f>
        <v>0.67032004603563933</v>
      </c>
      <c r="O28" s="110">
        <f>(1-EXP(-'Default Values'!$C$11))</f>
        <v>0.32967995396436067</v>
      </c>
      <c r="P28" s="110">
        <f>+'Default Values'!$C$30</f>
        <v>0.3666544579149863</v>
      </c>
      <c r="Q28" s="108">
        <f>(E28*F28*G28*H28*(16/12)*I28*J28*K28*L28*M28*N28*O28)*(1-P28%)</f>
        <v>1168.6429069846452</v>
      </c>
    </row>
    <row r="29" spans="1:17" s="74" customFormat="1" x14ac:dyDescent="0.3">
      <c r="A29" s="70"/>
      <c r="B29" s="70"/>
      <c r="C29" s="70">
        <v>3</v>
      </c>
      <c r="D29" s="70">
        <v>3</v>
      </c>
      <c r="E29" s="70">
        <f>+'Default Values'!$C$3</f>
        <v>0.85</v>
      </c>
      <c r="F29" s="70">
        <f>+(1-'Default Values'!$C$4)</f>
        <v>1</v>
      </c>
      <c r="G29" s="70">
        <f>'Default Values'!$C$5</f>
        <v>28</v>
      </c>
      <c r="H29" s="70">
        <f>+(1-'Default Values'!$C$6)</f>
        <v>0.9</v>
      </c>
      <c r="I29" s="70">
        <f>+'Default Values'!$C$7</f>
        <v>0.5</v>
      </c>
      <c r="J29" s="70">
        <f>+'Default Values'!$C$8</f>
        <v>0.5</v>
      </c>
      <c r="K29" s="70">
        <f>+'Default Values'!$C$9</f>
        <v>1</v>
      </c>
      <c r="L29" s="108">
        <f>L28</f>
        <v>4955.79</v>
      </c>
      <c r="M29" s="70">
        <f>+'Default Values'!$C$10</f>
        <v>0.15</v>
      </c>
      <c r="N29" s="109">
        <f>+EXP((-'Default Values'!$C$11)*(D29-C29))</f>
        <v>1</v>
      </c>
      <c r="O29" s="110">
        <f>(1-EXP(-'Default Values'!$C$11))</f>
        <v>0.32967995396436067</v>
      </c>
      <c r="P29" s="110">
        <f>+'Default Values'!$C$30</f>
        <v>0.3666544579149863</v>
      </c>
      <c r="Q29" s="108">
        <f>(E29*F29*G29*H29*(16/12)*I29*J29*K29*L29*M29*N29*O29)*(1-P29%)</f>
        <v>1743.4103513629834</v>
      </c>
    </row>
    <row r="30" spans="1:17" ht="15.6" x14ac:dyDescent="0.3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9" t="s">
        <v>94</v>
      </c>
      <c r="P30" s="91"/>
      <c r="Q30" s="92">
        <f>SUM(Q28,Q29,Q27)</f>
        <v>3695.4180255567994</v>
      </c>
    </row>
  </sheetData>
  <mergeCells count="8">
    <mergeCell ref="A24:Q24"/>
    <mergeCell ref="A25:Q25"/>
    <mergeCell ref="A2:Q2"/>
    <mergeCell ref="A3:Q3"/>
    <mergeCell ref="A10:Q10"/>
    <mergeCell ref="A9:Q9"/>
    <mergeCell ref="A16:Q16"/>
    <mergeCell ref="A17:Q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18"/>
  <sheetViews>
    <sheetView workbookViewId="0">
      <selection activeCell="H22" sqref="H22"/>
    </sheetView>
  </sheetViews>
  <sheetFormatPr defaultColWidth="9.109375" defaultRowHeight="14.4" x14ac:dyDescent="0.3"/>
  <cols>
    <col min="1" max="1" width="9.109375" style="2"/>
    <col min="2" max="2" width="12.6640625" style="2" customWidth="1"/>
    <col min="3" max="4" width="9.109375" style="2"/>
    <col min="5" max="6" width="10.44140625" style="2" bestFit="1" customWidth="1"/>
    <col min="7" max="7" width="9.109375" style="2"/>
    <col min="8" max="8" width="14" style="5" customWidth="1"/>
    <col min="9" max="11" width="9.109375" style="2"/>
    <col min="12" max="12" width="10.33203125" style="2" customWidth="1"/>
    <col min="13" max="16384" width="9.109375" style="2"/>
  </cols>
  <sheetData>
    <row r="2" spans="2:16" x14ac:dyDescent="0.3">
      <c r="P2" s="5"/>
    </row>
    <row r="3" spans="2:16" x14ac:dyDescent="0.3">
      <c r="B3" s="36" t="s">
        <v>67</v>
      </c>
      <c r="C3" s="36"/>
      <c r="D3" s="36"/>
      <c r="E3" s="16"/>
      <c r="F3" s="4"/>
      <c r="G3" s="4"/>
      <c r="H3" s="16"/>
      <c r="J3" s="36" t="s">
        <v>73</v>
      </c>
      <c r="K3" s="36"/>
      <c r="L3" s="36"/>
      <c r="M3" s="16"/>
      <c r="N3" s="4"/>
      <c r="O3" s="4"/>
      <c r="P3" s="16"/>
    </row>
    <row r="4" spans="2:16" x14ac:dyDescent="0.3">
      <c r="B4" s="32"/>
      <c r="C4" s="78" t="s">
        <v>50</v>
      </c>
      <c r="D4" s="78"/>
      <c r="E4" s="78" t="s">
        <v>52</v>
      </c>
      <c r="F4" s="78"/>
      <c r="G4" s="78"/>
      <c r="H4" s="78" t="s">
        <v>53</v>
      </c>
      <c r="J4" s="32"/>
      <c r="K4" s="78" t="s">
        <v>50</v>
      </c>
      <c r="L4" s="78"/>
      <c r="M4" s="78" t="s">
        <v>52</v>
      </c>
      <c r="N4" s="78"/>
      <c r="O4" s="78"/>
      <c r="P4" s="78" t="s">
        <v>53</v>
      </c>
    </row>
    <row r="5" spans="2:16" x14ac:dyDescent="0.3">
      <c r="B5" s="4"/>
      <c r="C5" s="4">
        <v>2021</v>
      </c>
      <c r="D5" s="3">
        <v>0</v>
      </c>
      <c r="E5" s="3">
        <f>H8</f>
        <v>75</v>
      </c>
      <c r="F5" s="4"/>
      <c r="G5" s="4"/>
      <c r="H5" s="24">
        <f>SUM(D5:E5)</f>
        <v>75</v>
      </c>
      <c r="J5" s="4"/>
      <c r="K5" s="4">
        <v>2021</v>
      </c>
      <c r="L5" s="3">
        <v>0</v>
      </c>
      <c r="M5" s="3">
        <f>P8</f>
        <v>106</v>
      </c>
      <c r="N5" s="4"/>
      <c r="O5" s="4"/>
      <c r="P5" s="24">
        <f>SUM(L5:M5)</f>
        <v>106</v>
      </c>
    </row>
    <row r="6" spans="2:16" x14ac:dyDescent="0.3">
      <c r="B6" s="4"/>
      <c r="C6" s="4"/>
      <c r="D6" s="4"/>
      <c r="E6" s="4"/>
      <c r="F6" s="4"/>
      <c r="G6" s="4"/>
      <c r="H6" s="16"/>
      <c r="J6" s="4"/>
      <c r="K6" s="4"/>
      <c r="L6" s="4"/>
      <c r="M6" s="4"/>
      <c r="N6" s="4"/>
      <c r="O6" s="4"/>
      <c r="P6" s="16"/>
    </row>
    <row r="7" spans="2:16" x14ac:dyDescent="0.3">
      <c r="B7" s="4"/>
      <c r="C7" s="78" t="s">
        <v>50</v>
      </c>
      <c r="D7" s="78" t="s">
        <v>54</v>
      </c>
      <c r="E7" s="78" t="s">
        <v>55</v>
      </c>
      <c r="F7" s="78" t="s">
        <v>56</v>
      </c>
      <c r="G7" s="78" t="s">
        <v>57</v>
      </c>
      <c r="H7" s="78" t="s">
        <v>52</v>
      </c>
      <c r="J7" s="4"/>
      <c r="K7" s="78" t="s">
        <v>50</v>
      </c>
      <c r="L7" s="78" t="s">
        <v>54</v>
      </c>
      <c r="M7" s="78" t="s">
        <v>55</v>
      </c>
      <c r="N7" s="78" t="s">
        <v>56</v>
      </c>
      <c r="O7" s="78" t="s">
        <v>57</v>
      </c>
      <c r="P7" s="78" t="s">
        <v>52</v>
      </c>
    </row>
    <row r="8" spans="2:16" x14ac:dyDescent="0.3">
      <c r="B8" s="4"/>
      <c r="C8" s="4">
        <v>2021</v>
      </c>
      <c r="D8" s="3">
        <f>+SUM('Bio -Methanation- Aurangabad'!F5:F16)</f>
        <v>95.6</v>
      </c>
      <c r="E8" s="3">
        <f>SUM('Bio -Methanation- Aurangabad'!H5:H13)/1000*'Default Values'!$C$29*'Default Values'!$C$12</f>
        <v>0</v>
      </c>
      <c r="F8" s="6">
        <f>SUM('Bio -Methanation- Aurangabad'!I5:I16)*'Default Values'!$C$28</f>
        <v>0</v>
      </c>
      <c r="G8" s="111">
        <f>D8*'Default Values'!$C$22*'Default Values'!$C$5</f>
        <v>74.950400000000002</v>
      </c>
      <c r="H8" s="24">
        <f>ROUNDUP(SUM(E8:G8),0)</f>
        <v>75</v>
      </c>
      <c r="J8" s="4"/>
      <c r="K8" s="4">
        <v>2021</v>
      </c>
      <c r="L8" s="3">
        <f>+SUM('Bio - Methaanation - Tirupati'!F6:F17)</f>
        <v>134.25500000000002</v>
      </c>
      <c r="M8" s="3">
        <f>SUM('Bio - Methaanation - Tirupati'!H6:H14)/1000*'Default Values'!$C$29*'Default Values'!$C$12</f>
        <v>0</v>
      </c>
      <c r="N8" s="6">
        <f>SUM('Bio - Methaanation - Tirupati'!I6:I17)*'Default Values'!$C$28</f>
        <v>0</v>
      </c>
      <c r="O8" s="111">
        <f>L8*'Default Values'!$C$22*'Default Values'!$C$5</f>
        <v>105.25592000000002</v>
      </c>
      <c r="P8" s="24">
        <f>ROUNDUP(SUM(M8:O8),0)</f>
        <v>106</v>
      </c>
    </row>
    <row r="9" spans="2:16" x14ac:dyDescent="0.3">
      <c r="E9" s="56"/>
      <c r="F9" s="58"/>
      <c r="G9" s="59"/>
      <c r="H9" s="57"/>
      <c r="L9" s="56"/>
      <c r="M9" s="56"/>
      <c r="N9" s="58"/>
      <c r="O9" s="59"/>
      <c r="P9" s="57"/>
    </row>
    <row r="10" spans="2:16" x14ac:dyDescent="0.3">
      <c r="B10" s="36" t="s">
        <v>72</v>
      </c>
      <c r="C10" s="36"/>
      <c r="D10" s="36"/>
      <c r="E10" s="4"/>
      <c r="F10" s="4"/>
      <c r="G10" s="4"/>
      <c r="H10" s="16"/>
      <c r="J10" s="36" t="s">
        <v>80</v>
      </c>
      <c r="K10" s="36"/>
      <c r="L10" s="36"/>
      <c r="M10" s="4"/>
      <c r="N10" s="4"/>
      <c r="O10" s="4"/>
      <c r="P10" s="16"/>
    </row>
    <row r="11" spans="2:16" x14ac:dyDescent="0.3">
      <c r="B11" s="32"/>
      <c r="C11" s="78" t="s">
        <v>50</v>
      </c>
      <c r="D11" s="78"/>
      <c r="E11" s="78" t="s">
        <v>52</v>
      </c>
      <c r="F11" s="78"/>
      <c r="G11" s="78"/>
      <c r="H11" s="78" t="s">
        <v>53</v>
      </c>
      <c r="J11" s="32"/>
      <c r="K11" s="78" t="s">
        <v>50</v>
      </c>
      <c r="L11" s="78"/>
      <c r="M11" s="78" t="s">
        <v>52</v>
      </c>
      <c r="N11" s="78"/>
      <c r="O11" s="78"/>
      <c r="P11" s="78" t="s">
        <v>53</v>
      </c>
    </row>
    <row r="12" spans="2:16" x14ac:dyDescent="0.3">
      <c r="B12" s="4"/>
      <c r="C12" s="4">
        <v>2021</v>
      </c>
      <c r="D12" s="3">
        <v>0</v>
      </c>
      <c r="E12" s="3">
        <f>H15</f>
        <v>6</v>
      </c>
      <c r="F12" s="4"/>
      <c r="G12" s="4"/>
      <c r="H12" s="24">
        <f>SUM(D12:E12)</f>
        <v>6</v>
      </c>
      <c r="J12" s="4"/>
      <c r="K12" s="4">
        <v>2021</v>
      </c>
      <c r="L12" s="3">
        <v>0</v>
      </c>
      <c r="M12" s="3">
        <f>P15</f>
        <v>24</v>
      </c>
      <c r="N12" s="4"/>
      <c r="O12" s="4"/>
      <c r="P12" s="24">
        <f>SUM(L12:M12)</f>
        <v>24</v>
      </c>
    </row>
    <row r="13" spans="2:16" x14ac:dyDescent="0.3">
      <c r="B13" s="4"/>
      <c r="C13" s="4"/>
      <c r="D13" s="4"/>
      <c r="E13" s="4"/>
      <c r="F13" s="4"/>
      <c r="G13" s="4"/>
      <c r="H13" s="16"/>
      <c r="J13" s="4"/>
      <c r="K13" s="4"/>
      <c r="L13" s="4"/>
      <c r="M13" s="4"/>
      <c r="N13" s="4"/>
      <c r="O13" s="4"/>
      <c r="P13" s="16"/>
    </row>
    <row r="14" spans="2:16" x14ac:dyDescent="0.3">
      <c r="B14" s="4"/>
      <c r="C14" s="78" t="s">
        <v>50</v>
      </c>
      <c r="D14" s="78" t="s">
        <v>54</v>
      </c>
      <c r="E14" s="78" t="s">
        <v>55</v>
      </c>
      <c r="F14" s="78" t="s">
        <v>56</v>
      </c>
      <c r="G14" s="78" t="s">
        <v>57</v>
      </c>
      <c r="H14" s="78" t="s">
        <v>52</v>
      </c>
      <c r="J14" s="4"/>
      <c r="K14" s="78" t="s">
        <v>50</v>
      </c>
      <c r="L14" s="78" t="s">
        <v>54</v>
      </c>
      <c r="M14" s="78" t="s">
        <v>55</v>
      </c>
      <c r="N14" s="78" t="s">
        <v>56</v>
      </c>
      <c r="O14" s="78" t="s">
        <v>57</v>
      </c>
      <c r="P14" s="78" t="s">
        <v>52</v>
      </c>
    </row>
    <row r="15" spans="2:16" x14ac:dyDescent="0.3">
      <c r="B15" s="4"/>
      <c r="C15" s="4">
        <v>2021</v>
      </c>
      <c r="D15" s="3">
        <f>+SUM('Bio - Methanation - Adoni'!F5:F16)</f>
        <v>7.14</v>
      </c>
      <c r="E15" s="3">
        <f>SUM('Bio - Methanation - Adoni'!H5:H13)/1000*'Default Values'!$C$29*'Default Values'!$C$12</f>
        <v>0</v>
      </c>
      <c r="F15" s="6">
        <f>SUM('Bio - Methanation - Adoni'!I5:I16)*'Default Values'!$C$28</f>
        <v>0</v>
      </c>
      <c r="G15" s="111">
        <f>D15*'Default Values'!$C$22*'Default Values'!$C$5</f>
        <v>5.5977599999999992</v>
      </c>
      <c r="H15" s="24">
        <f>ROUNDUP(SUM(E15:G15),0)</f>
        <v>6</v>
      </c>
      <c r="J15" s="4"/>
      <c r="K15" s="4">
        <v>2021</v>
      </c>
      <c r="L15" s="3">
        <f>+SUM('Bio-Methanation - Piduguralla'!F5:F16)</f>
        <v>29.344999999999999</v>
      </c>
      <c r="M15" s="3">
        <f>SUM('Bio-Methanation - Piduguralla'!H5:H13)/1000*'Default Values'!$C$29*'Default Values'!$C$12</f>
        <v>0</v>
      </c>
      <c r="N15" s="6">
        <f>SUM('Bio-Methanation - Piduguralla'!I5:I16)*'Default Values'!$C$28</f>
        <v>0</v>
      </c>
      <c r="O15" s="111">
        <f>L15*'Default Values'!$C$22*'Default Values'!$C$5</f>
        <v>23.00648</v>
      </c>
      <c r="P15" s="24">
        <f>ROUNDUP(SUM(M15:O15),0)</f>
        <v>24</v>
      </c>
    </row>
    <row r="18" spans="7:7" x14ac:dyDescent="0.3">
      <c r="G18" s="56"/>
    </row>
  </sheetData>
  <pageMargins left="0.7" right="0.7" top="0.75" bottom="0.75" header="0.3" footer="0.3"/>
  <ignoredErrors>
    <ignoredError sqref="E8 M8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zoomScale="85" zoomScaleNormal="85" workbookViewId="0">
      <pane ySplit="4" topLeftCell="A5" activePane="bottomLeft" state="frozen"/>
      <selection pane="bottomLeft" activeCell="I3" sqref="I3"/>
    </sheetView>
  </sheetViews>
  <sheetFormatPr defaultColWidth="9.109375" defaultRowHeight="14.4" x14ac:dyDescent="0.3"/>
  <cols>
    <col min="1" max="3" width="9.109375" style="2"/>
    <col min="4" max="4" width="25.33203125" style="2" bestFit="1" customWidth="1"/>
    <col min="5" max="5" width="17.109375" style="2" customWidth="1"/>
    <col min="6" max="6" width="15.109375" style="2" customWidth="1"/>
    <col min="7" max="7" width="16.33203125" style="2" customWidth="1"/>
    <col min="8" max="8" width="25" style="2" customWidth="1"/>
    <col min="9" max="9" width="18.44140625" style="2" customWidth="1"/>
    <col min="10" max="10" width="9.109375" style="2"/>
    <col min="11" max="11" width="32.109375" style="2" bestFit="1" customWidth="1"/>
    <col min="12" max="16384" width="9.109375" style="2"/>
  </cols>
  <sheetData>
    <row r="1" spans="1:9" x14ac:dyDescent="0.3">
      <c r="A1" s="5" t="s">
        <v>90</v>
      </c>
    </row>
    <row r="3" spans="1:9" ht="41.4" x14ac:dyDescent="0.3">
      <c r="B3" s="60" t="s">
        <v>58</v>
      </c>
      <c r="C3" s="60" t="s">
        <v>59</v>
      </c>
      <c r="D3" s="61" t="s">
        <v>60</v>
      </c>
      <c r="E3" s="61" t="s">
        <v>93</v>
      </c>
      <c r="F3" s="61" t="s">
        <v>61</v>
      </c>
      <c r="G3" s="61" t="s">
        <v>62</v>
      </c>
      <c r="H3" s="61" t="s">
        <v>63</v>
      </c>
      <c r="I3" s="61" t="s">
        <v>64</v>
      </c>
    </row>
    <row r="4" spans="1:9" ht="16.5" customHeight="1" x14ac:dyDescent="0.3">
      <c r="B4" s="62"/>
      <c r="C4" s="62"/>
      <c r="D4" s="62"/>
      <c r="E4" s="62"/>
      <c r="F4" s="62" t="s">
        <v>65</v>
      </c>
      <c r="G4" s="62" t="s">
        <v>65</v>
      </c>
      <c r="H4" s="62" t="s">
        <v>66</v>
      </c>
      <c r="I4" s="63"/>
    </row>
    <row r="5" spans="1:9" x14ac:dyDescent="0.3">
      <c r="B5" s="32">
        <v>1</v>
      </c>
      <c r="C5" s="34">
        <v>44227</v>
      </c>
      <c r="D5" s="10">
        <v>535.6</v>
      </c>
      <c r="E5" s="9">
        <f>+F5/('Default Values'!$C$18*'Default Values'!$C$19)</f>
        <v>23905.472636815917</v>
      </c>
      <c r="F5" s="9">
        <v>9.61</v>
      </c>
      <c r="G5" s="10">
        <v>25</v>
      </c>
      <c r="H5" s="37">
        <v>27998</v>
      </c>
      <c r="I5" s="116">
        <v>0</v>
      </c>
    </row>
    <row r="6" spans="1:9" x14ac:dyDescent="0.3">
      <c r="B6" s="32">
        <v>2</v>
      </c>
      <c r="C6" s="34">
        <v>44255</v>
      </c>
      <c r="D6" s="10">
        <v>348.2</v>
      </c>
      <c r="E6" s="9">
        <f>+F6/('Default Values'!$C$18*'Default Values'!$C$19)</f>
        <v>23905.472636815917</v>
      </c>
      <c r="F6" s="9">
        <v>9.61</v>
      </c>
      <c r="G6" s="10">
        <v>39</v>
      </c>
      <c r="H6" s="37">
        <v>23643</v>
      </c>
      <c r="I6" s="116">
        <v>0</v>
      </c>
    </row>
    <row r="7" spans="1:9" x14ac:dyDescent="0.3">
      <c r="B7" s="32">
        <v>3</v>
      </c>
      <c r="C7" s="34">
        <v>44286</v>
      </c>
      <c r="D7" s="10">
        <v>471</v>
      </c>
      <c r="E7" s="9">
        <f>+F7/('Default Values'!$C$18*'Default Values'!$C$19)</f>
        <v>19651.741293532337</v>
      </c>
      <c r="F7" s="9">
        <v>7.9</v>
      </c>
      <c r="G7" s="10">
        <v>30</v>
      </c>
      <c r="H7" s="37">
        <v>26527</v>
      </c>
      <c r="I7" s="116">
        <v>0</v>
      </c>
    </row>
    <row r="8" spans="1:9" x14ac:dyDescent="0.3">
      <c r="B8" s="32">
        <v>4</v>
      </c>
      <c r="C8" s="34">
        <v>44316</v>
      </c>
      <c r="D8" s="10">
        <v>306</v>
      </c>
      <c r="E8" s="9">
        <f>+F8/('Default Values'!$C$18*'Default Values'!$C$19)</f>
        <v>14079.60199004975</v>
      </c>
      <c r="F8" s="9">
        <v>5.66</v>
      </c>
      <c r="G8" s="10">
        <v>30</v>
      </c>
      <c r="H8" s="37">
        <v>23538</v>
      </c>
      <c r="I8" s="116">
        <v>0</v>
      </c>
    </row>
    <row r="9" spans="1:9" x14ac:dyDescent="0.3">
      <c r="B9" s="32">
        <v>5</v>
      </c>
      <c r="C9" s="34">
        <v>44347</v>
      </c>
      <c r="D9" s="10">
        <v>239</v>
      </c>
      <c r="E9" s="9">
        <f>+F9/('Default Values'!$C$18*'Default Values'!$C$19)</f>
        <v>10646.766169154229</v>
      </c>
      <c r="F9" s="9">
        <v>4.28</v>
      </c>
      <c r="G9" s="10">
        <v>20</v>
      </c>
      <c r="H9" s="37">
        <v>18550</v>
      </c>
      <c r="I9" s="116">
        <v>0</v>
      </c>
    </row>
    <row r="10" spans="1:9" x14ac:dyDescent="0.3">
      <c r="B10" s="32">
        <v>6</v>
      </c>
      <c r="C10" s="34">
        <v>44377</v>
      </c>
      <c r="D10" s="10">
        <v>362</v>
      </c>
      <c r="E10" s="9">
        <f>+F10/('Default Values'!$C$18*'Default Values'!$C$19)</f>
        <v>13383.084577114427</v>
      </c>
      <c r="F10" s="9">
        <v>5.38</v>
      </c>
      <c r="G10" s="10">
        <v>0</v>
      </c>
      <c r="H10" s="37">
        <v>14053</v>
      </c>
      <c r="I10" s="116">
        <v>0</v>
      </c>
    </row>
    <row r="11" spans="1:9" x14ac:dyDescent="0.3">
      <c r="B11" s="32">
        <v>7</v>
      </c>
      <c r="C11" s="34">
        <v>44408</v>
      </c>
      <c r="D11" s="10">
        <v>369</v>
      </c>
      <c r="E11" s="9">
        <f>+F11/('Default Values'!$C$18*'Default Values'!$C$19)</f>
        <v>12437.810945273632</v>
      </c>
      <c r="F11" s="9">
        <v>5</v>
      </c>
      <c r="G11" s="10">
        <v>14</v>
      </c>
      <c r="H11" s="37">
        <v>20610</v>
      </c>
      <c r="I11" s="116">
        <v>0</v>
      </c>
    </row>
    <row r="12" spans="1:9" x14ac:dyDescent="0.3">
      <c r="B12" s="32">
        <v>8</v>
      </c>
      <c r="C12" s="34">
        <v>44439</v>
      </c>
      <c r="D12" s="10">
        <v>387</v>
      </c>
      <c r="E12" s="9">
        <f>+F12/('Default Values'!$C$18*'Default Values'!$C$19)</f>
        <v>28706.467661691539</v>
      </c>
      <c r="F12" s="9">
        <v>11.54</v>
      </c>
      <c r="G12" s="10">
        <v>17</v>
      </c>
      <c r="H12" s="37">
        <v>32915</v>
      </c>
      <c r="I12" s="116">
        <v>0</v>
      </c>
    </row>
    <row r="13" spans="1:9" x14ac:dyDescent="0.3">
      <c r="B13" s="32">
        <v>9</v>
      </c>
      <c r="C13" s="34">
        <v>44469</v>
      </c>
      <c r="D13" s="10">
        <v>444</v>
      </c>
      <c r="E13" s="9">
        <f>+F13/('Default Values'!$C$18*'Default Values'!$C$19)</f>
        <v>23880.59701492537</v>
      </c>
      <c r="F13" s="9">
        <v>9.6</v>
      </c>
      <c r="G13" s="10">
        <v>21</v>
      </c>
      <c r="H13" s="37">
        <v>30270</v>
      </c>
      <c r="I13" s="116">
        <v>0</v>
      </c>
    </row>
    <row r="14" spans="1:9" x14ac:dyDescent="0.3">
      <c r="B14" s="32">
        <v>10</v>
      </c>
      <c r="C14" s="34">
        <v>44500</v>
      </c>
      <c r="D14" s="116">
        <v>403</v>
      </c>
      <c r="E14" s="9">
        <f>+F14/('Default Values'!$C$18*'Default Values'!$C$19)</f>
        <v>22388.059701492537</v>
      </c>
      <c r="F14" s="9">
        <v>9</v>
      </c>
      <c r="G14" s="10">
        <v>0</v>
      </c>
      <c r="H14" s="37">
        <v>23260</v>
      </c>
      <c r="I14" s="116">
        <v>0</v>
      </c>
    </row>
    <row r="15" spans="1:9" x14ac:dyDescent="0.3">
      <c r="B15" s="32">
        <v>11</v>
      </c>
      <c r="C15" s="34">
        <v>44530</v>
      </c>
      <c r="D15" s="116">
        <v>408</v>
      </c>
      <c r="E15" s="9">
        <f>+F15/('Default Values'!$C$18*'Default Values'!$C$19)</f>
        <v>19950.248756218905</v>
      </c>
      <c r="F15" s="9">
        <v>8.02</v>
      </c>
      <c r="G15" s="10">
        <v>25</v>
      </c>
      <c r="H15" s="37">
        <v>22755</v>
      </c>
      <c r="I15" s="116">
        <v>0</v>
      </c>
    </row>
    <row r="16" spans="1:9" x14ac:dyDescent="0.3">
      <c r="B16" s="32">
        <v>12</v>
      </c>
      <c r="C16" s="34">
        <v>44561</v>
      </c>
      <c r="D16" s="54">
        <f>326.13+129.02</f>
        <v>455.15</v>
      </c>
      <c r="E16" s="9">
        <f>+F16/('Default Values'!$C$18*'Default Values'!$C$19)</f>
        <v>24875.621890547263</v>
      </c>
      <c r="F16" s="9">
        <v>10</v>
      </c>
      <c r="G16" s="10">
        <v>20</v>
      </c>
      <c r="H16" s="37">
        <v>30323</v>
      </c>
      <c r="I16" s="116">
        <v>0</v>
      </c>
    </row>
    <row r="17" spans="2:9" x14ac:dyDescent="0.3">
      <c r="B17" s="65" t="s">
        <v>8</v>
      </c>
      <c r="C17" s="65"/>
      <c r="D17" s="66">
        <f t="shared" ref="D17:I17" si="0">+SUM(D5:D16)</f>
        <v>4727.95</v>
      </c>
      <c r="E17" s="66">
        <f t="shared" si="0"/>
        <v>237810.94527363183</v>
      </c>
      <c r="F17" s="66">
        <f t="shared" si="0"/>
        <v>95.6</v>
      </c>
      <c r="G17" s="66">
        <f t="shared" si="0"/>
        <v>241</v>
      </c>
      <c r="H17" s="66">
        <f>+SUM(H5:H16)</f>
        <v>294442</v>
      </c>
      <c r="I17" s="66">
        <f t="shared" si="0"/>
        <v>0</v>
      </c>
    </row>
  </sheetData>
  <pageMargins left="0.7" right="0.7" top="0.75" bottom="0.75" header="0.3" footer="0.3"/>
  <pageSetup paperSize="9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workbookViewId="0">
      <pane ySplit="4" topLeftCell="A5" activePane="bottomLeft" state="frozen"/>
      <selection pane="bottomLeft" activeCell="I3" sqref="I3"/>
    </sheetView>
  </sheetViews>
  <sheetFormatPr defaultColWidth="9.109375" defaultRowHeight="14.4" x14ac:dyDescent="0.3"/>
  <cols>
    <col min="1" max="3" width="9.109375" style="2"/>
    <col min="4" max="4" width="25.33203125" style="2" bestFit="1" customWidth="1"/>
    <col min="5" max="5" width="25.33203125" style="2" customWidth="1"/>
    <col min="6" max="6" width="15.77734375" style="2" bestFit="1" customWidth="1"/>
    <col min="7" max="7" width="15.33203125" style="2" customWidth="1"/>
    <col min="8" max="8" width="15.6640625" style="2" customWidth="1"/>
    <col min="9" max="9" width="17.77734375" style="2" bestFit="1" customWidth="1"/>
    <col min="10" max="10" width="9.109375" style="2"/>
    <col min="11" max="11" width="10.6640625" style="2" customWidth="1"/>
    <col min="12" max="16384" width="9.109375" style="2"/>
  </cols>
  <sheetData>
    <row r="1" spans="1:9" x14ac:dyDescent="0.3">
      <c r="A1" s="5" t="s">
        <v>79</v>
      </c>
    </row>
    <row r="3" spans="1:9" ht="41.4" x14ac:dyDescent="0.3">
      <c r="B3" s="68" t="s">
        <v>58</v>
      </c>
      <c r="C3" s="68" t="s">
        <v>59</v>
      </c>
      <c r="D3" s="69" t="s">
        <v>60</v>
      </c>
      <c r="E3" s="61" t="s">
        <v>93</v>
      </c>
      <c r="F3" s="69" t="s">
        <v>61</v>
      </c>
      <c r="G3" s="69" t="s">
        <v>62</v>
      </c>
      <c r="H3" s="69" t="s">
        <v>63</v>
      </c>
      <c r="I3" s="69" t="s">
        <v>64</v>
      </c>
    </row>
    <row r="4" spans="1:9" x14ac:dyDescent="0.3">
      <c r="B4" s="68"/>
      <c r="C4" s="68"/>
      <c r="D4" s="68" t="s">
        <v>75</v>
      </c>
      <c r="E4" s="68"/>
      <c r="F4" s="68" t="s">
        <v>76</v>
      </c>
      <c r="G4" s="68" t="s">
        <v>76</v>
      </c>
      <c r="H4" s="68" t="s">
        <v>77</v>
      </c>
      <c r="I4" s="69" t="s">
        <v>78</v>
      </c>
    </row>
    <row r="5" spans="1:9" x14ac:dyDescent="0.3">
      <c r="B5" s="33">
        <v>1</v>
      </c>
      <c r="C5" s="34">
        <v>44197</v>
      </c>
      <c r="D5" s="9">
        <v>556.96500000000003</v>
      </c>
      <c r="E5" s="9">
        <f>+F5/('Default Values'!$C$18*'Default Values'!$C$19)</f>
        <v>621.89054726368158</v>
      </c>
      <c r="F5" s="64">
        <v>0.25</v>
      </c>
      <c r="G5" s="10">
        <v>122.51</v>
      </c>
      <c r="H5" s="32">
        <v>4185</v>
      </c>
      <c r="I5" s="9">
        <v>0</v>
      </c>
    </row>
    <row r="6" spans="1:9" x14ac:dyDescent="0.3">
      <c r="B6" s="33">
        <v>2</v>
      </c>
      <c r="C6" s="34">
        <v>44228</v>
      </c>
      <c r="D6" s="9">
        <v>357.32499999999999</v>
      </c>
      <c r="E6" s="9">
        <f>+F6/('Default Values'!$C$18*'Default Values'!$C$19)</f>
        <v>1741.2935323383083</v>
      </c>
      <c r="F6" s="64">
        <v>0.7</v>
      </c>
      <c r="G6" s="10">
        <v>121.04</v>
      </c>
      <c r="H6" s="32">
        <v>3568</v>
      </c>
      <c r="I6" s="9">
        <v>0</v>
      </c>
    </row>
    <row r="7" spans="1:9" x14ac:dyDescent="0.3">
      <c r="B7" s="33">
        <v>3</v>
      </c>
      <c r="C7" s="34">
        <v>44256</v>
      </c>
      <c r="D7" s="9">
        <v>389</v>
      </c>
      <c r="E7" s="9">
        <f>+F7/('Default Values'!$C$18*'Default Values'!$C$19)</f>
        <v>1243.7810945273632</v>
      </c>
      <c r="F7" s="64">
        <v>0.5</v>
      </c>
      <c r="G7" s="10">
        <v>120.06</v>
      </c>
      <c r="H7" s="32">
        <v>4412</v>
      </c>
      <c r="I7" s="9">
        <v>0</v>
      </c>
    </row>
    <row r="8" spans="1:9" x14ac:dyDescent="0.3">
      <c r="B8" s="33">
        <v>4</v>
      </c>
      <c r="C8" s="34">
        <v>44287</v>
      </c>
      <c r="D8" s="9">
        <v>377</v>
      </c>
      <c r="E8" s="9">
        <f>+F8/('Default Values'!$C$18*'Default Values'!$C$19)</f>
        <v>1741.2935323383083</v>
      </c>
      <c r="F8" s="64">
        <v>0.7</v>
      </c>
      <c r="G8" s="10">
        <v>127</v>
      </c>
      <c r="H8" s="32">
        <v>3488</v>
      </c>
      <c r="I8" s="9">
        <v>0</v>
      </c>
    </row>
    <row r="9" spans="1:9" x14ac:dyDescent="0.3">
      <c r="B9" s="33">
        <v>5</v>
      </c>
      <c r="C9" s="34">
        <v>44317</v>
      </c>
      <c r="D9" s="9">
        <v>379</v>
      </c>
      <c r="E9" s="9">
        <f>+F9/('Default Values'!$C$18*'Default Values'!$C$19)</f>
        <v>1492.5373134328356</v>
      </c>
      <c r="F9" s="64">
        <v>0.6</v>
      </c>
      <c r="G9" s="10">
        <v>129</v>
      </c>
      <c r="H9" s="32">
        <v>4153</v>
      </c>
      <c r="I9" s="9">
        <v>0</v>
      </c>
    </row>
    <row r="10" spans="1:9" x14ac:dyDescent="0.3">
      <c r="B10" s="33">
        <v>6</v>
      </c>
      <c r="C10" s="34">
        <v>44348</v>
      </c>
      <c r="D10" s="9">
        <v>373</v>
      </c>
      <c r="E10" s="9">
        <f>+F10/('Default Values'!$C$18*'Default Values'!$C$19)</f>
        <v>1741.2935323383083</v>
      </c>
      <c r="F10" s="64">
        <v>0.7</v>
      </c>
      <c r="G10" s="10">
        <v>135</v>
      </c>
      <c r="H10" s="32">
        <v>4089</v>
      </c>
      <c r="I10" s="9">
        <v>0</v>
      </c>
    </row>
    <row r="11" spans="1:9" x14ac:dyDescent="0.3">
      <c r="B11" s="33">
        <v>7</v>
      </c>
      <c r="C11" s="34">
        <v>44378</v>
      </c>
      <c r="D11" s="9">
        <v>364</v>
      </c>
      <c r="E11" s="9">
        <f>+F11/('Default Values'!$C$18*'Default Values'!$C$19)</f>
        <v>1990.0497512437812</v>
      </c>
      <c r="F11" s="64">
        <v>0.8</v>
      </c>
      <c r="G11" s="10">
        <v>113</v>
      </c>
      <c r="H11" s="32">
        <v>3416</v>
      </c>
      <c r="I11" s="9">
        <v>0</v>
      </c>
    </row>
    <row r="12" spans="1:9" x14ac:dyDescent="0.3">
      <c r="B12" s="33">
        <v>8</v>
      </c>
      <c r="C12" s="34">
        <v>44409</v>
      </c>
      <c r="D12" s="9">
        <v>367</v>
      </c>
      <c r="E12" s="9">
        <f>+F12/('Default Values'!$C$18*'Default Values'!$C$19)</f>
        <v>1741.2935323383083</v>
      </c>
      <c r="F12" s="64">
        <v>0.7</v>
      </c>
      <c r="G12" s="10">
        <v>120</v>
      </c>
      <c r="H12" s="32">
        <v>4277</v>
      </c>
      <c r="I12" s="9">
        <v>0</v>
      </c>
    </row>
    <row r="13" spans="1:9" x14ac:dyDescent="0.3">
      <c r="B13" s="33">
        <v>9</v>
      </c>
      <c r="C13" s="34">
        <v>44440</v>
      </c>
      <c r="D13" s="9">
        <v>311</v>
      </c>
      <c r="E13" s="9">
        <f>+F13/('Default Values'!$C$18*'Default Values'!$C$19)</f>
        <v>1119.4029850746269</v>
      </c>
      <c r="F13" s="64">
        <v>0.45</v>
      </c>
      <c r="G13" s="10">
        <v>125</v>
      </c>
      <c r="H13" s="32">
        <v>4258</v>
      </c>
      <c r="I13" s="9">
        <v>0</v>
      </c>
    </row>
    <row r="14" spans="1:9" x14ac:dyDescent="0.3">
      <c r="B14" s="33">
        <v>10</v>
      </c>
      <c r="C14" s="34">
        <v>44470</v>
      </c>
      <c r="D14" s="9">
        <v>398</v>
      </c>
      <c r="E14" s="9">
        <f>+F14/('Default Values'!$C$18*'Default Values'!$C$19)</f>
        <v>1368.1592039800996</v>
      </c>
      <c r="F14" s="53">
        <v>0.55000000000000004</v>
      </c>
      <c r="G14" s="9">
        <v>95.4</v>
      </c>
      <c r="H14" s="32">
        <v>3879</v>
      </c>
      <c r="I14" s="9">
        <v>0</v>
      </c>
    </row>
    <row r="15" spans="1:9" x14ac:dyDescent="0.3">
      <c r="B15" s="33">
        <v>11</v>
      </c>
      <c r="C15" s="34">
        <v>44501</v>
      </c>
      <c r="D15" s="9">
        <v>386</v>
      </c>
      <c r="E15" s="9">
        <f>+F15/('Default Values'!$C$18*'Default Values'!$C$19)</f>
        <v>1467.6616915422885</v>
      </c>
      <c r="F15" s="53">
        <v>0.59</v>
      </c>
      <c r="G15" s="9">
        <v>120</v>
      </c>
      <c r="H15" s="32">
        <v>4917</v>
      </c>
      <c r="I15" s="9">
        <v>0</v>
      </c>
    </row>
    <row r="16" spans="1:9" x14ac:dyDescent="0.3">
      <c r="B16" s="33">
        <v>12</v>
      </c>
      <c r="C16" s="34">
        <v>44531</v>
      </c>
      <c r="D16" s="9">
        <v>369.52</v>
      </c>
      <c r="E16" s="9">
        <f>+F16/('Default Values'!$C$18*'Default Values'!$C$19)</f>
        <v>1492.5373134328356</v>
      </c>
      <c r="F16" s="53">
        <v>0.6</v>
      </c>
      <c r="G16" s="9">
        <v>110</v>
      </c>
      <c r="H16" s="32">
        <v>3782</v>
      </c>
      <c r="I16" s="9">
        <v>0</v>
      </c>
    </row>
    <row r="17" spans="2:9" x14ac:dyDescent="0.3">
      <c r="B17" s="70"/>
      <c r="C17" s="67" t="s">
        <v>8</v>
      </c>
      <c r="D17" s="66">
        <f t="shared" ref="D17:I17" si="0">+SUM(D5:D16)</f>
        <v>4627.8099999999995</v>
      </c>
      <c r="E17" s="66">
        <f t="shared" si="0"/>
        <v>17761.194029850747</v>
      </c>
      <c r="F17" s="66">
        <f t="shared" si="0"/>
        <v>7.14</v>
      </c>
      <c r="G17" s="66">
        <f t="shared" si="0"/>
        <v>1438.0100000000002</v>
      </c>
      <c r="H17" s="66">
        <f t="shared" si="0"/>
        <v>48424</v>
      </c>
      <c r="I17" s="66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8"/>
  <sheetViews>
    <sheetView workbookViewId="0">
      <pane ySplit="5" topLeftCell="A6" activePane="bottomLeft" state="frozen"/>
      <selection pane="bottomLeft" activeCell="I4" sqref="I4"/>
    </sheetView>
  </sheetViews>
  <sheetFormatPr defaultColWidth="9.109375" defaultRowHeight="14.4" x14ac:dyDescent="0.3"/>
  <cols>
    <col min="1" max="2" width="9.109375" style="2"/>
    <col min="3" max="3" width="21.33203125" style="2" customWidth="1"/>
    <col min="4" max="5" width="18" style="2" customWidth="1"/>
    <col min="6" max="6" width="14" style="2" customWidth="1"/>
    <col min="7" max="7" width="14.6640625" style="2" customWidth="1"/>
    <col min="8" max="8" width="12.44140625" style="2" customWidth="1"/>
    <col min="9" max="9" width="22.109375" style="2" customWidth="1"/>
    <col min="10" max="16384" width="9.109375" style="2"/>
  </cols>
  <sheetData>
    <row r="1" spans="1:9" x14ac:dyDescent="0.3">
      <c r="A1" s="5" t="s">
        <v>92</v>
      </c>
    </row>
    <row r="4" spans="1:9" ht="66.75" customHeight="1" x14ac:dyDescent="0.3">
      <c r="B4" s="71" t="s">
        <v>58</v>
      </c>
      <c r="C4" s="71" t="s">
        <v>59</v>
      </c>
      <c r="D4" s="71" t="s">
        <v>60</v>
      </c>
      <c r="E4" s="72" t="s">
        <v>93</v>
      </c>
      <c r="F4" s="71" t="s">
        <v>61</v>
      </c>
      <c r="G4" s="71" t="s">
        <v>62</v>
      </c>
      <c r="H4" s="71" t="s">
        <v>63</v>
      </c>
      <c r="I4" s="71" t="s">
        <v>64</v>
      </c>
    </row>
    <row r="5" spans="1:9" ht="23.25" customHeight="1" x14ac:dyDescent="0.3">
      <c r="B5" s="73"/>
      <c r="C5" s="73"/>
      <c r="D5" s="71" t="s">
        <v>75</v>
      </c>
      <c r="E5" s="71"/>
      <c r="F5" s="71" t="s">
        <v>76</v>
      </c>
      <c r="G5" s="71" t="s">
        <v>76</v>
      </c>
      <c r="H5" s="71" t="s">
        <v>77</v>
      </c>
      <c r="I5" s="71" t="s">
        <v>78</v>
      </c>
    </row>
    <row r="6" spans="1:9" x14ac:dyDescent="0.3">
      <c r="B6" s="8">
        <v>1</v>
      </c>
      <c r="C6" s="31">
        <v>44227</v>
      </c>
      <c r="D6" s="9">
        <v>909</v>
      </c>
      <c r="E6" s="9">
        <f>+F6/('Default Values'!$C$18*'Default Values'!$C$19)</f>
        <v>28606.965174129353</v>
      </c>
      <c r="F6" s="54">
        <v>11.5</v>
      </c>
      <c r="G6" s="116">
        <v>76.5</v>
      </c>
      <c r="H6" s="32">
        <v>20154</v>
      </c>
      <c r="I6" s="116">
        <v>0</v>
      </c>
    </row>
    <row r="7" spans="1:9" x14ac:dyDescent="0.3">
      <c r="B7" s="8">
        <v>2</v>
      </c>
      <c r="C7" s="31">
        <v>44255</v>
      </c>
      <c r="D7" s="9">
        <v>542.5</v>
      </c>
      <c r="E7" s="9">
        <f>+F7/('Default Values'!$C$18*'Default Values'!$C$19)</f>
        <v>30410.447761194027</v>
      </c>
      <c r="F7" s="54">
        <v>12.225</v>
      </c>
      <c r="G7" s="116">
        <v>100</v>
      </c>
      <c r="H7" s="32">
        <v>19516</v>
      </c>
      <c r="I7" s="116">
        <v>0</v>
      </c>
    </row>
    <row r="8" spans="1:9" x14ac:dyDescent="0.3">
      <c r="B8" s="8">
        <v>3</v>
      </c>
      <c r="C8" s="31">
        <v>44286</v>
      </c>
      <c r="D8" s="9">
        <v>796</v>
      </c>
      <c r="E8" s="9">
        <f>+F8/('Default Values'!$C$18*'Default Values'!$C$19)</f>
        <v>33084.577114427862</v>
      </c>
      <c r="F8" s="54">
        <v>13.3</v>
      </c>
      <c r="G8" s="116">
        <v>90</v>
      </c>
      <c r="H8" s="32">
        <v>23556</v>
      </c>
      <c r="I8" s="54">
        <v>0</v>
      </c>
    </row>
    <row r="9" spans="1:9" x14ac:dyDescent="0.3">
      <c r="B9" s="8">
        <v>4</v>
      </c>
      <c r="C9" s="31">
        <v>44316</v>
      </c>
      <c r="D9" s="9">
        <v>679</v>
      </c>
      <c r="E9" s="9">
        <f>+F9/('Default Values'!$C$18*'Default Values'!$C$19)</f>
        <v>31604.477611940296</v>
      </c>
      <c r="F9" s="54">
        <v>12.705</v>
      </c>
      <c r="G9" s="116">
        <v>40</v>
      </c>
      <c r="H9" s="32">
        <v>18574</v>
      </c>
      <c r="I9" s="54">
        <v>0</v>
      </c>
    </row>
    <row r="10" spans="1:9" x14ac:dyDescent="0.3">
      <c r="B10" s="8">
        <v>5</v>
      </c>
      <c r="C10" s="31">
        <v>44347</v>
      </c>
      <c r="D10" s="9">
        <v>523</v>
      </c>
      <c r="E10" s="9">
        <f>+F10/('Default Values'!$C$18*'Default Values'!$C$19)</f>
        <v>21952.736318407959</v>
      </c>
      <c r="F10" s="54">
        <v>8.8249999999999993</v>
      </c>
      <c r="G10" s="116">
        <v>70</v>
      </c>
      <c r="H10" s="32">
        <v>19254</v>
      </c>
      <c r="I10" s="54">
        <v>0</v>
      </c>
    </row>
    <row r="11" spans="1:9" x14ac:dyDescent="0.3">
      <c r="B11" s="8">
        <v>6</v>
      </c>
      <c r="C11" s="31">
        <v>44377</v>
      </c>
      <c r="D11" s="9">
        <v>387</v>
      </c>
      <c r="E11" s="9">
        <f>+F11/('Default Values'!$C$18*'Default Values'!$C$19)</f>
        <v>24875.621890547263</v>
      </c>
      <c r="F11" s="54">
        <v>10</v>
      </c>
      <c r="G11" s="116">
        <v>65</v>
      </c>
      <c r="H11" s="32">
        <v>16424</v>
      </c>
      <c r="I11" s="54">
        <v>0</v>
      </c>
    </row>
    <row r="12" spans="1:9" x14ac:dyDescent="0.3">
      <c r="B12" s="8">
        <v>7</v>
      </c>
      <c r="C12" s="31">
        <v>44408</v>
      </c>
      <c r="D12" s="9">
        <v>707</v>
      </c>
      <c r="E12" s="9">
        <f>+F12/('Default Values'!$C$18*'Default Values'!$C$19)</f>
        <v>33582.089552238802</v>
      </c>
      <c r="F12" s="54">
        <v>13.5</v>
      </c>
      <c r="G12" s="116">
        <v>35</v>
      </c>
      <c r="H12" s="32">
        <v>27578</v>
      </c>
      <c r="I12" s="54">
        <v>0</v>
      </c>
    </row>
    <row r="13" spans="1:9" x14ac:dyDescent="0.3">
      <c r="B13" s="8">
        <v>8</v>
      </c>
      <c r="C13" s="31">
        <v>44439</v>
      </c>
      <c r="D13" s="9">
        <v>421</v>
      </c>
      <c r="E13" s="9">
        <f>+F13/('Default Values'!$C$18*'Default Values'!$C$19)</f>
        <v>22388.059701492537</v>
      </c>
      <c r="F13" s="54">
        <v>9</v>
      </c>
      <c r="G13" s="116">
        <v>20</v>
      </c>
      <c r="H13" s="115">
        <v>17828</v>
      </c>
      <c r="I13" s="54">
        <v>0</v>
      </c>
    </row>
    <row r="14" spans="1:9" x14ac:dyDescent="0.3">
      <c r="B14" s="8">
        <v>9</v>
      </c>
      <c r="C14" s="31">
        <v>44469</v>
      </c>
      <c r="D14" s="54">
        <v>507</v>
      </c>
      <c r="E14" s="54">
        <f>+F14/('Default Values'!$C$18*'Default Values'!$C$19)</f>
        <v>22388.059701492537</v>
      </c>
      <c r="F14" s="54">
        <v>9</v>
      </c>
      <c r="G14" s="116">
        <v>40</v>
      </c>
      <c r="H14" s="115">
        <v>18712</v>
      </c>
      <c r="I14" s="54">
        <v>0</v>
      </c>
    </row>
    <row r="15" spans="1:9" x14ac:dyDescent="0.3">
      <c r="B15" s="8">
        <v>10</v>
      </c>
      <c r="C15" s="31">
        <v>44500</v>
      </c>
      <c r="D15" s="54">
        <v>403</v>
      </c>
      <c r="E15" s="54">
        <f>+F15/('Default Values'!$C$18*'Default Values'!$C$19)</f>
        <v>27114.427860696516</v>
      </c>
      <c r="F15" s="54">
        <v>10.9</v>
      </c>
      <c r="G15" s="116">
        <v>20</v>
      </c>
      <c r="H15" s="115">
        <v>27906</v>
      </c>
      <c r="I15" s="54">
        <v>0</v>
      </c>
    </row>
    <row r="16" spans="1:9" x14ac:dyDescent="0.3">
      <c r="B16" s="8">
        <v>11</v>
      </c>
      <c r="C16" s="31">
        <v>44530</v>
      </c>
      <c r="D16" s="54">
        <v>741</v>
      </c>
      <c r="E16" s="54">
        <f>+F16/('Default Values'!$C$18*'Default Values'!$C$19)</f>
        <v>29850.746268656716</v>
      </c>
      <c r="F16" s="54">
        <v>12</v>
      </c>
      <c r="G16" s="54">
        <v>20</v>
      </c>
      <c r="H16" s="115">
        <v>18746</v>
      </c>
      <c r="I16" s="54">
        <v>0</v>
      </c>
    </row>
    <row r="17" spans="2:9" x14ac:dyDescent="0.3">
      <c r="B17" s="8">
        <v>12</v>
      </c>
      <c r="C17" s="31">
        <v>44561</v>
      </c>
      <c r="D17" s="54">
        <f>433.6+246.4</f>
        <v>680</v>
      </c>
      <c r="E17" s="54">
        <f>+F17/('Default Values'!$C$18*'Default Values'!$C$19)</f>
        <v>28109.45273631841</v>
      </c>
      <c r="F17" s="54">
        <v>11.3</v>
      </c>
      <c r="G17" s="54">
        <v>10</v>
      </c>
      <c r="H17" s="115">
        <v>24228</v>
      </c>
      <c r="I17" s="54">
        <v>0</v>
      </c>
    </row>
    <row r="18" spans="2:9" x14ac:dyDescent="0.3">
      <c r="B18" s="74"/>
      <c r="C18" s="66" t="s">
        <v>8</v>
      </c>
      <c r="D18" s="66">
        <f t="shared" ref="D18:I18" si="0">+SUM(D6:D17)</f>
        <v>7295.5</v>
      </c>
      <c r="E18" s="66">
        <f t="shared" si="0"/>
        <v>333967.66169154231</v>
      </c>
      <c r="F18" s="66">
        <f t="shared" si="0"/>
        <v>134.25500000000002</v>
      </c>
      <c r="G18" s="66">
        <f t="shared" si="0"/>
        <v>586.5</v>
      </c>
      <c r="H18" s="66">
        <f t="shared" si="0"/>
        <v>252476</v>
      </c>
      <c r="I18" s="66">
        <f t="shared" si="0"/>
        <v>0</v>
      </c>
    </row>
  </sheetData>
  <pageMargins left="0.7" right="0.7" top="0.75" bottom="0.75" header="0.3" footer="0.3"/>
  <ignoredErrors>
    <ignoredError sqref="G18:I1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"/>
  <sheetViews>
    <sheetView zoomScale="90" zoomScaleNormal="90" workbookViewId="0">
      <pane ySplit="4" topLeftCell="A5" activePane="bottomLeft" state="frozen"/>
      <selection pane="bottomLeft" activeCell="I3" sqref="I3"/>
    </sheetView>
  </sheetViews>
  <sheetFormatPr defaultColWidth="9.109375" defaultRowHeight="14.4" x14ac:dyDescent="0.3"/>
  <cols>
    <col min="1" max="3" width="9.109375" style="2"/>
    <col min="4" max="4" width="28.77734375" style="2" customWidth="1"/>
    <col min="5" max="5" width="15.109375" style="2" customWidth="1"/>
    <col min="6" max="6" width="15.6640625" style="2" customWidth="1"/>
    <col min="7" max="7" width="16.44140625" style="2" customWidth="1"/>
    <col min="8" max="8" width="16.6640625" style="2" customWidth="1"/>
    <col min="9" max="9" width="21.77734375" style="2" customWidth="1"/>
    <col min="10" max="10" width="9.109375" style="2"/>
    <col min="11" max="11" width="10.6640625" style="2" customWidth="1"/>
    <col min="12" max="16384" width="9.109375" style="2"/>
  </cols>
  <sheetData>
    <row r="1" spans="1:9" x14ac:dyDescent="0.3">
      <c r="A1" s="5" t="s">
        <v>91</v>
      </c>
    </row>
    <row r="3" spans="1:9" ht="36" x14ac:dyDescent="0.3">
      <c r="B3" s="73" t="s">
        <v>58</v>
      </c>
      <c r="C3" s="73" t="s">
        <v>59</v>
      </c>
      <c r="D3" s="71" t="s">
        <v>60</v>
      </c>
      <c r="E3" s="71" t="s">
        <v>93</v>
      </c>
      <c r="F3" s="71" t="s">
        <v>61</v>
      </c>
      <c r="G3" s="71" t="s">
        <v>62</v>
      </c>
      <c r="H3" s="71" t="s">
        <v>63</v>
      </c>
      <c r="I3" s="71" t="s">
        <v>64</v>
      </c>
    </row>
    <row r="4" spans="1:9" x14ac:dyDescent="0.3">
      <c r="B4" s="73"/>
      <c r="C4" s="73"/>
      <c r="D4" s="73" t="s">
        <v>75</v>
      </c>
      <c r="E4" s="73"/>
      <c r="F4" s="73" t="s">
        <v>76</v>
      </c>
      <c r="G4" s="73" t="s">
        <v>76</v>
      </c>
      <c r="H4" s="73" t="s">
        <v>77</v>
      </c>
      <c r="I4" s="71" t="s">
        <v>78</v>
      </c>
    </row>
    <row r="5" spans="1:9" x14ac:dyDescent="0.3">
      <c r="B5" s="33">
        <v>1</v>
      </c>
      <c r="C5" s="31">
        <v>44227</v>
      </c>
      <c r="D5" s="37">
        <v>445.4</v>
      </c>
      <c r="E5" s="9">
        <f>+F5/('Default Values'!$C$18*'Default Values'!$C$19)</f>
        <v>4975.1243781094527</v>
      </c>
      <c r="F5" s="9">
        <v>2</v>
      </c>
      <c r="G5" s="54">
        <v>120.49</v>
      </c>
      <c r="H5" s="9">
        <v>7230</v>
      </c>
      <c r="I5" s="116">
        <v>0</v>
      </c>
    </row>
    <row r="6" spans="1:9" x14ac:dyDescent="0.3">
      <c r="B6" s="33">
        <v>2</v>
      </c>
      <c r="C6" s="31">
        <v>44255</v>
      </c>
      <c r="D6" s="37">
        <v>409.5</v>
      </c>
      <c r="E6" s="9">
        <f>+F6/('Default Values'!$C$18*'Default Values'!$C$19)</f>
        <v>5597.0149253731342</v>
      </c>
      <c r="F6" s="9">
        <v>2.25</v>
      </c>
      <c r="G6" s="54">
        <v>121.04</v>
      </c>
      <c r="H6" s="9">
        <v>7171</v>
      </c>
      <c r="I6" s="116">
        <v>0</v>
      </c>
    </row>
    <row r="7" spans="1:9" x14ac:dyDescent="0.3">
      <c r="B7" s="33">
        <v>3</v>
      </c>
      <c r="C7" s="31">
        <v>44286</v>
      </c>
      <c r="D7" s="37">
        <v>473</v>
      </c>
      <c r="E7" s="9">
        <f>+F7/('Default Values'!$C$18*'Default Values'!$C$19)</f>
        <v>7201.4925373134329</v>
      </c>
      <c r="F7" s="9">
        <v>2.895</v>
      </c>
      <c r="G7" s="54">
        <v>125.06</v>
      </c>
      <c r="H7" s="9">
        <v>9829</v>
      </c>
      <c r="I7" s="116">
        <v>0</v>
      </c>
    </row>
    <row r="8" spans="1:9" x14ac:dyDescent="0.3">
      <c r="B8" s="33">
        <v>4</v>
      </c>
      <c r="C8" s="31">
        <v>44316</v>
      </c>
      <c r="D8" s="37">
        <v>495</v>
      </c>
      <c r="E8" s="9">
        <f>+F8/('Default Values'!$C$18*'Default Values'!$C$19)</f>
        <v>9950.2487562189053</v>
      </c>
      <c r="F8" s="9">
        <v>4</v>
      </c>
      <c r="G8" s="54">
        <v>127</v>
      </c>
      <c r="H8" s="54">
        <v>7165</v>
      </c>
      <c r="I8" s="54">
        <v>0</v>
      </c>
    </row>
    <row r="9" spans="1:9" x14ac:dyDescent="0.3">
      <c r="B9" s="33">
        <v>5</v>
      </c>
      <c r="C9" s="31">
        <v>44347</v>
      </c>
      <c r="D9" s="37">
        <v>328</v>
      </c>
      <c r="E9" s="54">
        <f>+F9/('Default Values'!$C$18*'Default Values'!$C$19)</f>
        <v>6218.9054726368158</v>
      </c>
      <c r="F9" s="54">
        <v>2.5</v>
      </c>
      <c r="G9" s="54">
        <v>175</v>
      </c>
      <c r="H9" s="54">
        <v>5207</v>
      </c>
      <c r="I9" s="54">
        <v>0</v>
      </c>
    </row>
    <row r="10" spans="1:9" x14ac:dyDescent="0.3">
      <c r="B10" s="33">
        <v>6</v>
      </c>
      <c r="C10" s="31">
        <v>44377</v>
      </c>
      <c r="D10" s="37">
        <v>317</v>
      </c>
      <c r="E10" s="54">
        <f>+F10/('Default Values'!$C$18*'Default Values'!$C$19)</f>
        <v>6218.9054726368158</v>
      </c>
      <c r="F10" s="54">
        <v>2.5</v>
      </c>
      <c r="G10" s="54">
        <v>128</v>
      </c>
      <c r="H10" s="54">
        <v>5009</v>
      </c>
      <c r="I10" s="54">
        <v>0</v>
      </c>
    </row>
    <row r="11" spans="1:9" x14ac:dyDescent="0.3">
      <c r="B11" s="33">
        <v>7</v>
      </c>
      <c r="C11" s="31">
        <v>44408</v>
      </c>
      <c r="D11" s="37">
        <v>517</v>
      </c>
      <c r="E11" s="54">
        <f>+F11/('Default Values'!$C$18*'Default Values'!$C$19)</f>
        <v>3731.3432835820895</v>
      </c>
      <c r="F11" s="54">
        <v>1.5</v>
      </c>
      <c r="G11" s="54">
        <v>130</v>
      </c>
      <c r="H11" s="54">
        <v>5194</v>
      </c>
      <c r="I11" s="54">
        <v>0</v>
      </c>
    </row>
    <row r="12" spans="1:9" x14ac:dyDescent="0.3">
      <c r="B12" s="33">
        <v>8</v>
      </c>
      <c r="C12" s="31">
        <v>44439</v>
      </c>
      <c r="D12" s="37">
        <v>411</v>
      </c>
      <c r="E12" s="54">
        <f>+F12/('Default Values'!$C$18*'Default Values'!$C$19)</f>
        <v>6218.9054726368158</v>
      </c>
      <c r="F12" s="54">
        <v>2.5</v>
      </c>
      <c r="G12" s="54">
        <v>131</v>
      </c>
      <c r="H12" s="54">
        <v>8091</v>
      </c>
      <c r="I12" s="54">
        <v>0</v>
      </c>
    </row>
    <row r="13" spans="1:9" x14ac:dyDescent="0.3">
      <c r="B13" s="33">
        <v>9</v>
      </c>
      <c r="C13" s="31">
        <v>44469</v>
      </c>
      <c r="D13" s="37">
        <v>400</v>
      </c>
      <c r="E13" s="54">
        <f>+F13/('Default Values'!$C$18*'Default Values'!$C$19)</f>
        <v>4975.1243781094527</v>
      </c>
      <c r="F13" s="54">
        <v>2</v>
      </c>
      <c r="G13" s="54">
        <v>135</v>
      </c>
      <c r="H13" s="54">
        <v>6317</v>
      </c>
      <c r="I13" s="54">
        <v>0</v>
      </c>
    </row>
    <row r="14" spans="1:9" x14ac:dyDescent="0.3">
      <c r="B14" s="33">
        <v>10</v>
      </c>
      <c r="C14" s="31">
        <v>44500</v>
      </c>
      <c r="D14" s="52">
        <v>393</v>
      </c>
      <c r="E14" s="54">
        <f>+F14/('Default Values'!$C$18*'Default Values'!$C$19)</f>
        <v>4975.1243781094527</v>
      </c>
      <c r="F14" s="54">
        <v>2</v>
      </c>
      <c r="G14" s="52">
        <v>91</v>
      </c>
      <c r="H14" s="54">
        <v>10176</v>
      </c>
      <c r="I14" s="54">
        <v>0</v>
      </c>
    </row>
    <row r="15" spans="1:9" x14ac:dyDescent="0.3">
      <c r="B15" s="33">
        <v>11</v>
      </c>
      <c r="C15" s="31">
        <v>44530</v>
      </c>
      <c r="D15" s="52">
        <v>425</v>
      </c>
      <c r="E15" s="54">
        <f>+F15/('Default Values'!$C$18*'Default Values'!$C$19)</f>
        <v>7462.686567164179</v>
      </c>
      <c r="F15" s="54">
        <v>3</v>
      </c>
      <c r="G15" s="52">
        <v>132</v>
      </c>
      <c r="H15" s="54">
        <v>5387</v>
      </c>
      <c r="I15" s="54">
        <v>0</v>
      </c>
    </row>
    <row r="16" spans="1:9" x14ac:dyDescent="0.3">
      <c r="B16" s="33">
        <v>12</v>
      </c>
      <c r="C16" s="31">
        <v>44561</v>
      </c>
      <c r="D16" s="52">
        <v>341.89</v>
      </c>
      <c r="E16" s="54">
        <f>+F16/('Default Values'!$C$18*'Default Values'!$C$19)</f>
        <v>5472.6368159203985</v>
      </c>
      <c r="F16" s="54">
        <v>2.2000000000000002</v>
      </c>
      <c r="G16" s="52">
        <v>115</v>
      </c>
      <c r="H16" s="54">
        <v>5897</v>
      </c>
      <c r="I16" s="54">
        <v>0</v>
      </c>
    </row>
    <row r="17" spans="2:9" x14ac:dyDescent="0.3">
      <c r="B17" s="65"/>
      <c r="C17" s="65" t="s">
        <v>8</v>
      </c>
      <c r="D17" s="66">
        <f t="shared" ref="D17:I17" si="0">+SUM(D5:D16)</f>
        <v>4955.79</v>
      </c>
      <c r="E17" s="66">
        <f t="shared" si="0"/>
        <v>72997.512437810961</v>
      </c>
      <c r="F17" s="66">
        <f t="shared" si="0"/>
        <v>29.344999999999999</v>
      </c>
      <c r="G17" s="66">
        <f t="shared" si="0"/>
        <v>1530.5900000000001</v>
      </c>
      <c r="H17" s="66">
        <f t="shared" si="0"/>
        <v>82673</v>
      </c>
      <c r="I17" s="66">
        <f t="shared" si="0"/>
        <v>0</v>
      </c>
    </row>
    <row r="19" spans="2:9" x14ac:dyDescent="0.3">
      <c r="D19" s="56">
        <f>D17+'Bio - Methaanation - Tirupati'!D18+'Bio - Methanation - Adoni'!D17+'Bio -Methanation- Aurangabad'!D17</f>
        <v>21607.05</v>
      </c>
    </row>
    <row r="20" spans="2:9" x14ac:dyDescent="0.3">
      <c r="E20" s="58"/>
      <c r="G20" s="5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Comparision w.r.t. deviated val</vt:lpstr>
      <vt:lpstr>Actual ER</vt:lpstr>
      <vt:lpstr>Default Values</vt:lpstr>
      <vt:lpstr>Baseline Emissions</vt:lpstr>
      <vt:lpstr>Project emissions</vt:lpstr>
      <vt:lpstr>Bio -Methanation- Aurangabad</vt:lpstr>
      <vt:lpstr>Bio - Methanation - Adoni</vt:lpstr>
      <vt:lpstr>Bio - Methaanation - Tirupati</vt:lpstr>
      <vt:lpstr>Bio-Methanation - Piduguralla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 - Infinite</dc:creator>
  <cp:lastModifiedBy>Admin_RG</cp:lastModifiedBy>
  <cp:lastPrinted>2022-01-19T03:36:19Z</cp:lastPrinted>
  <dcterms:created xsi:type="dcterms:W3CDTF">2015-06-05T18:17:20Z</dcterms:created>
  <dcterms:modified xsi:type="dcterms:W3CDTF">2024-02-28T10:57:51Z</dcterms:modified>
</cp:coreProperties>
</file>