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C:\Users\Monil Shrivastva\Desktop\VPA validation\Changed Documents\"/>
    </mc:Choice>
  </mc:AlternateContent>
  <xr:revisionPtr revIDLastSave="0" documentId="13_ncr:1_{7DC349DA-25A1-4822-949E-BFFE08DC7949}" xr6:coauthVersionLast="47" xr6:coauthVersionMax="47" xr10:uidLastSave="{00000000-0000-0000-0000-000000000000}"/>
  <bookViews>
    <workbookView xWindow="-120" yWindow="-120" windowWidth="20730" windowHeight="11040" tabRatio="823" activeTab="5" xr2:uid="{00000000-000D-0000-FFFF-FFFF00000000}"/>
  </bookViews>
  <sheets>
    <sheet name="Cover page" sheetId="6" r:id="rId1"/>
    <sheet name="ER Summary" sheetId="2" r:id="rId2"/>
    <sheet name="Emission Reduction" sheetId="4" r:id="rId3"/>
    <sheet name="Basline survey" sheetId="7" r:id="rId4"/>
    <sheet name="PE &amp;LE Calculation" sheetId="5" r:id="rId5"/>
    <sheet name="Estimated SDG calculation" sheetId="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3" l="1"/>
  <c r="C26" i="3"/>
  <c r="D25" i="4"/>
  <c r="D5" i="2"/>
  <c r="D6" i="2"/>
  <c r="D7" i="2"/>
  <c r="D8" i="2"/>
  <c r="C17" i="3"/>
  <c r="D37" i="4"/>
  <c r="D10" i="4"/>
  <c r="D26" i="4" s="1"/>
  <c r="D11" i="4"/>
  <c r="D25" i="7"/>
  <c r="C25" i="7"/>
  <c r="C27" i="7" s="1"/>
  <c r="D27" i="7" s="1"/>
  <c r="C24" i="7"/>
  <c r="D24" i="7" s="1"/>
  <c r="D23" i="7"/>
  <c r="D22" i="7"/>
  <c r="D26" i="7" l="1"/>
  <c r="D6" i="4" l="1"/>
  <c r="D27" i="4" s="1"/>
  <c r="C19" i="3" l="1"/>
  <c r="C18" i="3"/>
  <c r="C25" i="3"/>
  <c r="D32" i="4"/>
  <c r="C23" i="5"/>
  <c r="G10" i="2"/>
  <c r="F10" i="2"/>
  <c r="D31" i="4"/>
  <c r="E9" i="3" l="1"/>
  <c r="E8" i="3"/>
  <c r="D4" i="2" l="1"/>
  <c r="D28" i="4"/>
  <c r="D29" i="4" s="1"/>
  <c r="C22" i="3" s="1"/>
  <c r="C20" i="3" l="1"/>
  <c r="C21" i="3" s="1"/>
  <c r="C23" i="3" s="1"/>
  <c r="D30" i="4"/>
  <c r="D33" i="4" s="1"/>
  <c r="C24" i="3" l="1"/>
  <c r="E6" i="2"/>
  <c r="E4" i="2"/>
  <c r="E9" i="2"/>
  <c r="E7" i="2"/>
  <c r="E8" i="2"/>
  <c r="E5" i="2"/>
  <c r="E11" i="3" l="1"/>
  <c r="E13" i="3"/>
  <c r="H5" i="2"/>
  <c r="H6" i="2"/>
  <c r="H8" i="2"/>
  <c r="H7" i="2"/>
  <c r="H4" i="2"/>
  <c r="E12" i="3" s="1"/>
  <c r="D34" i="4"/>
  <c r="E10" i="2"/>
  <c r="H9" i="2" l="1"/>
  <c r="H10" i="2"/>
</calcChain>
</file>

<file path=xl/sharedStrings.xml><?xml version="1.0" encoding="utf-8"?>
<sst xmlns="http://schemas.openxmlformats.org/spreadsheetml/2006/main" count="380" uniqueCount="282">
  <si>
    <t xml:space="preserve">ID </t>
  </si>
  <si>
    <t>Parameter</t>
  </si>
  <si>
    <t>Default value</t>
  </si>
  <si>
    <t>Unit</t>
  </si>
  <si>
    <t>Description</t>
  </si>
  <si>
    <t>Source</t>
  </si>
  <si>
    <t>N/A</t>
  </si>
  <si>
    <t>𝑥𝑓 - Traditional Stove Users with wood</t>
  </si>
  <si>
    <t>Percentage of fuel f use in target population</t>
  </si>
  <si>
    <t>baseline survey</t>
  </si>
  <si>
    <t>SDWS 9.1</t>
  </si>
  <si>
    <t>𝐸𝐹𝑏,𝑓,𝐶𝑂2 - WOOD</t>
  </si>
  <si>
    <t>tCO2/TJ</t>
  </si>
  <si>
    <t>CO2 emission factor from use of fuels - WOOD</t>
  </si>
  <si>
    <t>IPCC defaults</t>
  </si>
  <si>
    <t>SDWS 9.2</t>
  </si>
  <si>
    <t>SDWS 10.1</t>
  </si>
  <si>
    <t>𝐸𝐹𝑏,𝑓,𝑛𝑜𝑛𝐶𝑂2 - WOOD</t>
  </si>
  <si>
    <t>tCO2e/TJ</t>
  </si>
  <si>
    <t>Non-CO2 emission factor from use of fuels, in case the baseline fuel is biomass or charcoal - WOOD</t>
  </si>
  <si>
    <t>SDWS 10.2</t>
  </si>
  <si>
    <t>𝜂𝑤𝑏 - TSF</t>
  </si>
  <si>
    <t>Percentage</t>
  </si>
  <si>
    <t>Weighted average efficiency of the baseline water boiling devices. Calculate the weighted average of the water boiling efficiency in the project boundary using the proportion of different stove types used and the stove efficiencies.</t>
  </si>
  <si>
    <t>Default Value</t>
  </si>
  <si>
    <t>SDWS 12</t>
  </si>
  <si>
    <t>𝐶𝑏</t>
  </si>
  <si>
    <t>Any of the following sources shall be used:
- Baseline survey
- Credible published literature for project region
- Studies by academia, NGOs or multilateral institutions
- Official government publications or statistics
Source applied must not be more than 3 years old.</t>
  </si>
  <si>
    <t>Baseline survey</t>
  </si>
  <si>
    <t>SDWS 13</t>
  </si>
  <si>
    <t>𝑞𝑖</t>
  </si>
  <si>
    <t>Litres per hour</t>
  </si>
  <si>
    <t xml:space="preserve">Capacity of the household or institutional water treatment technology  </t>
  </si>
  <si>
    <t>Manufacturer specifications</t>
  </si>
  <si>
    <t>SDWS 18</t>
  </si>
  <si>
    <t>𝑀𝑞,𝑦</t>
  </si>
  <si>
    <t>fraction</t>
  </si>
  <si>
    <t>Ongoing water quality indicated as the fraction of the samples that pass microbial quality standard requirements specified in relevant microbial quality standard for drinking water of the host country.  In case a national standard is not available, the water quality shall comply with WHO Guideline values for verification of microbial quality i.e., all water directly intended for drinking must not have detectable E.Coli in any 100 ml sample i.e., less than 1 Colony Forming Unit (CFU) of E.Coli /100 ml.</t>
  </si>
  <si>
    <t>SDWS 19</t>
  </si>
  <si>
    <t>SDG claims</t>
  </si>
  <si>
    <t>-</t>
  </si>
  <si>
    <t>SDWS 21</t>
  </si>
  <si>
    <t>𝑓𝑁𝑅𝐵,𝑓,𝑦</t>
  </si>
  <si>
    <t>CDM TOOL30, Calculation of the fraction of non-renewable biomass</t>
  </si>
  <si>
    <t>percentage</t>
  </si>
  <si>
    <t>Fractional non-renewability status of woody biomass fuel during year y, in case the baseline fuel is biomass or charcoal</t>
  </si>
  <si>
    <t>SDWS 22</t>
  </si>
  <si>
    <t>𝑋𝑐𝑙𝑒𝑎𝑛𝑏𝑜𝑖𝑙,𝑦</t>
  </si>
  <si>
    <t>Proportion of project end-users that boil safe (treated, or from safe supply) water after installation of project technology in year y</t>
  </si>
  <si>
    <t>𝑄𝑃𝑊𝑝 - Full-day premises/Boarding school</t>
  </si>
  <si>
    <t>Liters/person/day</t>
  </si>
  <si>
    <t>Volume of drinking water per person per day for premises type p (Cap of 5.5 l/p/d)</t>
  </si>
  <si>
    <t>𝐻𝑁𝑝,𝑦 - Full-day premises/Boarding school</t>
  </si>
  <si>
    <t>Any of the following sources shall be used:
- Project survey
- Official government publications or statistics
- Credible published literature for project region, or
- Studies by academia, NGOs or multilateral institutions</t>
  </si>
  <si>
    <t>Number</t>
  </si>
  <si>
    <t xml:space="preserve">Number of individuals per premises type p in the project boundary in year y  </t>
  </si>
  <si>
    <t>SDWS 28</t>
  </si>
  <si>
    <t>𝑁𝑝,𝑦</t>
  </si>
  <si>
    <t>SDWS 29</t>
  </si>
  <si>
    <t>𝑈𝑝,𝑦</t>
  </si>
  <si>
    <t>- Option 1: In-person survey of project premises (e.g.households, schools) covering all topics outlined in Annex -1. Households that show at least once-in-two-days use may be counted as users. The resulting fraction is multiplied by 100% to get Up,y
- Option 2: Survey performed by telephone or messaging (e.g. text, app), covering topics 1, 2 and 3 of Annex -1. Households that report at least once-in-two-days use may be counted as users. The resulting fraction is multiplied by 75% to get Up,y</t>
  </si>
  <si>
    <t>SDWS 30</t>
  </si>
  <si>
    <t>𝑡𝑝,𝑦</t>
  </si>
  <si>
    <t>Hours per day</t>
  </si>
  <si>
    <t>Usage time of the project technology by premises type p in year y</t>
  </si>
  <si>
    <t>SDWS 31</t>
  </si>
  <si>
    <t>𝐷𝑃𝑝,𝑦</t>
  </si>
  <si>
    <t>Days</t>
  </si>
  <si>
    <t>Average days the project technology is present for end-users in the premises p in year y</t>
  </si>
  <si>
    <t>SDWS 32</t>
  </si>
  <si>
    <t>𝐷𝑁𝑝,𝑦</t>
  </si>
  <si>
    <t>Average number of individual project technologies in each project premises type p in year y</t>
  </si>
  <si>
    <t>Leakage emissions during year y</t>
  </si>
  <si>
    <t>SE_o</t>
  </si>
  <si>
    <t>kJ/l</t>
  </si>
  <si>
    <t>Default amount of energy required to obtain 1 L of water after 5 minutes of boiling from a first principles approach</t>
  </si>
  <si>
    <t>𝑆𝐸𝑤,𝑏,𝑦 = 360.83/𝜂𝑤, Methodology default</t>
  </si>
  <si>
    <t>%</t>
  </si>
  <si>
    <r>
      <t>EF</t>
    </r>
    <r>
      <rPr>
        <sz val="9"/>
        <rFont val="Calibri"/>
        <family val="2"/>
        <scheme val="minor"/>
      </rPr>
      <t>b</t>
    </r>
  </si>
  <si>
    <t>Emission factor for the use of fuel to obtain safe water in the baseline</t>
  </si>
  <si>
    <t>𝐸𝐹𝑏 = 𝑆𝐸𝑤,𝑏,𝑦 ∗ ∑(𝑥𝑓 ∗ (𝐸𝐹𝑏,𝑓,𝐶𝑂2 ∗ 𝑓𝑁𝑅𝐵,𝑓,𝑦 + 𝐸𝐹𝑏,𝑓,𝑛𝑜𝑛𝐶𝑂2)) 𝑓 ÷ 10^9</t>
  </si>
  <si>
    <r>
      <t>QPW</t>
    </r>
    <r>
      <rPr>
        <sz val="9"/>
        <rFont val="Calibri"/>
        <family val="2"/>
        <scheme val="minor"/>
      </rPr>
      <t>hh,p,y</t>
    </r>
  </si>
  <si>
    <t xml:space="preserve">Volume of drinking water per premises p per day in year y (L) </t>
  </si>
  <si>
    <t>L/HH/day</t>
  </si>
  <si>
    <t>Calculated</t>
  </si>
  <si>
    <t>Qy</t>
  </si>
  <si>
    <t xml:space="preserve">Quantity of safe drinking water provided by the project in year y </t>
  </si>
  <si>
    <t>BE</t>
  </si>
  <si>
    <t>Baseline emissions</t>
  </si>
  <si>
    <t>ER</t>
  </si>
  <si>
    <t>Emission reductions</t>
  </si>
  <si>
    <t>Basline/Applied value</t>
  </si>
  <si>
    <t>SDWS 11</t>
  </si>
  <si>
    <t>Estimated</t>
  </si>
  <si>
    <t>Refer:Estimated SDG calculation</t>
  </si>
  <si>
    <t>SDWS 24</t>
  </si>
  <si>
    <t>SDWS 25</t>
  </si>
  <si>
    <t>Calculated value</t>
  </si>
  <si>
    <t>Ex-ante fixed parameter</t>
  </si>
  <si>
    <t>Monitored parameter</t>
  </si>
  <si>
    <t>SDWS 8</t>
  </si>
  <si>
    <t>Litre</t>
  </si>
  <si>
    <t>𝐵𝐸𝑦 = 𝐸𝐹𝑏 × (1 − 𝐶𝑏 − 𝑋𝑐𝑙𝑒𝑎𝑛𝑏𝑜𝑖𝑙 ,𝑦 ) × 𝑄𝑦 × 𝑀𝑞,𝑦</t>
  </si>
  <si>
    <t>𝐸𝑅𝑦 = 𝐵𝐸𝑦 − 𝑃𝐸𝑦 − 𝐿𝐸𝑦</t>
  </si>
  <si>
    <t>tCO2e/ Annum</t>
  </si>
  <si>
    <t>ER per filter</t>
  </si>
  <si>
    <t xml:space="preserve">From </t>
  </si>
  <si>
    <t>To</t>
  </si>
  <si>
    <t>ER sheet compiled by: Md Meraj Ali
Executive: EKI Energy</t>
  </si>
  <si>
    <t>Total</t>
  </si>
  <si>
    <t>Baseline emission (tCO2e)</t>
  </si>
  <si>
    <t>Emission Reduction (tCO2e)</t>
  </si>
  <si>
    <t xml:space="preserve">Sustainable Development Goals </t>
  </si>
  <si>
    <t>SDG Impact Indicator</t>
  </si>
  <si>
    <t>Calculation</t>
  </si>
  <si>
    <t>Project Estimate</t>
  </si>
  <si>
    <t>Remarks</t>
  </si>
  <si>
    <t>1 No Poverty</t>
  </si>
  <si>
    <t>nos. of Water filter</t>
  </si>
  <si>
    <t>3 Good Health and Well Being</t>
  </si>
  <si>
    <t>4 Quality Education</t>
  </si>
  <si>
    <t>Numbers</t>
  </si>
  <si>
    <t>Refer: Baseline survey</t>
  </si>
  <si>
    <t>[HNp,y * Np,y]</t>
  </si>
  <si>
    <t>No of person</t>
  </si>
  <si>
    <t>7 Affordable and Clean Energy</t>
  </si>
  <si>
    <t xml:space="preserve"> nos. of water filter </t>
  </si>
  <si>
    <t>8 Decent Work and Economic Growth</t>
  </si>
  <si>
    <t>12 Responsible Consumption and Production</t>
  </si>
  <si>
    <t>13 Climate Action</t>
  </si>
  <si>
    <t>[𝐵𝐸𝑦 = 𝐸𝐹𝑏 × (1 − 𝐶𝑏 − 𝑋𝑐𝑙𝑒𝑎𝑛𝑏𝑜𝑖𝑙,𝑦) × 𝑄𝑦 × 𝑀𝑞]</t>
  </si>
  <si>
    <t>tCO2e/annum</t>
  </si>
  <si>
    <t>15 Life on Land</t>
  </si>
  <si>
    <t>tonnes of non-renewable biomass</t>
  </si>
  <si>
    <t>Distribution Record</t>
  </si>
  <si>
    <t>Reference</t>
  </si>
  <si>
    <t>NCV of wood per tonnes</t>
  </si>
  <si>
    <t xml:space="preserve">As per IPCC </t>
  </si>
  <si>
    <t>Fnrb value</t>
  </si>
  <si>
    <t>SDG 12 &amp; SDG 15</t>
  </si>
  <si>
    <t>Tonnes of non-renewable biomass</t>
  </si>
  <si>
    <t>Refer: Distribution data</t>
  </si>
  <si>
    <t>Annual Average</t>
  </si>
  <si>
    <t>Parameters</t>
  </si>
  <si>
    <t>Values</t>
  </si>
  <si>
    <t>Project Emission (tCO2e)</t>
  </si>
  <si>
    <t>Leakage Emission (tCO2e)</t>
  </si>
  <si>
    <t>Default Value as per applied GS Methodology</t>
  </si>
  <si>
    <t>[Np,y]</t>
  </si>
  <si>
    <t>The accumulated number of premises type p with at least one individual project technology in year y</t>
  </si>
  <si>
    <t xml:space="preserve">Proportion of project end-users who in the baseline were already using safe water, either from an improved water source, or from a water treatment method other than boiling. </t>
  </si>
  <si>
    <t>The usage rate of the project technology by premises type p during year y</t>
  </si>
  <si>
    <t>PE</t>
  </si>
  <si>
    <t>Project Emissions</t>
  </si>
  <si>
    <t>Where:</t>
  </si>
  <si>
    <t>𝑃𝐸𝑦 = Project emissions in year y (tCO2)</t>
  </si>
  <si>
    <t>𝑃𝐸𝑓𝑓,𝑝,𝑦 = Project emissions from fossil fuel use in year y (tCO2)</t>
  </si>
  <si>
    <t>𝑃𝐸𝑒𝑐,𝑝,𝑦 = Project emissions from electricity use in year y (tCO2)</t>
  </si>
  <si>
    <t>As fossil fuel is not used in the project activity</t>
  </si>
  <si>
    <t>So,</t>
  </si>
  <si>
    <t>PEff,p,y(Emission from fossil fuel consumption)</t>
  </si>
  <si>
    <t>As electricty is not used in the project activity</t>
  </si>
  <si>
    <t>PEec,p,y( Emission from electricity consumption)</t>
  </si>
  <si>
    <t>𝑃𝐸𝑦 = 𝑃𝐸𝑓𝑓,𝑝,𝑦 + 𝑃𝐸𝑒𝑐,𝑝,𝑦</t>
  </si>
  <si>
    <t>𝑃𝐸𝑦 = 0+0</t>
  </si>
  <si>
    <t xml:space="preserve">𝑃𝐸𝑦 </t>
  </si>
  <si>
    <t>Leakage Emissions</t>
  </si>
  <si>
    <t>LEy (Leakage per year)</t>
  </si>
  <si>
    <t>Distribution data</t>
  </si>
  <si>
    <t>Refer: PE &amp; LE Tab</t>
  </si>
  <si>
    <t>Emission reductions per filter</t>
  </si>
  <si>
    <t>[Total Emission reduction/ Np,y]</t>
  </si>
  <si>
    <t xml:space="preserve">Manufacturer specifications
</t>
  </si>
  <si>
    <t xml:space="preserve">The proportion of each different cooking fuel f used in the project boundary by end-users:    </t>
  </si>
  <si>
    <t>LEy</t>
  </si>
  <si>
    <t>Project emissions during year y</t>
  </si>
  <si>
    <r>
      <t>tCO</t>
    </r>
    <r>
      <rPr>
        <b/>
        <vertAlign val="subscript"/>
        <sz val="11"/>
        <color theme="1"/>
        <rFont val="Calibri"/>
        <family val="2"/>
        <scheme val="minor"/>
      </rPr>
      <t>2</t>
    </r>
    <r>
      <rPr>
        <b/>
        <sz val="11"/>
        <color theme="1"/>
        <rFont val="Calibri"/>
        <family val="2"/>
        <scheme val="minor"/>
      </rPr>
      <t>e/y</t>
    </r>
  </si>
  <si>
    <t>As per applied methodology</t>
  </si>
  <si>
    <t>Baseline survey/ Distribution form</t>
  </si>
  <si>
    <t>Indicator 3.9.1: Mortality rate attributed to household and ambient air pollution
Project-specific Indicator: % users reporting reduction in incidences of waterborne diseases such as skin rashes, diarrhea, foot sores, parasites, eye problems and other waterborne diseases</t>
  </si>
  <si>
    <t>Indicator 4.3.1
Participation rate of youth and adults in formal and non-formal education and training in the previous 12 months, by sex
Project-specific indicator: Number of employees who have undergone skill development training</t>
  </si>
  <si>
    <t>Indicator 5.4.1: Proportion of time spent on unpaid domestic and care work, by sex, age and location
Project-specific Indicator: % Users reporting a time-saving in fuel collection after shifting to Econeer water filter.</t>
  </si>
  <si>
    <t>Indicator 6.1.1: Proportion of population have access to improved source of water
Project Specific Indicator: No of people who have access the water filter.</t>
  </si>
  <si>
    <t>Indicator- 7.1.2 Proportion of population with primary reliance on clean fuels and technology.
Project specific Indicator: Total number of premises with at least one water filter distributed under the VPA.</t>
  </si>
  <si>
    <t>Indicator 15.2.1: Progress towards sustainable forest management.
Project-specific Indicator: Reduction in consumption of non-renewable biomass.</t>
  </si>
  <si>
    <t>5. Gender Equality</t>
  </si>
  <si>
    <t xml:space="preserve">6  Clean Water and Sanitation </t>
  </si>
  <si>
    <t>no of employement</t>
  </si>
  <si>
    <t>SDWS 20</t>
  </si>
  <si>
    <t>Water hygiene education campaigns</t>
  </si>
  <si>
    <t>NA</t>
  </si>
  <si>
    <t xml:space="preserve">Hygiene campaigns will be carried out among project safe water endusers.                  </t>
  </si>
  <si>
    <t>SDG1, SDG3, SDG4, SDG5, SDG6, SDG7,SDG8, SDG12, SDG15</t>
  </si>
  <si>
    <t>Indicator 1.4.1: Proportion of population living in households with access to basic services
Project specific Indicator: Total number of premises with at least one water filter distributed under the VPA.</t>
  </si>
  <si>
    <t>Indicator 12.2.2 Domestic material consumption, domestic material consumption per capita, and domestic material consumption per GDP
Project-specific Indicator: Reduction in consumption of renewable biomass.</t>
  </si>
  <si>
    <t>UOM (Unit of measurement)</t>
  </si>
  <si>
    <t>KJ/KG</t>
  </si>
  <si>
    <t>KJ</t>
  </si>
  <si>
    <t>Litres</t>
  </si>
  <si>
    <t>Tonnes</t>
  </si>
  <si>
    <t>Energy required for boil 1 Litre of water</t>
  </si>
  <si>
    <t xml:space="preserve">Efficiency of used cookstove in the baseline scenerio </t>
  </si>
  <si>
    <t xml:space="preserve">Wood required for boiling Qy amount of water </t>
  </si>
  <si>
    <t>Tonnes of renewable biomass</t>
  </si>
  <si>
    <t xml:space="preserve">Calculated value (Refer fNRB calculation sheet) </t>
  </si>
  <si>
    <t>Title of the project activity</t>
  </si>
  <si>
    <t>GS12219 VPA-1 Water filter project in Dindori, Madhya Pradesh, India</t>
  </si>
  <si>
    <t>GS ID of the Real case VPA</t>
  </si>
  <si>
    <t>GS12220</t>
  </si>
  <si>
    <t>GS12219</t>
  </si>
  <si>
    <t>Monitoring period No</t>
  </si>
  <si>
    <t>Version number of this calculation sheet</t>
  </si>
  <si>
    <t>Completion date of version</t>
  </si>
  <si>
    <t>EKI Energy Service Limited</t>
  </si>
  <si>
    <t>Gold Standard Web link</t>
  </si>
  <si>
    <t>https://registry.goldstandard.org/projects/details/4212</t>
  </si>
  <si>
    <t>GS ID of the PoA</t>
  </si>
  <si>
    <t>Project developer and CME</t>
  </si>
  <si>
    <t>As per baseline survey data (used default value as per applied meth)</t>
  </si>
  <si>
    <t>Prepared by</t>
  </si>
  <si>
    <t>Md Meraj Ali
Exceutive
EKI Energy Services Limited</t>
  </si>
  <si>
    <t>Title of VPA</t>
  </si>
  <si>
    <t>GS ID:</t>
  </si>
  <si>
    <t>GS 12220</t>
  </si>
  <si>
    <t>Methodology:</t>
  </si>
  <si>
    <t>METHODOLOGY FOR EMISSION REDUCTIONS FROM SAFE DRINKING WATER SUPPLY, Version: 1.0</t>
  </si>
  <si>
    <t>Start Date of the VPA:</t>
  </si>
  <si>
    <t>Version:</t>
  </si>
  <si>
    <t>Date of Issue:</t>
  </si>
  <si>
    <t>𝑥𝑓 - LPG</t>
  </si>
  <si>
    <t>𝐸𝐹𝑏,𝑓,𝐶𝑂2- LPG</t>
  </si>
  <si>
    <t>𝐸𝐹𝑏,𝑓,𝑛𝑜𝑛𝐶𝑂2- LPG</t>
  </si>
  <si>
    <t>CO2 emission factor from use of fuels - LPG</t>
  </si>
  <si>
    <t>Non-CO2 emission factor from use of fuels, in case the baseline fuel is biomass or charcoal - LPG</t>
  </si>
  <si>
    <t>𝜂𝑤𝑏 - LPG</t>
  </si>
  <si>
    <t>No of source</t>
  </si>
  <si>
    <t>Water from Spring (Unprotected well)</t>
  </si>
  <si>
    <t>Dug well (Unprotected well)</t>
  </si>
  <si>
    <t>Surface water (river, stream, dam,lake, pond,canal, irrigation channel)</t>
  </si>
  <si>
    <t>Borehole or tubewell</t>
  </si>
  <si>
    <t>Piped water (borehole or tubewell)</t>
  </si>
  <si>
    <t>Nos</t>
  </si>
  <si>
    <t>What is the main source of drinking water for members of your household in the dry and rainy season?  (please chechk all that apply)</t>
  </si>
  <si>
    <t>What is the main source of water used by members of your household for other purposes, such as cooking and hand washing in the fry and rainy season? Please check all that apply.</t>
  </si>
  <si>
    <t>Have you or any other household members done anything to this water to make it safer to drink?</t>
  </si>
  <si>
    <t>If your household treats water for drinking, food preparation and cleaning, how do you treat it?</t>
  </si>
  <si>
    <t>I treat my water</t>
  </si>
  <si>
    <t>Boil</t>
  </si>
  <si>
    <t>Strain it through a cloth</t>
  </si>
  <si>
    <t>use water filter(ceramic,sand,composite,reverse osmosis,etc)</t>
  </si>
  <si>
    <t xml:space="preserve">NA </t>
  </si>
  <si>
    <t>Households</t>
  </si>
  <si>
    <t>Total sample</t>
  </si>
  <si>
    <t>Unimproved Source</t>
  </si>
  <si>
    <t>tCO2e/L</t>
  </si>
  <si>
    <t>Efficiency of LPG stoves in India (literature)</t>
  </si>
  <si>
    <t>Roadmap for Access to Clean Cooking Energy in India</t>
  </si>
  <si>
    <t>Refer: fNRB sheet</t>
  </si>
  <si>
    <t>Improved source</t>
  </si>
  <si>
    <t>CEEW report</t>
  </si>
  <si>
    <t>KJ/l</t>
  </si>
  <si>
    <t>KG</t>
  </si>
  <si>
    <t>Input</t>
  </si>
  <si>
    <t>Output Energy</t>
  </si>
  <si>
    <t>Indicator: 13.2.2 Amount of CO2e emissions reduced by the project per year</t>
  </si>
  <si>
    <t>Quantity of safe drinking water provided by the project Qy</t>
  </si>
  <si>
    <r>
      <t>[Qy*(360.83/n</t>
    </r>
    <r>
      <rPr>
        <vertAlign val="subscript"/>
        <sz val="11"/>
        <rFont val="Calibri"/>
        <family val="2"/>
      </rPr>
      <t>wb</t>
    </r>
    <r>
      <rPr>
        <sz val="11"/>
        <rFont val="Calibri"/>
        <family val="2"/>
      </rPr>
      <t>)*Xf</t>
    </r>
    <r>
      <rPr>
        <vertAlign val="subscript"/>
        <sz val="11"/>
        <rFont val="Calibri"/>
        <family val="2"/>
      </rPr>
      <t>wood</t>
    </r>
    <r>
      <rPr>
        <sz val="11"/>
        <rFont val="Calibri"/>
        <family val="2"/>
      </rPr>
      <t>/NCV]*(1-fNRB,f,y)</t>
    </r>
  </si>
  <si>
    <t>[Qy*(360.83/nwb)*Xfwood/NCV]*fNRB,f,y</t>
  </si>
  <si>
    <r>
      <t>SE</t>
    </r>
    <r>
      <rPr>
        <i/>
        <vertAlign val="subscript"/>
        <sz val="11"/>
        <color rgb="FF000000"/>
        <rFont val="Calibri"/>
        <family val="2"/>
        <scheme val="minor"/>
      </rPr>
      <t>w,b,y</t>
    </r>
    <r>
      <rPr>
        <i/>
        <sz val="11"/>
        <color rgb="FF000000"/>
        <rFont val="Calibri"/>
        <family val="2"/>
        <scheme val="minor"/>
      </rPr>
      <t xml:space="preserve"> - LPG</t>
    </r>
  </si>
  <si>
    <r>
      <t>SE</t>
    </r>
    <r>
      <rPr>
        <i/>
        <vertAlign val="subscript"/>
        <sz val="11"/>
        <color rgb="FF000000"/>
        <rFont val="Calibri"/>
        <family val="2"/>
        <scheme val="minor"/>
      </rPr>
      <t>w,b,y</t>
    </r>
    <r>
      <rPr>
        <i/>
        <sz val="11"/>
        <color rgb="FF000000"/>
        <rFont val="Calibri"/>
        <family val="2"/>
        <scheme val="minor"/>
      </rPr>
      <t xml:space="preserve"> - Traditional Stove with wood</t>
    </r>
  </si>
  <si>
    <t>Specific energy required to boil water using the baseline technology (Traditional Stove with wood)</t>
  </si>
  <si>
    <t>Specific energy required to boil water using the baseline technology (LPG)</t>
  </si>
  <si>
    <t>I do not treat my water</t>
  </si>
  <si>
    <t>HH treating water by Boiling</t>
  </si>
  <si>
    <t>HH who are willing to treat the water</t>
  </si>
  <si>
    <t xml:space="preserve">Indicator 8.5.1 Average hourly earnings of female and male employees, by occupation, age and persons with disabilities.
Project specific Indicator:
Total no of jobs created (in distribution, Monitoring &amp; Evaluation). </t>
  </si>
  <si>
    <t>assumption for ex-ante calculation</t>
  </si>
  <si>
    <t xml:space="preserve">360.83/𝜂𝑤𝑏 </t>
  </si>
  <si>
    <t xml:space="preserve">𝑄𝑃𝑊hh,p,y= min ((𝑞𝑖 × 𝑡𝑝,𝑦 × 𝐷𝑁𝑝,𝑦), (𝑄𝑃𝑊𝑝 × 𝐻𝑁𝑝,𝑦))  </t>
  </si>
  <si>
    <t>𝐵𝐸𝑦 = 𝐸𝐹𝑏 × (1 − 𝐶𝑏 − 𝑋𝑐𝑙𝑒𝑎𝑛𝑏𝑜𝑖𝑙,) × 𝑄𝑦 × 𝑀𝑞, y</t>
  </si>
  <si>
    <r>
      <t xml:space="preserve"> Cumulative Filter distribution </t>
    </r>
    <r>
      <rPr>
        <b/>
        <sz val="11"/>
        <color theme="1"/>
        <rFont val="Cal.."/>
      </rPr>
      <t>(N</t>
    </r>
    <r>
      <rPr>
        <b/>
        <vertAlign val="subscript"/>
        <sz val="11"/>
        <color theme="1"/>
        <rFont val="Cal.."/>
      </rPr>
      <t>p,y</t>
    </r>
    <r>
      <rPr>
        <b/>
        <sz val="11"/>
        <color theme="1"/>
        <rFont val="Cal.."/>
      </rPr>
      <t>)</t>
    </r>
  </si>
  <si>
    <t>tonnes of renewable biomass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</si>
</sst>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_(* #,##0.00_);_(* \(#,##0.00\);_(* &quot;-&quot;??_);_(@_)"/>
    <numFmt numFmtId="165" formatCode="0.0%"/>
    <numFmt numFmtId="166" formatCode="0.0000000000"/>
    <numFmt numFmtId="167" formatCode="_ * #,##0_ ;_ * \-#,##0_ ;_ * &quot;-&quot;??_ ;_ @_ "/>
    <numFmt numFmtId="168" formatCode="_(* #,##0_);_(* \(#,##0\);_(* &quot;-&quot;??_);_(@_)"/>
    <numFmt numFmtId="169" formatCode="0.0"/>
    <numFmt numFmtId="170" formatCode="0.0000000000000000%"/>
  </numFmts>
  <fonts count="26">
    <font>
      <sz val="11"/>
      <color theme="1"/>
      <name val="Calibri"/>
      <family val="2"/>
      <scheme val="minor"/>
    </font>
    <font>
      <b/>
      <sz val="11"/>
      <color theme="1"/>
      <name val="Calibri"/>
      <family val="2"/>
      <scheme val="minor"/>
    </font>
    <font>
      <b/>
      <sz val="12"/>
      <color theme="0"/>
      <name val="Calibri"/>
      <family val="2"/>
      <scheme val="minor"/>
    </font>
    <font>
      <b/>
      <sz val="11"/>
      <name val="Calibri"/>
      <family val="2"/>
      <scheme val="minor"/>
    </font>
    <font>
      <i/>
      <sz val="11"/>
      <name val="Calibri"/>
      <family val="2"/>
      <scheme val="minor"/>
    </font>
    <font>
      <sz val="11"/>
      <name val="Calibri"/>
      <family val="2"/>
      <scheme val="minor"/>
    </font>
    <font>
      <sz val="9"/>
      <name val="Calibri"/>
      <family val="2"/>
      <scheme val="minor"/>
    </font>
    <font>
      <sz val="12"/>
      <color rgb="FF000000"/>
      <name val="Calibri"/>
      <family val="2"/>
      <charset val="1"/>
    </font>
    <font>
      <sz val="8"/>
      <name val="Calibri"/>
      <family val="2"/>
      <scheme val="minor"/>
    </font>
    <font>
      <i/>
      <sz val="11"/>
      <color rgb="FF000000"/>
      <name val="Calibri"/>
      <family val="2"/>
      <scheme val="minor"/>
    </font>
    <font>
      <b/>
      <sz val="11"/>
      <name val="Calibri"/>
      <family val="2"/>
    </font>
    <font>
      <sz val="11"/>
      <name val="Calibri"/>
      <family val="2"/>
    </font>
    <font>
      <vertAlign val="subscript"/>
      <sz val="11"/>
      <name val="Calibri"/>
      <family val="2"/>
    </font>
    <font>
      <u/>
      <sz val="11"/>
      <color theme="10"/>
      <name val="Calibri"/>
      <family val="2"/>
      <scheme val="minor"/>
    </font>
    <font>
      <b/>
      <sz val="11"/>
      <color theme="1"/>
      <name val="Cal.."/>
    </font>
    <font>
      <b/>
      <sz val="14"/>
      <name val="Calibri"/>
      <family val="2"/>
      <scheme val="minor"/>
    </font>
    <font>
      <b/>
      <sz val="20"/>
      <color theme="0"/>
      <name val="Calibri"/>
      <family val="2"/>
      <scheme val="minor"/>
    </font>
    <font>
      <b/>
      <sz val="20"/>
      <name val="Calibri"/>
      <family val="2"/>
      <scheme val="minor"/>
    </font>
    <font>
      <sz val="11"/>
      <color theme="1"/>
      <name val="Calibri"/>
      <family val="2"/>
      <scheme val="minor"/>
    </font>
    <font>
      <b/>
      <vertAlign val="subscript"/>
      <sz val="11"/>
      <color theme="1"/>
      <name val="Calibri"/>
      <family val="2"/>
      <scheme val="minor"/>
    </font>
    <font>
      <sz val="11"/>
      <color theme="1"/>
      <name val="Arial"/>
      <family val="2"/>
    </font>
    <font>
      <sz val="10"/>
      <name val="Verdana"/>
      <family val="2"/>
    </font>
    <font>
      <b/>
      <sz val="11"/>
      <name val="Verdana"/>
      <family val="2"/>
    </font>
    <font>
      <b/>
      <vertAlign val="subscript"/>
      <sz val="11"/>
      <color theme="1"/>
      <name val="Cal.."/>
    </font>
    <font>
      <i/>
      <vertAlign val="subscript"/>
      <sz val="11"/>
      <color rgb="FF000000"/>
      <name val="Calibri"/>
      <family val="2"/>
      <scheme val="minor"/>
    </font>
    <font>
      <sz val="10"/>
      <color theme="1"/>
      <name val="Calibri"/>
      <family val="2"/>
      <scheme val="minor"/>
    </font>
  </fonts>
  <fills count="14">
    <fill>
      <patternFill patternType="none"/>
    </fill>
    <fill>
      <patternFill patternType="gray125"/>
    </fill>
    <fill>
      <patternFill patternType="solid">
        <fgColor theme="4"/>
        <bgColor indexed="64"/>
      </patternFill>
    </fill>
    <fill>
      <patternFill patternType="solid">
        <fgColor theme="2" tint="-9.9978637043366805E-2"/>
        <bgColor indexed="64"/>
      </patternFill>
    </fill>
    <fill>
      <patternFill patternType="solid">
        <fgColor rgb="FFC9E7E6"/>
        <bgColor indexed="64"/>
      </patternFill>
    </fill>
    <fill>
      <patternFill patternType="solid">
        <fgColor rgb="FFD0CECE"/>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7">
    <xf numFmtId="0" fontId="0" fillId="0" borderId="0"/>
    <xf numFmtId="0" fontId="13" fillId="0" borderId="0" applyNumberFormat="0" applyFill="0" applyBorder="0" applyAlignment="0" applyProtection="0"/>
    <xf numFmtId="164" fontId="18" fillId="0" borderId="0" applyFont="0" applyFill="0" applyBorder="0" applyAlignment="0" applyProtection="0"/>
    <xf numFmtId="0" fontId="20" fillId="0" borderId="0"/>
    <xf numFmtId="0" fontId="20" fillId="0" borderId="0"/>
    <xf numFmtId="0" fontId="21" fillId="0" borderId="0"/>
    <xf numFmtId="9" fontId="18" fillId="0" borderId="0" applyFont="0" applyFill="0" applyBorder="0" applyAlignment="0" applyProtection="0"/>
  </cellStyleXfs>
  <cellXfs count="183">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3" borderId="1" xfId="0" applyFont="1" applyFill="1" applyBorder="1" applyAlignment="1">
      <alignment vertical="center"/>
    </xf>
    <xf numFmtId="0" fontId="5" fillId="0" borderId="1" xfId="0" applyFont="1" applyBorder="1" applyAlignment="1" applyProtection="1">
      <alignment vertical="center"/>
      <protection locked="0"/>
    </xf>
    <xf numFmtId="0" fontId="3" fillId="4" borderId="1" xfId="0" applyFont="1" applyFill="1" applyBorder="1" applyAlignment="1">
      <alignment vertical="center"/>
    </xf>
    <xf numFmtId="0" fontId="4" fillId="4" borderId="1" xfId="0" applyFont="1" applyFill="1" applyBorder="1" applyAlignment="1">
      <alignment horizontal="left" vertical="center"/>
    </xf>
    <xf numFmtId="0" fontId="5" fillId="4" borderId="1" xfId="0" applyFont="1" applyFill="1" applyBorder="1" applyAlignment="1">
      <alignment horizontal="center" vertical="center"/>
    </xf>
    <xf numFmtId="49" fontId="5" fillId="4" borderId="1" xfId="0" applyNumberFormat="1" applyFont="1" applyFill="1" applyBorder="1" applyAlignment="1">
      <alignment vertical="center"/>
    </xf>
    <xf numFmtId="0" fontId="5" fillId="4" borderId="1" xfId="0" quotePrefix="1" applyFont="1" applyFill="1" applyBorder="1" applyAlignment="1">
      <alignment horizontal="center" vertical="center"/>
    </xf>
    <xf numFmtId="9" fontId="5" fillId="4" borderId="1" xfId="0" applyNumberFormat="1"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4" fontId="5" fillId="4" borderId="1" xfId="0" applyNumberFormat="1" applyFont="1" applyFill="1" applyBorder="1" applyAlignment="1" applyProtection="1">
      <alignment horizontal="center" vertical="center"/>
      <protection locked="0"/>
    </xf>
    <xf numFmtId="9" fontId="5" fillId="4" borderId="1" xfId="0" applyNumberFormat="1" applyFont="1" applyFill="1" applyBorder="1" applyAlignment="1">
      <alignment horizontal="center" vertical="center"/>
    </xf>
    <xf numFmtId="0" fontId="9" fillId="5" borderId="1" xfId="0" applyFont="1" applyFill="1" applyBorder="1" applyAlignment="1">
      <alignment horizontal="left" vertical="center"/>
    </xf>
    <xf numFmtId="0" fontId="5" fillId="5" borderId="1" xfId="0" applyFont="1" applyFill="1" applyBorder="1" applyAlignment="1">
      <alignment horizontal="center" vertical="center"/>
    </xf>
    <xf numFmtId="10" fontId="0" fillId="5" borderId="1" xfId="0" applyNumberFormat="1" applyFill="1" applyBorder="1" applyAlignment="1" applyProtection="1">
      <alignment horizontal="center" vertical="center"/>
      <protection locked="0"/>
    </xf>
    <xf numFmtId="49" fontId="5" fillId="5" borderId="1" xfId="0" applyNumberFormat="1" applyFont="1" applyFill="1" applyBorder="1" applyAlignment="1">
      <alignment vertical="center"/>
    </xf>
    <xf numFmtId="0" fontId="4" fillId="5" borderId="1" xfId="0" applyFont="1" applyFill="1" applyBorder="1" applyAlignment="1">
      <alignment horizontal="left" vertical="center"/>
    </xf>
    <xf numFmtId="0" fontId="5" fillId="5" borderId="1" xfId="0" applyFont="1" applyFill="1" applyBorder="1" applyAlignment="1" applyProtection="1">
      <alignment horizontal="center" vertical="center"/>
      <protection locked="0"/>
    </xf>
    <xf numFmtId="9" fontId="5" fillId="5" borderId="1" xfId="0" applyNumberFormat="1" applyFont="1" applyFill="1" applyBorder="1" applyAlignment="1">
      <alignment horizontal="center" vertical="center"/>
    </xf>
    <xf numFmtId="9" fontId="5" fillId="5" borderId="1" xfId="0" applyNumberFormat="1" applyFont="1" applyFill="1" applyBorder="1" applyAlignment="1" applyProtection="1">
      <alignment horizontal="center" vertical="center"/>
      <protection locked="0"/>
    </xf>
    <xf numFmtId="0" fontId="0" fillId="5" borderId="1" xfId="0" applyFill="1" applyBorder="1"/>
    <xf numFmtId="0" fontId="0" fillId="4" borderId="1" xfId="0" applyFill="1" applyBorder="1"/>
    <xf numFmtId="0" fontId="0" fillId="0" borderId="1" xfId="0" applyBorder="1"/>
    <xf numFmtId="0" fontId="7" fillId="0" borderId="1" xfId="0" applyFont="1" applyBorder="1"/>
    <xf numFmtId="0" fontId="3" fillId="5" borderId="1" xfId="0" applyFont="1" applyFill="1" applyBorder="1" applyAlignment="1">
      <alignment vertical="center"/>
    </xf>
    <xf numFmtId="0" fontId="5" fillId="5" borderId="1" xfId="0" applyFont="1" applyFill="1" applyBorder="1" applyAlignment="1" applyProtection="1">
      <alignment vertical="center"/>
      <protection locked="0"/>
    </xf>
    <xf numFmtId="0" fontId="4" fillId="0" borderId="1"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xf>
    <xf numFmtId="1" fontId="0" fillId="0" borderId="1" xfId="0" applyNumberFormat="1" applyBorder="1" applyAlignment="1">
      <alignment horizontal="center"/>
    </xf>
    <xf numFmtId="166" fontId="0" fillId="0" borderId="1" xfId="0" applyNumberFormat="1" applyBorder="1" applyAlignment="1">
      <alignment horizontal="center"/>
    </xf>
    <xf numFmtId="1" fontId="5" fillId="4" borderId="1" xfId="0" applyNumberFormat="1" applyFont="1" applyFill="1" applyBorder="1" applyAlignment="1" applyProtection="1">
      <alignment horizontal="center" vertical="center"/>
      <protection locked="0"/>
    </xf>
    <xf numFmtId="0" fontId="11" fillId="0" borderId="1" xfId="0" applyFont="1" applyBorder="1" applyAlignment="1">
      <alignment vertical="center"/>
    </xf>
    <xf numFmtId="0" fontId="11" fillId="0" borderId="1" xfId="0" applyFont="1" applyBorder="1" applyAlignment="1">
      <alignment vertical="center" wrapText="1"/>
    </xf>
    <xf numFmtId="0" fontId="10" fillId="8" borderId="3" xfId="0" applyFont="1" applyFill="1" applyBorder="1" applyAlignment="1">
      <alignment horizontal="left"/>
    </xf>
    <xf numFmtId="0" fontId="10" fillId="8" borderId="4" xfId="0" applyFont="1" applyFill="1" applyBorder="1" applyAlignment="1">
      <alignment horizontal="left"/>
    </xf>
    <xf numFmtId="0" fontId="0" fillId="0" borderId="5" xfId="0" applyBorder="1" applyAlignment="1">
      <alignment horizontal="left" vertical="center" wrapText="1"/>
    </xf>
    <xf numFmtId="0" fontId="11" fillId="0" borderId="1" xfId="0" applyFont="1" applyBorder="1" applyAlignment="1">
      <alignment horizontal="left" vertical="center" wrapText="1"/>
    </xf>
    <xf numFmtId="0" fontId="0" fillId="0" borderId="6" xfId="0" applyBorder="1" applyAlignment="1">
      <alignment horizontal="left" vertical="center"/>
    </xf>
    <xf numFmtId="0" fontId="11" fillId="0" borderId="5" xfId="0" applyFont="1" applyBorder="1" applyAlignment="1">
      <alignment horizontal="left" vertical="center" wrapText="1"/>
    </xf>
    <xf numFmtId="0" fontId="0" fillId="0" borderId="1" xfId="0" applyBorder="1" applyAlignment="1">
      <alignment horizontal="left" vertical="center"/>
    </xf>
    <xf numFmtId="0" fontId="0" fillId="0" borderId="10" xfId="0" applyBorder="1" applyAlignment="1">
      <alignment horizontal="left" vertical="center"/>
    </xf>
    <xf numFmtId="0" fontId="10" fillId="0" borderId="0" xfId="0" applyFont="1" applyAlignment="1">
      <alignment vertical="center"/>
    </xf>
    <xf numFmtId="0" fontId="11" fillId="9" borderId="1" xfId="0" applyFont="1" applyFill="1" applyBorder="1" applyAlignment="1">
      <alignment vertical="center"/>
    </xf>
    <xf numFmtId="0" fontId="1" fillId="8" borderId="2" xfId="0" applyFont="1" applyFill="1" applyBorder="1" applyAlignment="1">
      <alignment horizontal="left"/>
    </xf>
    <xf numFmtId="0" fontId="13" fillId="0" borderId="6" xfId="1" applyBorder="1" applyAlignment="1">
      <alignment horizontal="left" vertical="center"/>
    </xf>
    <xf numFmtId="0" fontId="2" fillId="2" borderId="1" xfId="0" applyFont="1" applyFill="1" applyBorder="1" applyAlignment="1">
      <alignment horizontal="left" vertical="center"/>
    </xf>
    <xf numFmtId="0" fontId="15" fillId="0" borderId="0" xfId="0" applyFont="1"/>
    <xf numFmtId="0" fontId="16" fillId="0" borderId="0" xfId="0" applyFont="1"/>
    <xf numFmtId="0" fontId="11" fillId="0" borderId="0" xfId="0" applyFont="1"/>
    <xf numFmtId="4" fontId="0" fillId="0" borderId="0" xfId="0" applyNumberFormat="1"/>
    <xf numFmtId="0" fontId="1" fillId="4" borderId="0" xfId="0" applyFont="1" applyFill="1"/>
    <xf numFmtId="3" fontId="1" fillId="4" borderId="0" xfId="0" applyNumberFormat="1" applyFont="1" applyFill="1"/>
    <xf numFmtId="0" fontId="17" fillId="0" borderId="0" xfId="0" applyFont="1"/>
    <xf numFmtId="0" fontId="1" fillId="0" borderId="0" xfId="0" applyFont="1"/>
    <xf numFmtId="1" fontId="1" fillId="4" borderId="0" xfId="0" applyNumberFormat="1" applyFont="1" applyFill="1"/>
    <xf numFmtId="168" fontId="11" fillId="9" borderId="1" xfId="2" applyNumberFormat="1" applyFont="1" applyFill="1" applyBorder="1" applyAlignment="1">
      <alignment vertical="center"/>
    </xf>
    <xf numFmtId="10" fontId="0" fillId="0" borderId="1" xfId="0" applyNumberFormat="1" applyBorder="1" applyAlignment="1">
      <alignment horizontal="left" vertical="center"/>
    </xf>
    <xf numFmtId="168" fontId="11" fillId="0" borderId="1" xfId="2" applyNumberFormat="1" applyFont="1" applyBorder="1" applyAlignment="1">
      <alignment vertical="center"/>
    </xf>
    <xf numFmtId="0" fontId="4" fillId="3" borderId="1" xfId="0" applyFont="1" applyFill="1" applyBorder="1" applyAlignment="1">
      <alignment horizontal="left" vertical="center"/>
    </xf>
    <xf numFmtId="0" fontId="5" fillId="3" borderId="1" xfId="0" applyFont="1" applyFill="1" applyBorder="1" applyAlignment="1">
      <alignment horizontal="center" vertical="center"/>
    </xf>
    <xf numFmtId="165" fontId="5" fillId="3" borderId="1" xfId="0" applyNumberFormat="1" applyFont="1" applyFill="1" applyBorder="1" applyAlignment="1" applyProtection="1">
      <alignment horizontal="center" vertical="center"/>
      <protection locked="0"/>
    </xf>
    <xf numFmtId="49" fontId="5" fillId="3" borderId="1" xfId="0" applyNumberFormat="1" applyFont="1" applyFill="1" applyBorder="1" applyAlignment="1">
      <alignment vertical="center"/>
    </xf>
    <xf numFmtId="0" fontId="5" fillId="3" borderId="1" xfId="0" applyFont="1" applyFill="1" applyBorder="1" applyAlignment="1" applyProtection="1">
      <alignment horizontal="center" vertical="center"/>
      <protection locked="0"/>
    </xf>
    <xf numFmtId="0" fontId="0" fillId="0" borderId="1" xfId="0" applyBorder="1" applyAlignment="1">
      <alignment vertical="center" wrapText="1"/>
    </xf>
    <xf numFmtId="0" fontId="5" fillId="4" borderId="1" xfId="0" applyFont="1" applyFill="1" applyBorder="1" applyAlignment="1">
      <alignment vertical="center"/>
    </xf>
    <xf numFmtId="0" fontId="10" fillId="8" borderId="3" xfId="0" applyFont="1" applyFill="1" applyBorder="1" applyAlignment="1">
      <alignment horizontal="left" vertical="center" wrapText="1"/>
    </xf>
    <xf numFmtId="0" fontId="0" fillId="0" borderId="6" xfId="0" applyBorder="1" applyAlignment="1">
      <alignment horizontal="left" vertical="center" wrapText="1"/>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 fillId="6" borderId="2" xfId="0" applyFont="1" applyFill="1" applyBorder="1" applyAlignment="1">
      <alignment vertical="center" wrapText="1"/>
    </xf>
    <xf numFmtId="0" fontId="1" fillId="6" borderId="3" xfId="0" applyFont="1" applyFill="1" applyBorder="1" applyAlignment="1">
      <alignment vertical="center" wrapText="1"/>
    </xf>
    <xf numFmtId="0" fontId="1" fillId="6" borderId="3" xfId="0" applyFont="1" applyFill="1" applyBorder="1" applyAlignment="1">
      <alignment wrapText="1"/>
    </xf>
    <xf numFmtId="0" fontId="1" fillId="6" borderId="4" xfId="0" applyFont="1" applyFill="1" applyBorder="1" applyAlignment="1">
      <alignment vertical="center" wrapText="1"/>
    </xf>
    <xf numFmtId="0" fontId="13" fillId="0" borderId="6" xfId="1" applyBorder="1" applyAlignment="1">
      <alignment horizontal="left" vertical="center" wrapText="1"/>
    </xf>
    <xf numFmtId="164" fontId="0" fillId="0" borderId="0" xfId="0" applyNumberFormat="1"/>
    <xf numFmtId="164" fontId="11" fillId="0" borderId="1" xfId="2" applyFont="1" applyBorder="1" applyAlignment="1">
      <alignment horizontal="left" vertical="center" wrapText="1"/>
    </xf>
    <xf numFmtId="164" fontId="0" fillId="0" borderId="1" xfId="2" applyFont="1" applyBorder="1" applyAlignment="1">
      <alignment horizontal="left" vertical="center"/>
    </xf>
    <xf numFmtId="10" fontId="0" fillId="0" borderId="1" xfId="0" applyNumberFormat="1" applyBorder="1" applyAlignment="1">
      <alignment horizontal="right" vertical="center"/>
    </xf>
    <xf numFmtId="2" fontId="0" fillId="0" borderId="1" xfId="0" applyNumberFormat="1" applyBorder="1" applyAlignment="1">
      <alignment horizontal="right" vertical="center"/>
    </xf>
    <xf numFmtId="0" fontId="0" fillId="0" borderId="1" xfId="0" applyBorder="1" applyAlignment="1">
      <alignment horizontal="right" vertical="center"/>
    </xf>
    <xf numFmtId="0" fontId="5" fillId="10" borderId="1" xfId="0" applyFont="1" applyFill="1" applyBorder="1" applyAlignment="1">
      <alignment horizontal="left" vertical="center" wrapText="1"/>
    </xf>
    <xf numFmtId="0" fontId="5" fillId="10" borderId="1" xfId="0" applyFont="1" applyFill="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10" fontId="5" fillId="0" borderId="1" xfId="6" applyNumberFormat="1" applyFont="1" applyBorder="1" applyAlignment="1">
      <alignment horizontal="left" vertical="center"/>
    </xf>
    <xf numFmtId="0" fontId="3" fillId="0" borderId="1" xfId="0" applyFont="1" applyBorder="1" applyAlignment="1">
      <alignment horizontal="left" vertical="center"/>
    </xf>
    <xf numFmtId="10" fontId="3" fillId="0" borderId="1" xfId="0" applyNumberFormat="1" applyFont="1" applyBorder="1" applyAlignment="1">
      <alignment horizontal="left" vertical="center"/>
    </xf>
    <xf numFmtId="0" fontId="5" fillId="0" borderId="0" xfId="0" applyFont="1" applyAlignment="1">
      <alignment horizontal="left" vertical="center"/>
    </xf>
    <xf numFmtId="10" fontId="0" fillId="0" borderId="0" xfId="6" applyNumberFormat="1" applyFont="1"/>
    <xf numFmtId="0" fontId="22" fillId="0" borderId="1" xfId="0" applyFont="1" applyBorder="1"/>
    <xf numFmtId="9" fontId="22" fillId="0" borderId="1" xfId="0" applyNumberFormat="1" applyFont="1" applyBorder="1"/>
    <xf numFmtId="9" fontId="0" fillId="0" borderId="0" xfId="6" applyFont="1"/>
    <xf numFmtId="170" fontId="0" fillId="0" borderId="0" xfId="0" applyNumberFormat="1"/>
    <xf numFmtId="0" fontId="13" fillId="0" borderId="1" xfId="1" applyBorder="1" applyAlignment="1" applyProtection="1">
      <alignment vertical="center"/>
      <protection locked="0"/>
    </xf>
    <xf numFmtId="0" fontId="21" fillId="0" borderId="1" xfId="0" applyFont="1" applyBorder="1"/>
    <xf numFmtId="0" fontId="9" fillId="3" borderId="1" xfId="0" applyFont="1" applyFill="1" applyBorder="1" applyAlignment="1">
      <alignment horizontal="left" vertical="center"/>
    </xf>
    <xf numFmtId="10" fontId="0" fillId="3" borderId="1" xfId="0" applyNumberFormat="1" applyFill="1" applyBorder="1" applyAlignment="1" applyProtection="1">
      <alignment horizontal="center" vertical="center"/>
      <protection locked="0"/>
    </xf>
    <xf numFmtId="9" fontId="5" fillId="3" borderId="1" xfId="0" applyNumberFormat="1" applyFont="1" applyFill="1" applyBorder="1" applyAlignment="1">
      <alignment horizontal="center" vertical="center"/>
    </xf>
    <xf numFmtId="9" fontId="5" fillId="3" borderId="1" xfId="0" applyNumberFormat="1" applyFont="1" applyFill="1" applyBorder="1" applyAlignment="1" applyProtection="1">
      <alignment horizontal="center" vertical="center"/>
      <protection locked="0"/>
    </xf>
    <xf numFmtId="10" fontId="5" fillId="3" borderId="1" xfId="0" applyNumberFormat="1" applyFont="1" applyFill="1" applyBorder="1" applyAlignment="1" applyProtection="1">
      <alignment horizontal="center" vertical="center"/>
      <protection locked="0"/>
    </xf>
    <xf numFmtId="43" fontId="0" fillId="0" borderId="0" xfId="0" applyNumberFormat="1"/>
    <xf numFmtId="0" fontId="0" fillId="0" borderId="13" xfId="0" applyBorder="1" applyAlignment="1">
      <alignment horizontal="left" vertical="center"/>
    </xf>
    <xf numFmtId="0" fontId="0" fillId="0" borderId="16" xfId="0" applyBorder="1" applyAlignment="1">
      <alignment horizontal="left" vertical="center"/>
    </xf>
    <xf numFmtId="0" fontId="0" fillId="0" borderId="9" xfId="0" applyBorder="1"/>
    <xf numFmtId="0" fontId="0" fillId="9" borderId="0" xfId="0" applyFill="1"/>
    <xf numFmtId="0" fontId="0" fillId="9" borderId="2" xfId="0" applyFill="1" applyBorder="1" applyAlignment="1">
      <alignment vertical="center" wrapText="1"/>
    </xf>
    <xf numFmtId="0" fontId="11" fillId="9" borderId="5" xfId="0" applyFont="1" applyFill="1" applyBorder="1" applyAlignment="1">
      <alignment vertical="center" wrapText="1"/>
    </xf>
    <xf numFmtId="0" fontId="0" fillId="9" borderId="5" xfId="0" applyFill="1" applyBorder="1" applyAlignment="1">
      <alignment vertical="center" wrapText="1"/>
    </xf>
    <xf numFmtId="0" fontId="0" fillId="9" borderId="5" xfId="0" applyFill="1" applyBorder="1"/>
    <xf numFmtId="0" fontId="13" fillId="9" borderId="1" xfId="1" applyFill="1" applyBorder="1"/>
    <xf numFmtId="0" fontId="0" fillId="9" borderId="1" xfId="0" applyFill="1" applyBorder="1"/>
    <xf numFmtId="0" fontId="0" fillId="9" borderId="6" xfId="0" applyFill="1" applyBorder="1"/>
    <xf numFmtId="0" fontId="11" fillId="9" borderId="7" xfId="0" applyFont="1" applyFill="1" applyBorder="1" applyAlignment="1">
      <alignment vertical="center"/>
    </xf>
    <xf numFmtId="0" fontId="20" fillId="11" borderId="18" xfId="4" applyFill="1" applyBorder="1" applyAlignment="1">
      <alignment vertical="center"/>
    </xf>
    <xf numFmtId="0" fontId="20" fillId="11" borderId="18" xfId="3" applyFill="1" applyBorder="1" applyAlignment="1">
      <alignment vertical="center"/>
    </xf>
    <xf numFmtId="0" fontId="20" fillId="11" borderId="19" xfId="3" applyFill="1" applyBorder="1" applyAlignment="1">
      <alignment vertical="center"/>
    </xf>
    <xf numFmtId="0" fontId="20" fillId="11" borderId="20" xfId="3" applyFill="1" applyBorder="1" applyAlignment="1">
      <alignment vertical="center"/>
    </xf>
    <xf numFmtId="14" fontId="20" fillId="11" borderId="21" xfId="3" applyNumberFormat="1" applyFill="1" applyBorder="1" applyAlignment="1">
      <alignment horizontal="left" vertical="center"/>
    </xf>
    <xf numFmtId="0" fontId="20" fillId="11" borderId="21" xfId="3" applyFill="1" applyBorder="1" applyAlignment="1">
      <alignment vertical="center"/>
    </xf>
    <xf numFmtId="0" fontId="20" fillId="11" borderId="22" xfId="3" applyFill="1" applyBorder="1" applyAlignment="1">
      <alignment vertical="center"/>
    </xf>
    <xf numFmtId="0" fontId="20" fillId="11" borderId="0" xfId="3" applyFill="1" applyAlignment="1">
      <alignment vertical="center"/>
    </xf>
    <xf numFmtId="0" fontId="20" fillId="11" borderId="0" xfId="3" applyFill="1" applyAlignment="1">
      <alignment horizontal="left" vertical="center"/>
    </xf>
    <xf numFmtId="14" fontId="20" fillId="11" borderId="0" xfId="3" applyNumberFormat="1" applyFill="1" applyAlignment="1">
      <alignment horizontal="left" vertical="center"/>
    </xf>
    <xf numFmtId="0" fontId="1" fillId="11" borderId="23" xfId="3" applyFont="1" applyFill="1" applyBorder="1" applyAlignment="1">
      <alignment horizontal="right" vertical="center"/>
    </xf>
    <xf numFmtId="0" fontId="1" fillId="11" borderId="24" xfId="3" applyFont="1" applyFill="1" applyBorder="1" applyAlignment="1">
      <alignment horizontal="right" vertical="center"/>
    </xf>
    <xf numFmtId="0" fontId="3" fillId="11" borderId="24" xfId="5" applyFont="1" applyFill="1" applyBorder="1" applyAlignment="1">
      <alignment horizontal="right" vertical="center"/>
    </xf>
    <xf numFmtId="0" fontId="3" fillId="11" borderId="25" xfId="5" applyFont="1" applyFill="1" applyBorder="1" applyAlignment="1">
      <alignment horizontal="right" vertical="center"/>
    </xf>
    <xf numFmtId="0" fontId="0" fillId="9" borderId="0" xfId="0" applyFill="1" applyAlignment="1">
      <alignment wrapText="1"/>
    </xf>
    <xf numFmtId="14" fontId="0" fillId="9" borderId="5" xfId="0" applyNumberFormat="1" applyFill="1" applyBorder="1" applyAlignment="1">
      <alignment horizontal="center"/>
    </xf>
    <xf numFmtId="14" fontId="0" fillId="9" borderId="1" xfId="0" applyNumberFormat="1" applyFill="1" applyBorder="1" applyAlignment="1">
      <alignment horizontal="center"/>
    </xf>
    <xf numFmtId="168" fontId="0" fillId="9" borderId="1" xfId="2" applyNumberFormat="1" applyFont="1" applyFill="1" applyBorder="1" applyAlignment="1">
      <alignment horizontal="center"/>
    </xf>
    <xf numFmtId="167" fontId="0" fillId="9" borderId="1" xfId="0" applyNumberFormat="1" applyFill="1" applyBorder="1" applyAlignment="1">
      <alignment horizontal="center" vertical="center"/>
    </xf>
    <xf numFmtId="1" fontId="0" fillId="9" borderId="1" xfId="0" applyNumberFormat="1" applyFill="1" applyBorder="1" applyAlignment="1">
      <alignment horizontal="center" vertical="center"/>
    </xf>
    <xf numFmtId="167" fontId="0" fillId="9" borderId="6" xfId="0" applyNumberFormat="1" applyFill="1" applyBorder="1" applyAlignment="1">
      <alignment horizontal="center" vertical="center"/>
    </xf>
    <xf numFmtId="1" fontId="0" fillId="9" borderId="9" xfId="0" applyNumberFormat="1" applyFill="1" applyBorder="1" applyAlignment="1">
      <alignment horizontal="center"/>
    </xf>
    <xf numFmtId="167" fontId="1" fillId="9" borderId="9" xfId="0" applyNumberFormat="1" applyFont="1" applyFill="1" applyBorder="1" applyAlignment="1">
      <alignment horizontal="center" vertical="center"/>
    </xf>
    <xf numFmtId="169" fontId="1" fillId="9" borderId="9" xfId="0" applyNumberFormat="1" applyFont="1" applyFill="1" applyBorder="1" applyAlignment="1">
      <alignment horizontal="center" vertical="center"/>
    </xf>
    <xf numFmtId="167" fontId="1" fillId="9" borderId="10" xfId="0" applyNumberFormat="1" applyFont="1" applyFill="1" applyBorder="1" applyAlignment="1">
      <alignment horizontal="center" vertical="center"/>
    </xf>
    <xf numFmtId="0" fontId="1" fillId="6" borderId="3" xfId="0" applyFont="1" applyFill="1" applyBorder="1" applyAlignment="1">
      <alignment horizontal="center" vertical="center" wrapText="1"/>
    </xf>
    <xf numFmtId="0" fontId="3" fillId="9" borderId="1" xfId="0" applyFont="1" applyFill="1" applyBorder="1" applyAlignment="1">
      <alignment vertical="center"/>
    </xf>
    <xf numFmtId="0" fontId="9" fillId="9" borderId="1" xfId="0" applyFont="1" applyFill="1" applyBorder="1" applyAlignment="1">
      <alignment horizontal="left" vertical="center"/>
    </xf>
    <xf numFmtId="0" fontId="5" fillId="9" borderId="1" xfId="0" applyFont="1" applyFill="1" applyBorder="1" applyAlignment="1">
      <alignment horizontal="center" vertical="center"/>
    </xf>
    <xf numFmtId="2" fontId="5" fillId="9" borderId="1" xfId="0" applyNumberFormat="1" applyFont="1" applyFill="1" applyBorder="1" applyAlignment="1">
      <alignment horizontal="center" vertical="center"/>
    </xf>
    <xf numFmtId="49" fontId="5" fillId="9" borderId="1" xfId="0" applyNumberFormat="1" applyFont="1" applyFill="1" applyBorder="1" applyAlignment="1">
      <alignment vertical="center"/>
    </xf>
    <xf numFmtId="168" fontId="11" fillId="0" borderId="11" xfId="2" applyNumberFormat="1" applyFont="1" applyBorder="1" applyAlignment="1">
      <alignment vertical="center"/>
    </xf>
    <xf numFmtId="169" fontId="0" fillId="0" borderId="1" xfId="0" applyNumberFormat="1" applyBorder="1"/>
    <xf numFmtId="169" fontId="22" fillId="0" borderId="1" xfId="0" applyNumberFormat="1" applyFont="1" applyBorder="1"/>
    <xf numFmtId="0" fontId="0" fillId="12" borderId="1" xfId="0" applyFill="1" applyBorder="1"/>
    <xf numFmtId="10" fontId="0" fillId="12" borderId="1" xfId="6" applyNumberFormat="1" applyFont="1" applyFill="1" applyBorder="1"/>
    <xf numFmtId="0" fontId="0" fillId="13" borderId="1" xfId="0" applyFill="1" applyBorder="1"/>
    <xf numFmtId="10" fontId="0" fillId="13" borderId="1" xfId="6" applyNumberFormat="1" applyFont="1" applyFill="1" applyBorder="1"/>
    <xf numFmtId="0" fontId="3" fillId="10" borderId="1" xfId="0" applyFont="1" applyFill="1" applyBorder="1" applyAlignment="1">
      <alignment horizontal="left" vertical="center" wrapText="1"/>
    </xf>
    <xf numFmtId="0" fontId="25" fillId="0" borderId="1" xfId="0" applyFont="1" applyBorder="1"/>
    <xf numFmtId="0" fontId="11" fillId="9" borderId="1" xfId="0" applyFont="1" applyFill="1" applyBorder="1" applyAlignment="1">
      <alignment vertical="center" wrapText="1"/>
    </xf>
    <xf numFmtId="0" fontId="11" fillId="9" borderId="6" xfId="0" applyFont="1" applyFill="1" applyBorder="1" applyAlignment="1">
      <alignment vertical="center" wrapText="1"/>
    </xf>
    <xf numFmtId="0" fontId="11" fillId="9" borderId="9" xfId="1" applyFont="1" applyFill="1" applyBorder="1" applyAlignment="1">
      <alignment wrapText="1"/>
    </xf>
    <xf numFmtId="0" fontId="11" fillId="9" borderId="10" xfId="1" applyFont="1" applyFill="1" applyBorder="1" applyAlignment="1">
      <alignment wrapText="1"/>
    </xf>
    <xf numFmtId="0" fontId="11" fillId="9" borderId="3" xfId="0" applyFont="1" applyFill="1" applyBorder="1" applyAlignment="1">
      <alignment vertical="center" wrapText="1"/>
    </xf>
    <xf numFmtId="0" fontId="11" fillId="9" borderId="4" xfId="0" applyFont="1" applyFill="1" applyBorder="1" applyAlignment="1">
      <alignmen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0" fillId="9" borderId="1" xfId="0" applyFill="1" applyBorder="1" applyAlignment="1">
      <alignment horizontal="left" vertical="center" wrapText="1"/>
    </xf>
    <xf numFmtId="0" fontId="0" fillId="9" borderId="6" xfId="0" applyFill="1" applyBorder="1" applyAlignment="1">
      <alignment horizontal="left" vertical="center" wrapText="1"/>
    </xf>
    <xf numFmtId="14" fontId="0" fillId="9" borderId="1" xfId="0" applyNumberFormat="1" applyFill="1" applyBorder="1" applyAlignment="1">
      <alignment horizontal="left" vertical="center" wrapText="1"/>
    </xf>
    <xf numFmtId="14" fontId="0" fillId="9" borderId="6" xfId="0" applyNumberFormat="1" applyFill="1" applyBorder="1" applyAlignment="1">
      <alignment horizontal="left" vertical="center" wrapText="1"/>
    </xf>
    <xf numFmtId="14" fontId="1" fillId="9" borderId="15" xfId="0" applyNumberFormat="1" applyFont="1" applyFill="1" applyBorder="1" applyAlignment="1">
      <alignment horizontal="center"/>
    </xf>
    <xf numFmtId="14" fontId="1" fillId="9" borderId="16" xfId="0" applyNumberFormat="1" applyFont="1" applyFill="1" applyBorder="1" applyAlignment="1">
      <alignment horizontal="center"/>
    </xf>
    <xf numFmtId="14" fontId="0" fillId="9" borderId="17" xfId="0" applyNumberFormat="1" applyFill="1" applyBorder="1" applyAlignment="1">
      <alignment horizontal="left" wrapText="1"/>
    </xf>
    <xf numFmtId="14" fontId="0" fillId="9" borderId="14" xfId="0" applyNumberFormat="1" applyFill="1" applyBorder="1" applyAlignment="1">
      <alignment horizontal="left" wrapText="1"/>
    </xf>
    <xf numFmtId="14" fontId="0" fillId="9" borderId="13" xfId="0" applyNumberFormat="1" applyFill="1" applyBorder="1" applyAlignment="1">
      <alignment horizontal="left" wrapText="1"/>
    </xf>
    <xf numFmtId="0" fontId="5" fillId="0" borderId="8"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10" fontId="5" fillId="0" borderId="8" xfId="6" applyNumberFormat="1" applyFont="1" applyBorder="1" applyAlignment="1">
      <alignment horizontal="left" vertical="center"/>
    </xf>
    <xf numFmtId="10" fontId="5" fillId="0" borderId="11" xfId="6" applyNumberFormat="1" applyFont="1" applyBorder="1" applyAlignment="1">
      <alignment horizontal="left" vertical="center"/>
    </xf>
    <xf numFmtId="10" fontId="5" fillId="0" borderId="12" xfId="6" applyNumberFormat="1" applyFont="1" applyBorder="1" applyAlignment="1">
      <alignment horizontal="left" vertical="center"/>
    </xf>
    <xf numFmtId="0" fontId="10" fillId="7" borderId="8" xfId="0" applyFont="1" applyFill="1" applyBorder="1" applyAlignment="1">
      <alignment horizontal="center" vertical="center"/>
    </xf>
    <xf numFmtId="0" fontId="10" fillId="7" borderId="12" xfId="0" applyFont="1" applyFill="1" applyBorder="1" applyAlignment="1">
      <alignment horizontal="center" vertical="center"/>
    </xf>
    <xf numFmtId="0" fontId="10" fillId="7" borderId="8" xfId="0" applyFont="1" applyFill="1" applyBorder="1" applyAlignment="1">
      <alignment horizontal="center" vertical="center" wrapText="1"/>
    </xf>
    <xf numFmtId="0" fontId="10" fillId="7" borderId="12" xfId="0" applyFont="1" applyFill="1" applyBorder="1" applyAlignment="1">
      <alignment horizontal="center" vertical="center" wrapText="1"/>
    </xf>
  </cellXfs>
  <cellStyles count="7">
    <cellStyle name="Comma" xfId="2" builtinId="3"/>
    <cellStyle name="Hyperlink" xfId="1" builtinId="8"/>
    <cellStyle name="Normal" xfId="0" builtinId="0"/>
    <cellStyle name="Normal 2" xfId="3" xr:uid="{B442A733-8A4F-4E83-AB64-D0045A16E528}"/>
    <cellStyle name="Normal 3" xfId="4" xr:uid="{1F00FED1-8F3A-40EF-882F-029B9FD7520B}"/>
    <cellStyle name="Percent" xfId="6" builtinId="5"/>
    <cellStyle name="Standard_100714 1st PV ER calc Tonk v1.3" xfId="5" xr:uid="{CCDB4197-A388-4663-AB6C-4D1C80821FD9}"/>
  </cellStyles>
  <dxfs count="0"/>
  <tableStyles count="0" defaultTableStyle="TableStyleMedium2" defaultPivotStyle="PivotStyleLight16"/>
  <colors>
    <mruColors>
      <color rgb="FFD0CECE"/>
      <color rgb="FFC9E7E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76200</xdr:colOff>
      <xdr:row>26</xdr:row>
      <xdr:rowOff>85725</xdr:rowOff>
    </xdr:from>
    <xdr:to>
      <xdr:col>0</xdr:col>
      <xdr:colOff>2171700</xdr:colOff>
      <xdr:row>27</xdr:row>
      <xdr:rowOff>0</xdr:rowOff>
    </xdr:to>
    <xdr:pic>
      <xdr:nvPicPr>
        <xdr:cNvPr id="2" name="Picture 1">
          <a:extLst>
            <a:ext uri="{FF2B5EF4-FFF2-40B4-BE49-F238E27FC236}">
              <a16:creationId xmlns:a16="http://schemas.microsoft.com/office/drawing/2014/main" id="{B97E35BE-F7E5-2874-373A-2ADFA86B985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6200" y="5324475"/>
          <a:ext cx="2095500"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209550</xdr:colOff>
      <xdr:row>28</xdr:row>
      <xdr:rowOff>19050</xdr:rowOff>
    </xdr:from>
    <xdr:to>
      <xdr:col>0</xdr:col>
      <xdr:colOff>2276475</xdr:colOff>
      <xdr:row>29</xdr:row>
      <xdr:rowOff>47625</xdr:rowOff>
    </xdr:to>
    <xdr:pic>
      <xdr:nvPicPr>
        <xdr:cNvPr id="3" name="Picture 2">
          <a:extLst>
            <a:ext uri="{FF2B5EF4-FFF2-40B4-BE49-F238E27FC236}">
              <a16:creationId xmlns:a16="http://schemas.microsoft.com/office/drawing/2014/main" id="{A6849678-3E9D-D928-EF5A-F5B5CC7A520E}"/>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9550" y="6067425"/>
          <a:ext cx="206692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71157</xdr:colOff>
      <xdr:row>2</xdr:row>
      <xdr:rowOff>47625</xdr:rowOff>
    </xdr:from>
    <xdr:ext cx="1650794" cy="317461"/>
    <xdr:pic>
      <xdr:nvPicPr>
        <xdr:cNvPr id="8" name="Picture 7">
          <a:extLst>
            <a:ext uri="{FF2B5EF4-FFF2-40B4-BE49-F238E27FC236}">
              <a16:creationId xmlns:a16="http://schemas.microsoft.com/office/drawing/2014/main" id="{D6FBF2BF-A1DD-4495-A8DD-A3CFBAD07A43}"/>
            </a:ext>
          </a:extLst>
        </xdr:cNvPr>
        <xdr:cNvPicPr>
          <a:picLocks noChangeAspect="1"/>
        </xdr:cNvPicPr>
      </xdr:nvPicPr>
      <xdr:blipFill>
        <a:blip xmlns:r="http://schemas.openxmlformats.org/officeDocument/2006/relationships" r:embed="rId1"/>
        <a:stretch>
          <a:fillRect/>
        </a:stretch>
      </xdr:blipFill>
      <xdr:spPr>
        <a:xfrm>
          <a:off x="71157" y="571500"/>
          <a:ext cx="1650794" cy="317461"/>
        </a:xfrm>
        <a:prstGeom prst="rect">
          <a:avLst/>
        </a:prstGeom>
      </xdr:spPr>
    </xdr:pic>
    <xdr:clientData/>
  </xdr:oneCellAnchor>
  <xdr:oneCellAnchor>
    <xdr:from>
      <xdr:col>0</xdr:col>
      <xdr:colOff>30256</xdr:colOff>
      <xdr:row>11</xdr:row>
      <xdr:rowOff>50427</xdr:rowOff>
    </xdr:from>
    <xdr:ext cx="2692063" cy="333333"/>
    <xdr:pic>
      <xdr:nvPicPr>
        <xdr:cNvPr id="9" name="Picture 8">
          <a:extLst>
            <a:ext uri="{FF2B5EF4-FFF2-40B4-BE49-F238E27FC236}">
              <a16:creationId xmlns:a16="http://schemas.microsoft.com/office/drawing/2014/main" id="{B5F658A7-017E-4102-960B-85DD4F172707}"/>
            </a:ext>
          </a:extLst>
        </xdr:cNvPr>
        <xdr:cNvPicPr>
          <a:picLocks noChangeAspect="1"/>
        </xdr:cNvPicPr>
      </xdr:nvPicPr>
      <xdr:blipFill>
        <a:blip xmlns:r="http://schemas.openxmlformats.org/officeDocument/2006/relationships" r:embed="rId2"/>
        <a:stretch>
          <a:fillRect/>
        </a:stretch>
      </xdr:blipFill>
      <xdr:spPr>
        <a:xfrm>
          <a:off x="30256" y="2288802"/>
          <a:ext cx="2692063" cy="333333"/>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Rajib Pramanik" id="{EC5A07F0-7B6D-4E51-B335-531ACEDC25CF}" userId="1490f5f562c3b5f7"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 dT="2025-02-07T09:21:08.27" personId="{EC5A07F0-7B6D-4E51-B335-531ACEDC25CF}" id="{975D1839-A1EA-45BB-9CC4-8CF4580DF979}">
    <text>Every year filter distributed?</text>
  </threadedComment>
</ThreadedComments>
</file>

<file path=xl/threadedComments/threadedComment2.xml><?xml version="1.0" encoding="utf-8"?>
<ThreadedComments xmlns="http://schemas.microsoft.com/office/spreadsheetml/2018/threadedcomments" xmlns:x="http://schemas.openxmlformats.org/spreadsheetml/2006/main">
  <threadedComment ref="D19" dT="2025-02-07T09:33:02.24" personId="{EC5A07F0-7B6D-4E51-B335-531ACEDC25CF}" id="{8B2CDB21-F82D-4748-818B-93FF628468A8}">
    <text xml:space="preserve">Survey result or assumption?
</text>
  </threadedComment>
</ThreadedComments>
</file>

<file path=xl/worksheets/_rels/sheet1.xml.rels><?xml version="1.0" encoding="UTF-8" standalone="yes"?>
<Relationships xmlns="http://schemas.openxmlformats.org/package/2006/relationships"><Relationship Id="rId1" Type="http://schemas.openxmlformats.org/officeDocument/2006/relationships/hyperlink" Target="https://registry.goldstandard.org/projects/details/421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ceew.in/sites/default/files/CEEW-Roadmap-for-Access-to-Clean-Cooking-Energy-in-India-Report-31Oct19-min.pdf" TargetMode="External"/><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globalgoals.goldstandard.org/standards/429_V1.0_EE_SWS_Emission-reductions-from-Safe-Drinking-Water-Supply.pdf" TargetMode="External"/><Relationship Id="rId1" Type="http://schemas.openxmlformats.org/officeDocument/2006/relationships/hyperlink" Target="https://www.ipcc-nggip.iges.or.jp/public/2006gl/pdf/2_Volume2/V2_1_Ch1_Introduct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F6C4-0845-4715-84AA-6171778E91C6}">
  <dimension ref="D4:BA13"/>
  <sheetViews>
    <sheetView topLeftCell="AV1" workbookViewId="0">
      <selection activeCell="AZ11" sqref="AZ11"/>
    </sheetView>
  </sheetViews>
  <sheetFormatPr defaultColWidth="8.7109375" defaultRowHeight="15"/>
  <cols>
    <col min="1" max="3" width="8.7109375" style="107"/>
    <col min="4" max="4" width="37.5703125" style="107" bestFit="1" customWidth="1"/>
    <col min="5" max="6" width="8.7109375" style="107"/>
    <col min="7" max="7" width="47.5703125" style="107" customWidth="1"/>
    <col min="8" max="48" width="8.7109375" style="107"/>
    <col min="49" max="49" width="21.5703125" style="107" bestFit="1" customWidth="1"/>
    <col min="50" max="50" width="24.28515625" style="107" customWidth="1"/>
    <col min="51" max="51" width="20.28515625" style="107" customWidth="1"/>
    <col min="52" max="52" width="18.5703125" style="107" customWidth="1"/>
    <col min="53" max="53" width="39.42578125" style="107" customWidth="1"/>
    <col min="54" max="16384" width="8.7109375" style="107"/>
  </cols>
  <sheetData>
    <row r="4" spans="4:53" ht="15.75" thickBot="1"/>
    <row r="5" spans="4:53" ht="15.75" thickBot="1">
      <c r="D5" s="108" t="s">
        <v>205</v>
      </c>
      <c r="E5" s="160" t="s">
        <v>206</v>
      </c>
      <c r="F5" s="160"/>
      <c r="G5" s="161"/>
    </row>
    <row r="6" spans="4:53" ht="20.45" customHeight="1">
      <c r="D6" s="109" t="s">
        <v>207</v>
      </c>
      <c r="E6" s="156" t="s">
        <v>208</v>
      </c>
      <c r="F6" s="156"/>
      <c r="G6" s="157"/>
      <c r="AW6" s="126" t="s">
        <v>221</v>
      </c>
      <c r="AX6" s="116" t="s">
        <v>206</v>
      </c>
      <c r="AY6" s="117"/>
      <c r="AZ6" s="117"/>
      <c r="BA6" s="118"/>
    </row>
    <row r="7" spans="4:53" ht="20.45" customHeight="1">
      <c r="D7" s="109" t="s">
        <v>216</v>
      </c>
      <c r="E7" s="162" t="s">
        <v>209</v>
      </c>
      <c r="F7" s="162"/>
      <c r="G7" s="163"/>
      <c r="AW7" s="127" t="s">
        <v>222</v>
      </c>
      <c r="AX7" s="124" t="s">
        <v>223</v>
      </c>
      <c r="AY7" s="123"/>
      <c r="AZ7" s="123"/>
      <c r="BA7" s="119"/>
    </row>
    <row r="8" spans="4:53" ht="20.45" customHeight="1">
      <c r="D8" s="109" t="s">
        <v>210</v>
      </c>
      <c r="E8" s="162">
        <v>1</v>
      </c>
      <c r="F8" s="162"/>
      <c r="G8" s="163"/>
      <c r="AW8" s="128" t="s">
        <v>224</v>
      </c>
      <c r="AX8" s="124" t="s">
        <v>225</v>
      </c>
      <c r="AY8" s="123"/>
      <c r="AZ8" s="123"/>
      <c r="BA8" s="119"/>
    </row>
    <row r="9" spans="4:53" ht="20.45" customHeight="1">
      <c r="D9" s="110" t="s">
        <v>211</v>
      </c>
      <c r="E9" s="164">
        <v>3</v>
      </c>
      <c r="F9" s="164"/>
      <c r="G9" s="165"/>
      <c r="AW9" s="128" t="s">
        <v>226</v>
      </c>
      <c r="AX9" s="125">
        <v>45057</v>
      </c>
      <c r="AY9" s="123"/>
      <c r="AZ9" s="123"/>
      <c r="BA9" s="119"/>
    </row>
    <row r="10" spans="4:53" ht="20.45" customHeight="1">
      <c r="D10" s="109" t="s">
        <v>212</v>
      </c>
      <c r="E10" s="166">
        <v>45555</v>
      </c>
      <c r="F10" s="166"/>
      <c r="G10" s="167"/>
      <c r="AW10" s="128" t="s">
        <v>227</v>
      </c>
      <c r="AX10" s="124">
        <v>3</v>
      </c>
      <c r="AY10" s="123"/>
      <c r="AZ10" s="123"/>
      <c r="BA10" s="119"/>
    </row>
    <row r="11" spans="4:53" ht="20.45" customHeight="1" thickBot="1">
      <c r="D11" s="110" t="s">
        <v>217</v>
      </c>
      <c r="E11" s="156" t="s">
        <v>213</v>
      </c>
      <c r="F11" s="156"/>
      <c r="G11" s="157"/>
      <c r="AW11" s="129" t="s">
        <v>228</v>
      </c>
      <c r="AX11" s="120">
        <v>45693</v>
      </c>
      <c r="AY11" s="121"/>
      <c r="AZ11" s="121"/>
      <c r="BA11" s="122"/>
    </row>
    <row r="12" spans="4:53">
      <c r="D12" s="111" t="s">
        <v>214</v>
      </c>
      <c r="E12" s="112" t="s">
        <v>215</v>
      </c>
      <c r="F12" s="113"/>
      <c r="G12" s="114"/>
    </row>
    <row r="13" spans="4:53" ht="47.25" customHeight="1" thickBot="1">
      <c r="D13" s="115" t="s">
        <v>219</v>
      </c>
      <c r="E13" s="158" t="s">
        <v>220</v>
      </c>
      <c r="F13" s="158"/>
      <c r="G13" s="159"/>
    </row>
  </sheetData>
  <mergeCells count="8">
    <mergeCell ref="E11:G11"/>
    <mergeCell ref="E13:G13"/>
    <mergeCell ref="E5:G5"/>
    <mergeCell ref="E6:G6"/>
    <mergeCell ref="E7:G7"/>
    <mergeCell ref="E8:G8"/>
    <mergeCell ref="E9:G9"/>
    <mergeCell ref="E10:G10"/>
  </mergeCells>
  <hyperlinks>
    <hyperlink ref="E12" r:id="rId1" xr:uid="{1973DE99-C584-42B6-82F9-F5F9667308B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Z10"/>
  <sheetViews>
    <sheetView zoomScale="115" zoomScaleNormal="115" workbookViewId="0">
      <selection activeCell="E8" sqref="E8"/>
    </sheetView>
  </sheetViews>
  <sheetFormatPr defaultColWidth="8.7109375" defaultRowHeight="15"/>
  <cols>
    <col min="1" max="1" width="8.7109375" style="107"/>
    <col min="2" max="3" width="11.28515625" style="107" bestFit="1" customWidth="1"/>
    <col min="4" max="4" width="18.42578125" style="107" customWidth="1"/>
    <col min="5" max="5" width="15" style="107" customWidth="1"/>
    <col min="6" max="7" width="11" style="107" customWidth="1"/>
    <col min="8" max="8" width="15" style="107" customWidth="1"/>
    <col min="9" max="16384" width="8.7109375" style="107"/>
  </cols>
  <sheetData>
    <row r="2" spans="2:52" ht="8.25" customHeight="1" thickBot="1"/>
    <row r="3" spans="2:52" ht="45.75" customHeight="1">
      <c r="B3" s="72" t="s">
        <v>106</v>
      </c>
      <c r="C3" s="73" t="s">
        <v>107</v>
      </c>
      <c r="D3" s="141" t="s">
        <v>280</v>
      </c>
      <c r="E3" s="74" t="s">
        <v>110</v>
      </c>
      <c r="F3" s="73" t="s">
        <v>145</v>
      </c>
      <c r="G3" s="73" t="s">
        <v>146</v>
      </c>
      <c r="H3" s="75" t="s">
        <v>111</v>
      </c>
      <c r="AZ3" s="130" t="s">
        <v>108</v>
      </c>
    </row>
    <row r="4" spans="2:52">
      <c r="B4" s="131">
        <v>45057</v>
      </c>
      <c r="C4" s="132">
        <v>45422</v>
      </c>
      <c r="D4" s="133">
        <f>'Emission Reduction'!$D$21</f>
        <v>2010</v>
      </c>
      <c r="E4" s="134">
        <f>'Emission Reduction'!$D$33</f>
        <v>5745</v>
      </c>
      <c r="F4" s="135">
        <v>0</v>
      </c>
      <c r="G4" s="135">
        <v>0</v>
      </c>
      <c r="H4" s="136">
        <f>E4-F4-G4</f>
        <v>5745</v>
      </c>
    </row>
    <row r="5" spans="2:52">
      <c r="B5" s="131">
        <v>45292</v>
      </c>
      <c r="C5" s="132">
        <v>45787</v>
      </c>
      <c r="D5" s="133">
        <f>'Emission Reduction'!$D$21</f>
        <v>2010</v>
      </c>
      <c r="E5" s="134">
        <f>'Emission Reduction'!$D$33</f>
        <v>5745</v>
      </c>
      <c r="F5" s="135">
        <v>0</v>
      </c>
      <c r="G5" s="135">
        <v>0</v>
      </c>
      <c r="H5" s="136">
        <f t="shared" ref="H5:H9" si="0">E5-F5-G5</f>
        <v>5745</v>
      </c>
    </row>
    <row r="6" spans="2:52">
      <c r="B6" s="131">
        <v>45658</v>
      </c>
      <c r="C6" s="132">
        <v>46152</v>
      </c>
      <c r="D6" s="133">
        <f>'Emission Reduction'!$D$21</f>
        <v>2010</v>
      </c>
      <c r="E6" s="134">
        <f>'Emission Reduction'!$D$33</f>
        <v>5745</v>
      </c>
      <c r="F6" s="135">
        <v>0</v>
      </c>
      <c r="G6" s="135">
        <v>0</v>
      </c>
      <c r="H6" s="136">
        <f t="shared" si="0"/>
        <v>5745</v>
      </c>
    </row>
    <row r="7" spans="2:52">
      <c r="B7" s="131">
        <v>46023</v>
      </c>
      <c r="C7" s="132">
        <v>46517</v>
      </c>
      <c r="D7" s="133">
        <f>'Emission Reduction'!$D$21</f>
        <v>2010</v>
      </c>
      <c r="E7" s="134">
        <f>'Emission Reduction'!$D$33</f>
        <v>5745</v>
      </c>
      <c r="F7" s="135">
        <v>0</v>
      </c>
      <c r="G7" s="135">
        <v>0</v>
      </c>
      <c r="H7" s="136">
        <f t="shared" si="0"/>
        <v>5745</v>
      </c>
    </row>
    <row r="8" spans="2:52">
      <c r="B8" s="131">
        <v>46388</v>
      </c>
      <c r="C8" s="132">
        <v>46883</v>
      </c>
      <c r="D8" s="133">
        <f>'Emission Reduction'!$D$21</f>
        <v>2010</v>
      </c>
      <c r="E8" s="134">
        <f>'Emission Reduction'!$D$33</f>
        <v>5745</v>
      </c>
      <c r="F8" s="135">
        <v>0</v>
      </c>
      <c r="G8" s="135">
        <v>0</v>
      </c>
      <c r="H8" s="136">
        <f t="shared" si="0"/>
        <v>5745</v>
      </c>
    </row>
    <row r="9" spans="2:52" ht="15" customHeight="1">
      <c r="B9" s="170" t="s">
        <v>142</v>
      </c>
      <c r="C9" s="171"/>
      <c r="D9" s="172"/>
      <c r="E9" s="134">
        <f>'Emission Reduction'!$D$33</f>
        <v>5745</v>
      </c>
      <c r="F9" s="135">
        <v>0</v>
      </c>
      <c r="G9" s="135">
        <v>0</v>
      </c>
      <c r="H9" s="136">
        <f t="shared" si="0"/>
        <v>5745</v>
      </c>
    </row>
    <row r="10" spans="2:52" ht="15.75" thickBot="1">
      <c r="B10" s="168" t="s">
        <v>109</v>
      </c>
      <c r="C10" s="169"/>
      <c r="D10" s="137"/>
      <c r="E10" s="138">
        <f>SUM(E4:E8)</f>
        <v>28725</v>
      </c>
      <c r="F10" s="139">
        <f>SUM(F4:F9)</f>
        <v>0</v>
      </c>
      <c r="G10" s="139">
        <f>SUM(G4:G9)</f>
        <v>0</v>
      </c>
      <c r="H10" s="140">
        <f>SUM(H4:H8)</f>
        <v>28725</v>
      </c>
    </row>
  </sheetData>
  <mergeCells count="2">
    <mergeCell ref="B10:C10"/>
    <mergeCell ref="B9:D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8"/>
  <sheetViews>
    <sheetView zoomScaleNormal="100" workbookViewId="0">
      <pane xSplit="2" ySplit="1" topLeftCell="C2" activePane="bottomRight" state="frozen"/>
      <selection pane="topRight" activeCell="C1" sqref="C1"/>
      <selection pane="bottomLeft" activeCell="A2" sqref="A2"/>
      <selection pane="bottomRight" activeCell="B40" sqref="B40"/>
    </sheetView>
  </sheetViews>
  <sheetFormatPr defaultRowHeight="15"/>
  <cols>
    <col min="1" max="1" width="44.140625" customWidth="1"/>
    <col min="2" max="2" width="38.42578125" customWidth="1"/>
    <col min="3" max="3" width="32.42578125" customWidth="1"/>
    <col min="4" max="4" width="19.140625" customWidth="1"/>
    <col min="5" max="5" width="18.5703125" customWidth="1"/>
    <col min="6" max="6" width="255.7109375" bestFit="1" customWidth="1"/>
    <col min="7" max="7" width="79.85546875" bestFit="1" customWidth="1"/>
  </cols>
  <sheetData>
    <row r="1" spans="1:7" ht="31.5">
      <c r="A1" s="1" t="s">
        <v>0</v>
      </c>
      <c r="B1" s="1" t="s">
        <v>1</v>
      </c>
      <c r="C1" s="2" t="s">
        <v>2</v>
      </c>
      <c r="D1" s="2" t="s">
        <v>91</v>
      </c>
      <c r="E1" s="1" t="s">
        <v>3</v>
      </c>
      <c r="F1" s="48" t="s">
        <v>4</v>
      </c>
      <c r="G1" s="1" t="s">
        <v>5</v>
      </c>
    </row>
    <row r="2" spans="1:7">
      <c r="A2" s="26"/>
      <c r="B2" s="18" t="s">
        <v>73</v>
      </c>
      <c r="C2" s="15"/>
      <c r="D2" s="15">
        <v>360.83</v>
      </c>
      <c r="E2" s="17" t="s">
        <v>74</v>
      </c>
      <c r="F2" s="17" t="s">
        <v>75</v>
      </c>
      <c r="G2" s="27" t="s">
        <v>76</v>
      </c>
    </row>
    <row r="3" spans="1:7">
      <c r="A3" s="3" t="s">
        <v>100</v>
      </c>
      <c r="B3" s="14" t="s">
        <v>7</v>
      </c>
      <c r="C3" s="15" t="s">
        <v>6</v>
      </c>
      <c r="D3" s="16">
        <v>0.94059999999999999</v>
      </c>
      <c r="E3" s="17" t="s">
        <v>8</v>
      </c>
      <c r="F3" s="17" t="s">
        <v>173</v>
      </c>
      <c r="G3" s="4" t="s">
        <v>259</v>
      </c>
    </row>
    <row r="4" spans="1:7">
      <c r="A4" s="3" t="s">
        <v>100</v>
      </c>
      <c r="B4" s="98" t="s">
        <v>229</v>
      </c>
      <c r="C4" s="62" t="s">
        <v>6</v>
      </c>
      <c r="D4" s="99">
        <v>5.9400000000000001E-2</v>
      </c>
      <c r="E4" s="64" t="s">
        <v>8</v>
      </c>
      <c r="F4" s="64" t="s">
        <v>173</v>
      </c>
      <c r="G4" s="4" t="s">
        <v>259</v>
      </c>
    </row>
    <row r="5" spans="1:7">
      <c r="A5" s="3" t="s">
        <v>10</v>
      </c>
      <c r="B5" s="18" t="s">
        <v>11</v>
      </c>
      <c r="C5" s="15">
        <v>112</v>
      </c>
      <c r="D5" s="19">
        <v>112</v>
      </c>
      <c r="E5" s="17" t="s">
        <v>12</v>
      </c>
      <c r="F5" s="17" t="s">
        <v>13</v>
      </c>
      <c r="G5" s="4" t="s">
        <v>14</v>
      </c>
    </row>
    <row r="6" spans="1:7">
      <c r="A6" s="3" t="s">
        <v>15</v>
      </c>
      <c r="B6" s="98" t="s">
        <v>230</v>
      </c>
      <c r="C6" s="62">
        <v>63.1</v>
      </c>
      <c r="D6" s="62">
        <f>C6</f>
        <v>63.1</v>
      </c>
      <c r="E6" s="64" t="s">
        <v>12</v>
      </c>
      <c r="F6" s="64" t="s">
        <v>232</v>
      </c>
      <c r="G6" s="4" t="s">
        <v>14</v>
      </c>
    </row>
    <row r="7" spans="1:7">
      <c r="A7" s="3" t="s">
        <v>16</v>
      </c>
      <c r="B7" s="18" t="s">
        <v>17</v>
      </c>
      <c r="C7" s="15">
        <v>9.4600000000000009</v>
      </c>
      <c r="D7" s="19">
        <v>9.4600000000000009</v>
      </c>
      <c r="E7" s="17" t="s">
        <v>18</v>
      </c>
      <c r="F7" s="17" t="s">
        <v>19</v>
      </c>
      <c r="G7" s="4" t="s">
        <v>14</v>
      </c>
    </row>
    <row r="8" spans="1:7">
      <c r="A8" s="3" t="s">
        <v>20</v>
      </c>
      <c r="B8" s="98" t="s">
        <v>231</v>
      </c>
      <c r="C8" s="62">
        <v>0</v>
      </c>
      <c r="D8" s="62">
        <v>0</v>
      </c>
      <c r="E8" s="64" t="s">
        <v>18</v>
      </c>
      <c r="F8" s="64" t="s">
        <v>233</v>
      </c>
      <c r="G8" s="4" t="s">
        <v>14</v>
      </c>
    </row>
    <row r="9" spans="1:7">
      <c r="A9" s="3" t="s">
        <v>92</v>
      </c>
      <c r="B9" s="18" t="s">
        <v>21</v>
      </c>
      <c r="C9" s="20">
        <v>0.1</v>
      </c>
      <c r="D9" s="21">
        <v>0.1</v>
      </c>
      <c r="E9" s="17" t="s">
        <v>22</v>
      </c>
      <c r="F9" s="17" t="s">
        <v>23</v>
      </c>
      <c r="G9" s="4" t="s">
        <v>147</v>
      </c>
    </row>
    <row r="10" spans="1:7">
      <c r="A10" s="3" t="s">
        <v>92</v>
      </c>
      <c r="B10" s="61" t="s">
        <v>234</v>
      </c>
      <c r="C10" s="100">
        <v>0.56999999999999995</v>
      </c>
      <c r="D10" s="101">
        <f>C10</f>
        <v>0.56999999999999995</v>
      </c>
      <c r="E10" s="64" t="s">
        <v>22</v>
      </c>
      <c r="F10" s="64" t="s">
        <v>255</v>
      </c>
      <c r="G10" s="96" t="s">
        <v>256</v>
      </c>
    </row>
    <row r="11" spans="1:7">
      <c r="A11" s="3" t="s">
        <v>25</v>
      </c>
      <c r="B11" s="61" t="s">
        <v>26</v>
      </c>
      <c r="C11" s="62" t="s">
        <v>27</v>
      </c>
      <c r="D11" s="102">
        <f>('Basline survey'!D7+'Basline survey'!D8)*'Basline survey'!D23+'Basline survey'!G15</f>
        <v>2.222222222222222E-2</v>
      </c>
      <c r="E11" s="64" t="s">
        <v>22</v>
      </c>
      <c r="F11" s="64" t="s">
        <v>150</v>
      </c>
      <c r="G11" s="4" t="s">
        <v>28</v>
      </c>
    </row>
    <row r="12" spans="1:7">
      <c r="A12" s="3" t="s">
        <v>29</v>
      </c>
      <c r="B12" s="18" t="s">
        <v>30</v>
      </c>
      <c r="C12" s="15" t="s">
        <v>172</v>
      </c>
      <c r="D12" s="19">
        <v>6</v>
      </c>
      <c r="E12" s="17" t="s">
        <v>31</v>
      </c>
      <c r="F12" s="17" t="s">
        <v>32</v>
      </c>
      <c r="G12" s="4" t="s">
        <v>33</v>
      </c>
    </row>
    <row r="13" spans="1:7">
      <c r="A13" s="3" t="s">
        <v>41</v>
      </c>
      <c r="B13" s="61" t="s">
        <v>42</v>
      </c>
      <c r="C13" s="62" t="s">
        <v>43</v>
      </c>
      <c r="D13" s="63">
        <v>0.89200000000000002</v>
      </c>
      <c r="E13" s="64" t="s">
        <v>44</v>
      </c>
      <c r="F13" s="64" t="s">
        <v>45</v>
      </c>
      <c r="G13" s="4" t="s">
        <v>257</v>
      </c>
    </row>
    <row r="14" spans="1:7">
      <c r="A14" s="3" t="s">
        <v>95</v>
      </c>
      <c r="B14" s="61" t="s">
        <v>49</v>
      </c>
      <c r="C14" s="62">
        <v>4</v>
      </c>
      <c r="D14" s="65">
        <v>4</v>
      </c>
      <c r="E14" s="64" t="s">
        <v>50</v>
      </c>
      <c r="F14" s="64" t="s">
        <v>51</v>
      </c>
      <c r="G14" s="4" t="s">
        <v>147</v>
      </c>
    </row>
    <row r="15" spans="1:7">
      <c r="A15" s="3" t="s">
        <v>61</v>
      </c>
      <c r="B15" s="61" t="s">
        <v>62</v>
      </c>
      <c r="C15" s="62">
        <v>5</v>
      </c>
      <c r="D15" s="65">
        <v>5</v>
      </c>
      <c r="E15" s="64" t="s">
        <v>63</v>
      </c>
      <c r="F15" s="64" t="s">
        <v>64</v>
      </c>
      <c r="G15" s="4" t="s">
        <v>24</v>
      </c>
    </row>
    <row r="16" spans="1:7">
      <c r="A16" s="5" t="s">
        <v>34</v>
      </c>
      <c r="B16" s="6" t="s">
        <v>35</v>
      </c>
      <c r="C16" s="7" t="s">
        <v>6</v>
      </c>
      <c r="D16" s="33">
        <v>1</v>
      </c>
      <c r="E16" s="8" t="s">
        <v>36</v>
      </c>
      <c r="F16" s="8" t="s">
        <v>37</v>
      </c>
      <c r="G16" s="4" t="s">
        <v>93</v>
      </c>
    </row>
    <row r="17" spans="1:7">
      <c r="A17" s="5" t="s">
        <v>38</v>
      </c>
      <c r="B17" s="6" t="s">
        <v>39</v>
      </c>
      <c r="C17" s="7" t="s">
        <v>6</v>
      </c>
      <c r="D17" s="7" t="s">
        <v>192</v>
      </c>
      <c r="E17" s="8" t="s">
        <v>40</v>
      </c>
      <c r="F17" s="8" t="s">
        <v>94</v>
      </c>
      <c r="G17" s="4" t="s">
        <v>9</v>
      </c>
    </row>
    <row r="18" spans="1:7">
      <c r="A18" s="5" t="s">
        <v>188</v>
      </c>
      <c r="B18" s="67" t="s">
        <v>189</v>
      </c>
      <c r="C18" s="7" t="s">
        <v>6</v>
      </c>
      <c r="D18" s="7" t="s">
        <v>6</v>
      </c>
      <c r="E18" s="67" t="s">
        <v>190</v>
      </c>
      <c r="F18" s="67" t="s">
        <v>191</v>
      </c>
      <c r="G18" s="4"/>
    </row>
    <row r="19" spans="1:7">
      <c r="A19" s="5" t="s">
        <v>46</v>
      </c>
      <c r="B19" s="6" t="s">
        <v>47</v>
      </c>
      <c r="C19" s="7" t="s">
        <v>6</v>
      </c>
      <c r="D19" s="10">
        <v>0</v>
      </c>
      <c r="E19" s="8" t="s">
        <v>44</v>
      </c>
      <c r="F19" s="8" t="s">
        <v>48</v>
      </c>
      <c r="G19" s="4" t="s">
        <v>276</v>
      </c>
    </row>
    <row r="20" spans="1:7">
      <c r="A20" s="5" t="s">
        <v>96</v>
      </c>
      <c r="B20" s="6" t="s">
        <v>52</v>
      </c>
      <c r="C20" s="7" t="s">
        <v>53</v>
      </c>
      <c r="D20" s="12">
        <v>5.36</v>
      </c>
      <c r="E20" s="8" t="s">
        <v>54</v>
      </c>
      <c r="F20" s="8" t="s">
        <v>55</v>
      </c>
      <c r="G20" s="4" t="s">
        <v>178</v>
      </c>
    </row>
    <row r="21" spans="1:7">
      <c r="A21" s="5" t="s">
        <v>56</v>
      </c>
      <c r="B21" s="6" t="s">
        <v>57</v>
      </c>
      <c r="C21" s="7" t="s">
        <v>6</v>
      </c>
      <c r="D21" s="7">
        <v>2010</v>
      </c>
      <c r="E21" s="8" t="s">
        <v>54</v>
      </c>
      <c r="F21" s="8" t="s">
        <v>149</v>
      </c>
      <c r="G21" s="4" t="s">
        <v>168</v>
      </c>
    </row>
    <row r="22" spans="1:7">
      <c r="A22" s="5" t="s">
        <v>58</v>
      </c>
      <c r="B22" s="6" t="s">
        <v>59</v>
      </c>
      <c r="C22" s="9" t="s">
        <v>60</v>
      </c>
      <c r="D22" s="13">
        <v>1</v>
      </c>
      <c r="E22" s="8" t="s">
        <v>44</v>
      </c>
      <c r="F22" s="8" t="s">
        <v>151</v>
      </c>
      <c r="G22" s="4" t="s">
        <v>93</v>
      </c>
    </row>
    <row r="23" spans="1:7">
      <c r="A23" s="5" t="s">
        <v>65</v>
      </c>
      <c r="B23" s="6" t="s">
        <v>66</v>
      </c>
      <c r="C23" s="7" t="s">
        <v>6</v>
      </c>
      <c r="D23" s="11">
        <v>365</v>
      </c>
      <c r="E23" s="8" t="s">
        <v>67</v>
      </c>
      <c r="F23" s="8" t="s">
        <v>68</v>
      </c>
      <c r="G23" s="4"/>
    </row>
    <row r="24" spans="1:7">
      <c r="A24" s="5" t="s">
        <v>69</v>
      </c>
      <c r="B24" s="6" t="s">
        <v>70</v>
      </c>
      <c r="C24" s="7" t="s">
        <v>6</v>
      </c>
      <c r="D24" s="11">
        <v>1</v>
      </c>
      <c r="E24" s="8" t="s">
        <v>54</v>
      </c>
      <c r="F24" s="8" t="s">
        <v>71</v>
      </c>
      <c r="G24" s="4" t="s">
        <v>168</v>
      </c>
    </row>
    <row r="25" spans="1:7" s="107" customFormat="1" ht="18">
      <c r="A25" s="142" t="s">
        <v>277</v>
      </c>
      <c r="B25" s="143" t="s">
        <v>269</v>
      </c>
      <c r="C25" s="144" t="s">
        <v>6</v>
      </c>
      <c r="D25" s="145">
        <f>D2/D9</f>
        <v>3608.2999999999997</v>
      </c>
      <c r="E25" s="146" t="s">
        <v>74</v>
      </c>
      <c r="F25" s="146" t="s">
        <v>270</v>
      </c>
      <c r="G25" s="113" t="s">
        <v>84</v>
      </c>
    </row>
    <row r="26" spans="1:7" s="107" customFormat="1" ht="18">
      <c r="A26" s="142" t="s">
        <v>277</v>
      </c>
      <c r="B26" s="143" t="s">
        <v>268</v>
      </c>
      <c r="C26" s="144" t="s">
        <v>6</v>
      </c>
      <c r="D26" s="145">
        <f>D2/D10</f>
        <v>633.0350877192983</v>
      </c>
      <c r="E26" s="146" t="s">
        <v>74</v>
      </c>
      <c r="F26" s="146" t="s">
        <v>271</v>
      </c>
      <c r="G26" s="113" t="s">
        <v>84</v>
      </c>
    </row>
    <row r="27" spans="1:7" ht="39" customHeight="1">
      <c r="B27" s="28" t="s">
        <v>78</v>
      </c>
      <c r="C27" s="30" t="s">
        <v>6</v>
      </c>
      <c r="D27" s="32">
        <f>(D25*(D3*(D5*D13+D7))/10^9)+(D26*(D4*(D6+D8))/10^9)</f>
        <v>3.7355050893440422E-4</v>
      </c>
      <c r="E27" s="29" t="s">
        <v>254</v>
      </c>
      <c r="F27" s="24" t="s">
        <v>79</v>
      </c>
      <c r="G27" s="24" t="s">
        <v>80</v>
      </c>
    </row>
    <row r="28" spans="1:7" ht="24.75" customHeight="1">
      <c r="A28" s="155" t="s">
        <v>278</v>
      </c>
      <c r="B28" s="28" t="s">
        <v>81</v>
      </c>
      <c r="C28" s="30" t="s">
        <v>6</v>
      </c>
      <c r="D28" s="30">
        <f>MIN((D14*D20),(D12*D15))</f>
        <v>21.44</v>
      </c>
      <c r="E28" s="29" t="s">
        <v>83</v>
      </c>
      <c r="F28" s="24" t="s">
        <v>82</v>
      </c>
      <c r="G28" s="24" t="s">
        <v>84</v>
      </c>
    </row>
    <row r="29" spans="1:7" ht="38.25" customHeight="1">
      <c r="B29" s="28" t="s">
        <v>85</v>
      </c>
      <c r="C29" s="30" t="s">
        <v>6</v>
      </c>
      <c r="D29" s="30">
        <f>D21*D23*D28</f>
        <v>15729456.000000002</v>
      </c>
      <c r="E29" s="29" t="s">
        <v>101</v>
      </c>
      <c r="F29" s="24" t="s">
        <v>86</v>
      </c>
      <c r="G29" s="24" t="s">
        <v>84</v>
      </c>
    </row>
    <row r="30" spans="1:7">
      <c r="A30" s="155" t="s">
        <v>279</v>
      </c>
      <c r="B30" s="28" t="s">
        <v>87</v>
      </c>
      <c r="C30" s="30" t="s">
        <v>6</v>
      </c>
      <c r="D30" s="30">
        <f>D27*(1-D11-D19)*D29*D16</f>
        <v>5745.1741541932888</v>
      </c>
      <c r="E30" s="29" t="s">
        <v>104</v>
      </c>
      <c r="F30" s="24" t="s">
        <v>88</v>
      </c>
      <c r="G30" s="24" t="s">
        <v>102</v>
      </c>
    </row>
    <row r="31" spans="1:7">
      <c r="A31" s="24"/>
      <c r="B31" s="28" t="s">
        <v>152</v>
      </c>
      <c r="C31" s="30" t="s">
        <v>6</v>
      </c>
      <c r="D31" s="30">
        <f>'PE &amp;LE Calculation'!C19</f>
        <v>0</v>
      </c>
      <c r="E31" s="29" t="s">
        <v>104</v>
      </c>
      <c r="F31" s="24" t="s">
        <v>175</v>
      </c>
      <c r="G31" s="24" t="s">
        <v>169</v>
      </c>
    </row>
    <row r="32" spans="1:7">
      <c r="A32" s="24"/>
      <c r="B32" s="28" t="s">
        <v>174</v>
      </c>
      <c r="C32" s="30" t="s">
        <v>6</v>
      </c>
      <c r="D32" s="31">
        <f>'PE &amp;LE Calculation'!C23</f>
        <v>0</v>
      </c>
      <c r="E32" s="29" t="s">
        <v>104</v>
      </c>
      <c r="F32" s="24" t="s">
        <v>72</v>
      </c>
      <c r="G32" s="24"/>
    </row>
    <row r="33" spans="1:7">
      <c r="A33" s="24"/>
      <c r="B33" s="28" t="s">
        <v>89</v>
      </c>
      <c r="C33" s="30" t="s">
        <v>6</v>
      </c>
      <c r="D33" s="31">
        <f>ROUNDDOWN((D30-D31-D32),0)</f>
        <v>5745</v>
      </c>
      <c r="E33" s="29" t="s">
        <v>104</v>
      </c>
      <c r="F33" s="24" t="s">
        <v>90</v>
      </c>
      <c r="G33" s="24" t="s">
        <v>103</v>
      </c>
    </row>
    <row r="34" spans="1:7">
      <c r="A34" s="24"/>
      <c r="B34" s="24" t="s">
        <v>105</v>
      </c>
      <c r="C34" s="24"/>
      <c r="D34" s="30">
        <f>D33/D21</f>
        <v>2.8582089552238807</v>
      </c>
      <c r="E34" s="29" t="s">
        <v>104</v>
      </c>
      <c r="F34" s="24" t="s">
        <v>170</v>
      </c>
      <c r="G34" s="24" t="s">
        <v>171</v>
      </c>
    </row>
    <row r="36" spans="1:7" ht="15.75">
      <c r="A36" s="22"/>
      <c r="B36" s="25" t="s">
        <v>98</v>
      </c>
    </row>
    <row r="37" spans="1:7" ht="15.75">
      <c r="A37" s="23"/>
      <c r="B37" s="25" t="s">
        <v>99</v>
      </c>
      <c r="D37">
        <f>360.83/57%</f>
        <v>633.0350877192983</v>
      </c>
    </row>
    <row r="38" spans="1:7" ht="15.75">
      <c r="A38" s="24"/>
      <c r="B38" s="25" t="s">
        <v>97</v>
      </c>
    </row>
  </sheetData>
  <phoneticPr fontId="8" type="noConversion"/>
  <hyperlinks>
    <hyperlink ref="G10" r:id="rId1" xr:uid="{E4996FE8-3254-42D6-9ED4-A263D681D5BA}"/>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D7D5B-06DE-4A5A-A6F7-197961E29F34}">
  <dimension ref="A3:H27"/>
  <sheetViews>
    <sheetView workbookViewId="0">
      <selection activeCell="B32" sqref="B32"/>
    </sheetView>
  </sheetViews>
  <sheetFormatPr defaultRowHeight="15"/>
  <cols>
    <col min="2" max="2" width="45.140625" customWidth="1"/>
    <col min="3" max="3" width="11.5703125" customWidth="1"/>
    <col min="4" max="4" width="13.140625" bestFit="1" customWidth="1"/>
    <col min="5" max="5" width="49.140625" customWidth="1"/>
    <col min="7" max="7" width="11" bestFit="1" customWidth="1"/>
    <col min="8" max="8" width="20.42578125" bestFit="1" customWidth="1"/>
  </cols>
  <sheetData>
    <row r="3" spans="2:7" ht="60">
      <c r="B3" s="83" t="s">
        <v>242</v>
      </c>
      <c r="C3" s="83" t="s">
        <v>235</v>
      </c>
      <c r="D3" s="84" t="s">
        <v>22</v>
      </c>
      <c r="E3" s="83" t="s">
        <v>243</v>
      </c>
      <c r="F3" s="83" t="s">
        <v>235</v>
      </c>
      <c r="G3" s="84" t="s">
        <v>22</v>
      </c>
    </row>
    <row r="4" spans="2:7">
      <c r="B4" s="85" t="s">
        <v>236</v>
      </c>
      <c r="C4" s="86">
        <v>64</v>
      </c>
      <c r="D4" s="87">
        <v>0.23703703703703705</v>
      </c>
      <c r="E4" s="85" t="s">
        <v>236</v>
      </c>
      <c r="F4" s="86">
        <v>64</v>
      </c>
      <c r="G4" s="87">
        <v>0.23703703703703705</v>
      </c>
    </row>
    <row r="5" spans="2:7">
      <c r="B5" s="85" t="s">
        <v>237</v>
      </c>
      <c r="C5" s="86">
        <v>183</v>
      </c>
      <c r="D5" s="87">
        <v>0.67777777777777781</v>
      </c>
      <c r="E5" s="85" t="s">
        <v>237</v>
      </c>
      <c r="F5" s="86">
        <v>183</v>
      </c>
      <c r="G5" s="87">
        <v>0.67777777777777781</v>
      </c>
    </row>
    <row r="6" spans="2:7" ht="30">
      <c r="B6" s="85" t="s">
        <v>238</v>
      </c>
      <c r="C6" s="86">
        <v>7</v>
      </c>
      <c r="D6" s="87">
        <v>2.5925925925925925E-2</v>
      </c>
      <c r="E6" s="85" t="s">
        <v>238</v>
      </c>
      <c r="F6" s="86">
        <v>7</v>
      </c>
      <c r="G6" s="87">
        <v>2.5925925925925925E-2</v>
      </c>
    </row>
    <row r="7" spans="2:7">
      <c r="B7" s="85" t="s">
        <v>239</v>
      </c>
      <c r="C7" s="86">
        <v>15</v>
      </c>
      <c r="D7" s="87">
        <v>5.5555555555555552E-2</v>
      </c>
      <c r="E7" s="85" t="s">
        <v>239</v>
      </c>
      <c r="F7" s="86">
        <v>15</v>
      </c>
      <c r="G7" s="87">
        <v>5.5555555555555552E-2</v>
      </c>
    </row>
    <row r="8" spans="2:7">
      <c r="B8" s="85" t="s">
        <v>240</v>
      </c>
      <c r="C8" s="86">
        <v>1</v>
      </c>
      <c r="D8" s="87">
        <v>3.7037037037037038E-3</v>
      </c>
      <c r="E8" s="85" t="s">
        <v>240</v>
      </c>
      <c r="F8" s="86">
        <v>1</v>
      </c>
      <c r="G8" s="87">
        <v>3.7037037037037038E-3</v>
      </c>
    </row>
    <row r="9" spans="2:7">
      <c r="B9" s="88" t="s">
        <v>109</v>
      </c>
      <c r="C9" s="88">
        <v>270</v>
      </c>
      <c r="D9" s="89">
        <v>1</v>
      </c>
      <c r="E9" s="88" t="s">
        <v>109</v>
      </c>
      <c r="F9" s="88">
        <v>270</v>
      </c>
      <c r="G9" s="89">
        <v>1</v>
      </c>
    </row>
    <row r="10" spans="2:7">
      <c r="B10" s="90"/>
      <c r="C10" s="90"/>
      <c r="D10" s="90"/>
      <c r="E10" s="90"/>
      <c r="F10" s="90"/>
      <c r="G10" s="90"/>
    </row>
    <row r="11" spans="2:7">
      <c r="B11" s="90"/>
      <c r="C11" s="90"/>
      <c r="D11" s="90"/>
      <c r="E11" s="90"/>
      <c r="F11" s="90"/>
      <c r="G11" s="90"/>
    </row>
    <row r="12" spans="2:7" ht="45" customHeight="1">
      <c r="B12" s="83" t="s">
        <v>244</v>
      </c>
      <c r="C12" s="83" t="s">
        <v>241</v>
      </c>
      <c r="D12" s="84" t="s">
        <v>22</v>
      </c>
      <c r="E12" s="83" t="s">
        <v>245</v>
      </c>
      <c r="F12" s="83" t="s">
        <v>241</v>
      </c>
      <c r="G12" s="84" t="s">
        <v>22</v>
      </c>
    </row>
    <row r="13" spans="2:7">
      <c r="B13" s="173" t="s">
        <v>246</v>
      </c>
      <c r="C13" s="173">
        <v>149</v>
      </c>
      <c r="D13" s="176">
        <v>0.55185185185185182</v>
      </c>
      <c r="E13" s="86" t="s">
        <v>247</v>
      </c>
      <c r="F13" s="86">
        <v>106</v>
      </c>
      <c r="G13" s="87">
        <v>0.3925925925925926</v>
      </c>
    </row>
    <row r="14" spans="2:7">
      <c r="B14" s="174"/>
      <c r="C14" s="174"/>
      <c r="D14" s="177"/>
      <c r="E14" s="86" t="s">
        <v>248</v>
      </c>
      <c r="F14" s="86">
        <v>42</v>
      </c>
      <c r="G14" s="87">
        <v>0.15555555555555556</v>
      </c>
    </row>
    <row r="15" spans="2:7">
      <c r="B15" s="175"/>
      <c r="C15" s="175"/>
      <c r="D15" s="178"/>
      <c r="E15" s="86" t="s">
        <v>249</v>
      </c>
      <c r="F15" s="90">
        <v>1</v>
      </c>
      <c r="G15" s="87">
        <v>3.7037037037037038E-3</v>
      </c>
    </row>
    <row r="16" spans="2:7">
      <c r="B16" s="86" t="s">
        <v>272</v>
      </c>
      <c r="C16" s="86">
        <v>121</v>
      </c>
      <c r="D16" s="87">
        <v>0.44814814814814813</v>
      </c>
      <c r="E16" s="86" t="s">
        <v>250</v>
      </c>
      <c r="F16" s="86">
        <v>121</v>
      </c>
      <c r="G16" s="87">
        <v>0.44814814814814813</v>
      </c>
    </row>
    <row r="17" spans="1:8">
      <c r="B17" s="88" t="s">
        <v>109</v>
      </c>
      <c r="C17" s="88">
        <v>270</v>
      </c>
      <c r="D17" s="88">
        <v>1</v>
      </c>
      <c r="E17" s="88" t="s">
        <v>109</v>
      </c>
      <c r="F17" s="88">
        <v>270</v>
      </c>
      <c r="G17" s="89">
        <v>1</v>
      </c>
    </row>
    <row r="20" spans="1:8">
      <c r="A20" s="24"/>
      <c r="B20" s="154" t="s">
        <v>1</v>
      </c>
      <c r="C20" s="154" t="s">
        <v>251</v>
      </c>
      <c r="D20" s="154" t="s">
        <v>22</v>
      </c>
    </row>
    <row r="21" spans="1:8">
      <c r="A21" s="149">
        <v>1</v>
      </c>
      <c r="B21" s="92" t="s">
        <v>252</v>
      </c>
      <c r="C21" s="92">
        <v>270</v>
      </c>
      <c r="D21" s="93">
        <v>1</v>
      </c>
    </row>
    <row r="22" spans="1:8">
      <c r="A22" s="149">
        <v>2</v>
      </c>
      <c r="B22" s="92" t="s">
        <v>258</v>
      </c>
      <c r="C22" s="150">
        <v>16</v>
      </c>
      <c r="D22" s="151">
        <f>C22/C21</f>
        <v>5.9259259259259262E-2</v>
      </c>
      <c r="F22" s="94"/>
    </row>
    <row r="23" spans="1:8">
      <c r="A23" s="148">
        <v>2.1</v>
      </c>
      <c r="B23" s="97" t="s">
        <v>273</v>
      </c>
      <c r="C23" s="150">
        <v>5</v>
      </c>
      <c r="D23" s="151">
        <f>C23/C22</f>
        <v>0.3125</v>
      </c>
      <c r="F23" s="94"/>
      <c r="H23" s="95"/>
    </row>
    <row r="24" spans="1:8">
      <c r="A24" s="148">
        <v>2.2000000000000002</v>
      </c>
      <c r="B24" s="97" t="s">
        <v>274</v>
      </c>
      <c r="C24" s="150">
        <f>C22-C23</f>
        <v>11</v>
      </c>
      <c r="D24" s="151">
        <f>C24/C22</f>
        <v>0.6875</v>
      </c>
      <c r="F24" s="91"/>
    </row>
    <row r="25" spans="1:8">
      <c r="A25" s="149">
        <v>3</v>
      </c>
      <c r="B25" s="92" t="s">
        <v>253</v>
      </c>
      <c r="C25" s="152">
        <f>C21-C22</f>
        <v>254</v>
      </c>
      <c r="D25" s="153">
        <f>C25/C21</f>
        <v>0.94074074074074077</v>
      </c>
    </row>
    <row r="26" spans="1:8">
      <c r="A26" s="148">
        <v>3.1</v>
      </c>
      <c r="B26" s="97" t="s">
        <v>273</v>
      </c>
      <c r="C26" s="152">
        <v>101</v>
      </c>
      <c r="D26" s="153">
        <f>C26/C25</f>
        <v>0.39763779527559057</v>
      </c>
    </row>
    <row r="27" spans="1:8">
      <c r="A27" s="148">
        <v>3.2</v>
      </c>
      <c r="B27" s="97" t="s">
        <v>274</v>
      </c>
      <c r="C27" s="152">
        <f>C25-C26</f>
        <v>153</v>
      </c>
      <c r="D27" s="153">
        <f>C27/C25</f>
        <v>0.60236220472440949</v>
      </c>
    </row>
  </sheetData>
  <mergeCells count="3">
    <mergeCell ref="B13:B15"/>
    <mergeCell ref="C13:C15"/>
    <mergeCell ref="D13:D1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23"/>
  <sheetViews>
    <sheetView workbookViewId="0">
      <selection activeCell="C24" sqref="C24"/>
    </sheetView>
  </sheetViews>
  <sheetFormatPr defaultColWidth="12.42578125" defaultRowHeight="15"/>
  <cols>
    <col min="1" max="1" width="1.5703125" customWidth="1"/>
    <col min="2" max="2" width="58.85546875" customWidth="1"/>
    <col min="3" max="3" width="7.5703125" bestFit="1" customWidth="1"/>
    <col min="4" max="4" width="14.7109375" customWidth="1"/>
    <col min="5" max="5" width="35.28515625" customWidth="1"/>
  </cols>
  <sheetData>
    <row r="2" spans="2:11" ht="26.25">
      <c r="B2" s="49" t="s">
        <v>153</v>
      </c>
      <c r="C2" s="50"/>
      <c r="D2" s="50"/>
      <c r="E2" s="50"/>
      <c r="F2" s="50"/>
      <c r="G2" s="50"/>
      <c r="H2" s="50"/>
      <c r="I2" s="50"/>
      <c r="J2" s="50"/>
      <c r="K2" s="50"/>
    </row>
    <row r="5" spans="2:11">
      <c r="B5" t="s">
        <v>154</v>
      </c>
    </row>
    <row r="6" spans="2:11">
      <c r="B6" t="s">
        <v>155</v>
      </c>
    </row>
    <row r="7" spans="2:11">
      <c r="B7" t="s">
        <v>156</v>
      </c>
    </row>
    <row r="8" spans="2:11">
      <c r="B8" t="s">
        <v>157</v>
      </c>
    </row>
    <row r="9" spans="2:11">
      <c r="B9" s="51" t="s">
        <v>158</v>
      </c>
      <c r="D9" s="52"/>
      <c r="G9" s="56"/>
    </row>
    <row r="10" spans="2:11">
      <c r="B10" s="51" t="s">
        <v>159</v>
      </c>
    </row>
    <row r="11" spans="2:11" ht="18">
      <c r="B11" s="53" t="s">
        <v>160</v>
      </c>
      <c r="C11" s="54">
        <v>0</v>
      </c>
      <c r="D11" s="53" t="s">
        <v>176</v>
      </c>
    </row>
    <row r="14" spans="2:11">
      <c r="B14" s="51" t="s">
        <v>161</v>
      </c>
    </row>
    <row r="15" spans="2:11">
      <c r="B15" s="51" t="s">
        <v>159</v>
      </c>
    </row>
    <row r="16" spans="2:11" ht="18">
      <c r="B16" s="53" t="s">
        <v>162</v>
      </c>
      <c r="C16" s="53">
        <v>0</v>
      </c>
      <c r="D16" s="53" t="s">
        <v>176</v>
      </c>
    </row>
    <row r="17" spans="1:11">
      <c r="B17" t="s">
        <v>163</v>
      </c>
    </row>
    <row r="18" spans="1:11">
      <c r="B18" s="51" t="s">
        <v>164</v>
      </c>
    </row>
    <row r="19" spans="1:11" ht="18">
      <c r="B19" s="53" t="s">
        <v>165</v>
      </c>
      <c r="C19" s="53">
        <v>0</v>
      </c>
      <c r="D19" s="53" t="s">
        <v>176</v>
      </c>
    </row>
    <row r="21" spans="1:11" s="51" customFormat="1" ht="26.25">
      <c r="A21"/>
      <c r="B21" s="49" t="s">
        <v>166</v>
      </c>
      <c r="C21" s="55"/>
      <c r="D21" s="55"/>
      <c r="E21" s="55"/>
      <c r="F21" s="55"/>
      <c r="G21" s="55"/>
      <c r="H21" s="55"/>
      <c r="I21" s="55"/>
      <c r="J21" s="55"/>
      <c r="K21" s="55"/>
    </row>
    <row r="23" spans="1:11" ht="18">
      <c r="B23" s="53" t="s">
        <v>167</v>
      </c>
      <c r="C23" s="57">
        <f>0</f>
        <v>0</v>
      </c>
      <c r="D23" s="53" t="s">
        <v>176</v>
      </c>
      <c r="G23" s="56"/>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G27"/>
  <sheetViews>
    <sheetView tabSelected="1" topLeftCell="A10" zoomScale="80" zoomScaleNormal="80" workbookViewId="0">
      <selection activeCell="F12" sqref="F12"/>
    </sheetView>
  </sheetViews>
  <sheetFormatPr defaultRowHeight="15"/>
  <cols>
    <col min="1" max="1" width="4.42578125" customWidth="1"/>
    <col min="2" max="2" width="30.28515625" customWidth="1"/>
    <col min="3" max="3" width="54.5703125" customWidth="1"/>
    <col min="4" max="4" width="27.28515625" customWidth="1"/>
    <col min="5" max="5" width="17.140625" customWidth="1"/>
    <col min="6" max="6" width="29.7109375" bestFit="1" customWidth="1"/>
    <col min="7" max="7" width="23.42578125" customWidth="1"/>
    <col min="8" max="8" width="21.5703125" bestFit="1" customWidth="1"/>
    <col min="9" max="9" width="13" bestFit="1" customWidth="1"/>
  </cols>
  <sheetData>
    <row r="2" spans="2:7" ht="15" customHeight="1">
      <c r="B2" s="179" t="s">
        <v>112</v>
      </c>
      <c r="C2" s="181" t="s">
        <v>113</v>
      </c>
      <c r="D2" s="179" t="s">
        <v>114</v>
      </c>
      <c r="E2" s="179" t="s">
        <v>115</v>
      </c>
      <c r="F2" s="179" t="s">
        <v>3</v>
      </c>
      <c r="G2" s="179" t="s">
        <v>116</v>
      </c>
    </row>
    <row r="3" spans="2:7">
      <c r="B3" s="180"/>
      <c r="C3" s="182"/>
      <c r="D3" s="180"/>
      <c r="E3" s="180"/>
      <c r="F3" s="180"/>
      <c r="G3" s="180"/>
    </row>
    <row r="4" spans="2:7" ht="75">
      <c r="B4" s="34" t="s">
        <v>117</v>
      </c>
      <c r="C4" s="66" t="s">
        <v>193</v>
      </c>
      <c r="D4" s="34" t="s">
        <v>40</v>
      </c>
      <c r="E4" s="60">
        <v>2010</v>
      </c>
      <c r="F4" s="35" t="s">
        <v>118</v>
      </c>
      <c r="G4" s="34" t="s">
        <v>134</v>
      </c>
    </row>
    <row r="5" spans="2:7" ht="105">
      <c r="B5" s="34" t="s">
        <v>119</v>
      </c>
      <c r="C5" s="66" t="s">
        <v>179</v>
      </c>
      <c r="D5" s="34" t="s">
        <v>40</v>
      </c>
      <c r="E5" s="34">
        <v>100</v>
      </c>
      <c r="F5" s="34" t="s">
        <v>77</v>
      </c>
      <c r="G5" s="34" t="s">
        <v>93</v>
      </c>
    </row>
    <row r="6" spans="2:7" ht="105">
      <c r="B6" s="34" t="s">
        <v>120</v>
      </c>
      <c r="C6" s="66" t="s">
        <v>180</v>
      </c>
      <c r="D6" s="34" t="s">
        <v>40</v>
      </c>
      <c r="E6" s="45">
        <v>1</v>
      </c>
      <c r="F6" s="34" t="s">
        <v>121</v>
      </c>
      <c r="G6" s="34" t="s">
        <v>40</v>
      </c>
    </row>
    <row r="7" spans="2:7" ht="75">
      <c r="B7" s="45" t="s">
        <v>185</v>
      </c>
      <c r="C7" s="66" t="s">
        <v>181</v>
      </c>
      <c r="D7" s="34" t="s">
        <v>40</v>
      </c>
      <c r="E7" s="45">
        <v>100</v>
      </c>
      <c r="F7" s="34" t="s">
        <v>77</v>
      </c>
      <c r="G7" s="34" t="s">
        <v>122</v>
      </c>
    </row>
    <row r="8" spans="2:7" ht="75">
      <c r="B8" s="34" t="s">
        <v>186</v>
      </c>
      <c r="C8" s="66" t="s">
        <v>182</v>
      </c>
      <c r="D8" s="34" t="s">
        <v>123</v>
      </c>
      <c r="E8" s="58">
        <f>E4*'Emission Reduction'!D20</f>
        <v>10773.6</v>
      </c>
      <c r="F8" s="34" t="s">
        <v>124</v>
      </c>
      <c r="G8" s="34" t="s">
        <v>84</v>
      </c>
    </row>
    <row r="9" spans="2:7" ht="105.75" customHeight="1">
      <c r="B9" s="34" t="s">
        <v>125</v>
      </c>
      <c r="C9" s="35" t="s">
        <v>183</v>
      </c>
      <c r="D9" s="34" t="s">
        <v>148</v>
      </c>
      <c r="E9" s="58">
        <f>'Emission Reduction'!D21</f>
        <v>2010</v>
      </c>
      <c r="F9" s="35" t="s">
        <v>126</v>
      </c>
      <c r="G9" s="35" t="s">
        <v>141</v>
      </c>
    </row>
    <row r="10" spans="2:7" ht="105">
      <c r="B10" s="34" t="s">
        <v>127</v>
      </c>
      <c r="C10" s="35" t="s">
        <v>275</v>
      </c>
      <c r="D10" s="34" t="s">
        <v>40</v>
      </c>
      <c r="E10" s="45">
        <v>4</v>
      </c>
      <c r="F10" s="35" t="s">
        <v>187</v>
      </c>
      <c r="G10" s="34" t="s">
        <v>93</v>
      </c>
    </row>
    <row r="11" spans="2:7" ht="90">
      <c r="B11" s="34" t="s">
        <v>128</v>
      </c>
      <c r="C11" s="35" t="s">
        <v>194</v>
      </c>
      <c r="D11" s="35" t="s">
        <v>266</v>
      </c>
      <c r="E11" s="60">
        <f>C27</f>
        <v>369</v>
      </c>
      <c r="F11" s="35" t="s">
        <v>281</v>
      </c>
      <c r="G11" s="34" t="s">
        <v>84</v>
      </c>
    </row>
    <row r="12" spans="2:7" ht="30">
      <c r="B12" s="34" t="s">
        <v>129</v>
      </c>
      <c r="C12" s="66" t="s">
        <v>264</v>
      </c>
      <c r="D12" s="34" t="s">
        <v>130</v>
      </c>
      <c r="E12" s="147">
        <f>'ER Summary'!H4</f>
        <v>5745</v>
      </c>
      <c r="F12" s="34" t="s">
        <v>131</v>
      </c>
      <c r="G12" s="34" t="s">
        <v>84</v>
      </c>
    </row>
    <row r="13" spans="2:7" ht="75">
      <c r="B13" s="34" t="s">
        <v>132</v>
      </c>
      <c r="C13" s="66" t="s">
        <v>184</v>
      </c>
      <c r="D13" s="35" t="s">
        <v>267</v>
      </c>
      <c r="E13" s="60">
        <f>C26</f>
        <v>3053</v>
      </c>
      <c r="F13" s="34" t="s">
        <v>133</v>
      </c>
      <c r="G13" s="34" t="s">
        <v>84</v>
      </c>
    </row>
    <row r="15" spans="2:7" ht="15.75" thickBot="1">
      <c r="B15" s="44" t="s">
        <v>139</v>
      </c>
    </row>
    <row r="16" spans="2:7">
      <c r="B16" s="46" t="s">
        <v>143</v>
      </c>
      <c r="C16" s="36" t="s">
        <v>144</v>
      </c>
      <c r="D16" s="68" t="s">
        <v>195</v>
      </c>
      <c r="E16" s="37" t="s">
        <v>135</v>
      </c>
      <c r="F16" s="77"/>
    </row>
    <row r="17" spans="2:5">
      <c r="B17" s="38" t="s">
        <v>136</v>
      </c>
      <c r="C17" s="78">
        <f>15.6*10^3</f>
        <v>15600</v>
      </c>
      <c r="D17" s="39" t="s">
        <v>196</v>
      </c>
      <c r="E17" s="47" t="s">
        <v>137</v>
      </c>
    </row>
    <row r="18" spans="2:5" ht="30">
      <c r="B18" s="41" t="s">
        <v>200</v>
      </c>
      <c r="C18" s="81">
        <f>'Emission Reduction'!D2</f>
        <v>360.83</v>
      </c>
      <c r="D18" s="42" t="s">
        <v>260</v>
      </c>
      <c r="E18" s="76" t="s">
        <v>177</v>
      </c>
    </row>
    <row r="19" spans="2:5" ht="60">
      <c r="B19" s="41" t="s">
        <v>201</v>
      </c>
      <c r="C19" s="80">
        <f>'Emission Reduction'!C9</f>
        <v>0.1</v>
      </c>
      <c r="D19" s="59" t="s">
        <v>77</v>
      </c>
      <c r="E19" s="69" t="s">
        <v>218</v>
      </c>
    </row>
    <row r="20" spans="2:5">
      <c r="B20" s="41" t="s">
        <v>263</v>
      </c>
      <c r="C20" s="79">
        <f>C22*C18*94.08%</f>
        <v>5339660559.6579847</v>
      </c>
      <c r="D20" s="79" t="s">
        <v>197</v>
      </c>
      <c r="E20" s="40" t="s">
        <v>97</v>
      </c>
    </row>
    <row r="21" spans="2:5">
      <c r="B21" s="41" t="s">
        <v>262</v>
      </c>
      <c r="C21" s="103">
        <f>C20/C19</f>
        <v>53396605596.579842</v>
      </c>
      <c r="D21" s="79" t="s">
        <v>197</v>
      </c>
      <c r="E21" s="40" t="s">
        <v>97</v>
      </c>
    </row>
    <row r="22" spans="2:5" ht="49.5" customHeight="1">
      <c r="B22" s="41" t="s">
        <v>265</v>
      </c>
      <c r="C22" s="79">
        <f>'Emission Reduction'!D29</f>
        <v>15729456.000000002</v>
      </c>
      <c r="D22" s="42" t="s">
        <v>198</v>
      </c>
      <c r="E22" s="40" t="s">
        <v>97</v>
      </c>
    </row>
    <row r="23" spans="2:5" ht="30">
      <c r="B23" s="41" t="s">
        <v>202</v>
      </c>
      <c r="C23" s="24">
        <f>C21/C17</f>
        <v>3422859.3331140922</v>
      </c>
      <c r="D23" t="s">
        <v>261</v>
      </c>
      <c r="E23" s="40" t="s">
        <v>97</v>
      </c>
    </row>
    <row r="24" spans="2:5" ht="30">
      <c r="B24" s="41" t="s">
        <v>202</v>
      </c>
      <c r="C24" s="24">
        <f>C23/10^3</f>
        <v>3422.8593331140924</v>
      </c>
      <c r="D24" s="104" t="s">
        <v>199</v>
      </c>
      <c r="E24" s="40" t="s">
        <v>97</v>
      </c>
    </row>
    <row r="25" spans="2:5" ht="45">
      <c r="B25" s="41" t="s">
        <v>138</v>
      </c>
      <c r="C25" s="82">
        <f>'Emission Reduction'!D13</f>
        <v>0.89200000000000002</v>
      </c>
      <c r="D25" s="104" t="s">
        <v>40</v>
      </c>
      <c r="E25" s="69" t="s">
        <v>204</v>
      </c>
    </row>
    <row r="26" spans="2:5" ht="33" customHeight="1">
      <c r="B26" s="70" t="s">
        <v>140</v>
      </c>
      <c r="C26" s="24">
        <f>ROUNDDOWN(C24*C25,0)</f>
        <v>3053</v>
      </c>
      <c r="D26" s="104" t="s">
        <v>199</v>
      </c>
      <c r="E26" s="40" t="s">
        <v>97</v>
      </c>
    </row>
    <row r="27" spans="2:5" ht="36" customHeight="1" thickBot="1">
      <c r="B27" s="71" t="s">
        <v>203</v>
      </c>
      <c r="C27" s="106">
        <f>ROUNDDOWN(C24-C26,0)</f>
        <v>369</v>
      </c>
      <c r="D27" s="105" t="s">
        <v>199</v>
      </c>
      <c r="E27" s="43" t="s">
        <v>97</v>
      </c>
    </row>
  </sheetData>
  <mergeCells count="6">
    <mergeCell ref="G2:G3"/>
    <mergeCell ref="B2:B3"/>
    <mergeCell ref="C2:C3"/>
    <mergeCell ref="D2:D3"/>
    <mergeCell ref="E2:E3"/>
    <mergeCell ref="F2:F3"/>
  </mergeCells>
  <hyperlinks>
    <hyperlink ref="E17" r:id="rId1" location="page=19" xr:uid="{00000000-0004-0000-0300-000000000000}"/>
    <hyperlink ref="E18" r:id="rId2" display="As per methodology" xr:uid="{60112553-BCF4-4438-A5D6-D28B43F10984}"/>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page</vt:lpstr>
      <vt:lpstr>ER Summary</vt:lpstr>
      <vt:lpstr>Emission Reduction</vt:lpstr>
      <vt:lpstr>Basline survey</vt:lpstr>
      <vt:lpstr>PE &amp;LE Calculation</vt:lpstr>
      <vt:lpstr>Estimated SDG calculation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Enking</dc:creator>
  <cp:lastModifiedBy>Monil Shrivastva</cp:lastModifiedBy>
  <dcterms:created xsi:type="dcterms:W3CDTF">2024-03-14T09:48:27Z</dcterms:created>
  <dcterms:modified xsi:type="dcterms:W3CDTF">2025-02-21T08:25:28Z</dcterms:modified>
</cp:coreProperties>
</file>