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G:\Gedeelde drives\ST Africa AQ Projects\AQ Projects\304229_Water for Climate Rwanda 2\CDM\Water project\40. Renewal\50. ER\"/>
    </mc:Choice>
  </mc:AlternateContent>
  <xr:revisionPtr revIDLastSave="0" documentId="13_ncr:1_{DAF37AA6-F153-484A-9015-9C0B5E452A1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S - SDWS" sheetId="3" r:id="rId1"/>
  </sheets>
  <externalReferences>
    <externalReference r:id="rId2"/>
    <externalReference r:id="rId3"/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1" i="3" l="1"/>
  <c r="C79" i="3"/>
  <c r="C84" i="3" s="1"/>
  <c r="B17" i="3" l="1"/>
  <c r="B11" i="3"/>
  <c r="B9" i="3"/>
  <c r="B7" i="3"/>
  <c r="B5" i="3"/>
  <c r="B37" i="3" l="1"/>
  <c r="B12" i="3" l="1"/>
  <c r="B40" i="3"/>
  <c r="B26" i="3" l="1"/>
  <c r="B13" i="3" l="1"/>
  <c r="B21" i="3" l="1"/>
  <c r="B41" i="3"/>
  <c r="B23" i="3" l="1"/>
  <c r="B27" i="3" s="1"/>
  <c r="B29" i="3" s="1"/>
  <c r="B54" i="3" l="1"/>
  <c r="B58" i="3" s="1"/>
  <c r="B61" i="3" l="1"/>
  <c r="C93" i="3"/>
  <c r="C94" i="3" s="1"/>
  <c r="C95" i="3" s="1"/>
  <c r="C96" i="3" s="1"/>
  <c r="C9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tc={6C045BC9-5D8A-4FDD-87EE-4FDCA58A9750}</author>
  </authors>
  <commentList>
    <comment ref="B41" authorId="0" shapeId="0" xr:uid="{6C045BC9-5D8A-4FDD-87EE-4FDCA58A9750}">
      <text>
        <t>[Threaded comment]
Your version of Excel allows you to read this threaded comment; however, any edits to it will get removed if the file is opened in a newer version of Excel. Learn more: https://go.microsoft.com/fwlink/?linkid=870924
Comment:
    I modified this =&gt; excluded the operational availability as it was already counted in DOP</t>
      </text>
    </comment>
  </commentList>
</comments>
</file>

<file path=xl/sharedStrings.xml><?xml version="1.0" encoding="utf-8"?>
<sst xmlns="http://schemas.openxmlformats.org/spreadsheetml/2006/main" count="94" uniqueCount="75">
  <si>
    <t>fNRB</t>
  </si>
  <si>
    <r>
      <rPr>
        <sz val="11"/>
        <color theme="1"/>
        <rFont val="Symbol"/>
        <family val="1"/>
        <charset val="2"/>
      </rPr>
      <t>h</t>
    </r>
    <r>
      <rPr>
        <sz val="12.65"/>
        <color theme="1"/>
        <rFont val="Calibri"/>
        <family val="2"/>
      </rPr>
      <t>wb</t>
    </r>
  </si>
  <si>
    <t>users</t>
  </si>
  <si>
    <t>L</t>
  </si>
  <si>
    <t>BEy</t>
  </si>
  <si>
    <t>tCO2e</t>
  </si>
  <si>
    <t xml:space="preserve">Gold Standard Safe Drinking Water Supply </t>
  </si>
  <si>
    <t>SEw,b,y</t>
  </si>
  <si>
    <t>Efficiency ICS</t>
  </si>
  <si>
    <t>Efficiency three stone CS</t>
  </si>
  <si>
    <t>% ICS</t>
  </si>
  <si>
    <t>% three stone CS</t>
  </si>
  <si>
    <t>Assumption</t>
  </si>
  <si>
    <t>Baseline survey</t>
  </si>
  <si>
    <t>SEw,b,y: The specific energy required to boil water using the baseline technology</t>
  </si>
  <si>
    <t>kJ/l</t>
  </si>
  <si>
    <t>EFb: Emission factor for the use of fuel to obtain safe water in the baseline (tCO2e/L)</t>
  </si>
  <si>
    <t>x_wood</t>
  </si>
  <si>
    <t>EFb,wood,CO2</t>
  </si>
  <si>
    <t>EFb,wood,non CO2</t>
  </si>
  <si>
    <t>tCO2/TJ</t>
  </si>
  <si>
    <t>EFb</t>
  </si>
  <si>
    <t>BEy: Baseline emissions from the use of fuel to obtain safe water in the baseline (tCO2e)</t>
  </si>
  <si>
    <t>Cb</t>
  </si>
  <si>
    <t>Xcleanboil,y</t>
  </si>
  <si>
    <t>Qy: Quantity of safe drinking water provided by the project in year y (L)</t>
  </si>
  <si>
    <t>Method 1 – Community level Water Treatment (CWT) and Community Water Supply (CWS) technologies</t>
  </si>
  <si>
    <t>QPWp</t>
  </si>
  <si>
    <t>L/cap/day</t>
  </si>
  <si>
    <t>HHp,y * HNp,y</t>
  </si>
  <si>
    <t>Operational availability</t>
  </si>
  <si>
    <t>DOp,y</t>
  </si>
  <si>
    <t>days</t>
  </si>
  <si>
    <t>Qpop,y</t>
  </si>
  <si>
    <t>Mq,y</t>
  </si>
  <si>
    <t>Leakage</t>
  </si>
  <si>
    <t>Ery</t>
  </si>
  <si>
    <t>Cj:Percentage of users of project safe water supply who were already in the baseline using a non-boiling safe water supply)</t>
  </si>
  <si>
    <t>Baseline survey (PDD,  Cj)</t>
  </si>
  <si>
    <t>MSU4</t>
  </si>
  <si>
    <t>x_charcoal</t>
  </si>
  <si>
    <t>Efb</t>
  </si>
  <si>
    <t>Efficiency other conventional systems using woodyy biomass</t>
  </si>
  <si>
    <t>% Other conventional system using woody biomass</t>
  </si>
  <si>
    <t>Efficiency other fossil fuel conventional system</t>
  </si>
  <si>
    <t>% other other fossil fuel conventional system</t>
  </si>
  <si>
    <t>operationnal availability MP4, average all boreholes</t>
  </si>
  <si>
    <t>tCO2/pers</t>
  </si>
  <si>
    <t>Project emissions from grid electricity consumption</t>
  </si>
  <si>
    <t>PE: Project Emissions</t>
  </si>
  <si>
    <t>tCO2</t>
  </si>
  <si>
    <t>FCdiesel,y</t>
  </si>
  <si>
    <t>Quantity of diesel consumed for pumping water in a standpipe system to the different water points or any other water point in year y</t>
  </si>
  <si>
    <r>
      <t>EF</t>
    </r>
    <r>
      <rPr>
        <vertAlign val="subscript"/>
        <sz val="12"/>
        <color theme="1"/>
        <rFont val="Avenir Book"/>
        <family val="2"/>
      </rPr>
      <t>CO2,diesel,y</t>
    </r>
  </si>
  <si>
    <t xml:space="preserve">CO2 emission factor of diesel fuel in year y </t>
  </si>
  <si>
    <t>Densitydiesel</t>
  </si>
  <si>
    <t>Density of diesel fuel</t>
  </si>
  <si>
    <t xml:space="preserve">NCVdiesel,y </t>
  </si>
  <si>
    <t xml:space="preserve">Net calorific value of diesel fuel in year y </t>
  </si>
  <si>
    <t>l</t>
  </si>
  <si>
    <t>t/l</t>
  </si>
  <si>
    <t>TJ/ton</t>
  </si>
  <si>
    <t>PE</t>
  </si>
  <si>
    <t>N/A: No electricity from the grid is consumed by any water point</t>
  </si>
  <si>
    <t>Value from MP4</t>
  </si>
  <si>
    <t>Default value as defined in the PDD</t>
  </si>
  <si>
    <t>Project emissions from fossil fuel  consumption</t>
  </si>
  <si>
    <t>LE: Leakage Emissions</t>
  </si>
  <si>
    <t>As per leakage assessment</t>
  </si>
  <si>
    <t>Year 1</t>
  </si>
  <si>
    <t>Year 2</t>
  </si>
  <si>
    <t>Year 3</t>
  </si>
  <si>
    <t>Year 4</t>
  </si>
  <si>
    <t>Year 5</t>
  </si>
  <si>
    <t>Emission Reduction for the crediting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</si>
</sst>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%"/>
    <numFmt numFmtId="166" formatCode="_-* #,##0_-;\-* #,##0_-;_-* &quot;-&quot;??_-;_-@_-"/>
    <numFmt numFmtId="167" formatCode="_-* #,##0\ _€_-;\-* #,##0\ _€_-;_-* &quot;-&quot;??\ _€_-;_-@_-"/>
    <numFmt numFmtId="168" formatCode="0.0"/>
    <numFmt numFmtId="169" formatCode="0.0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2.65"/>
      <color theme="1"/>
      <name val="Calibri"/>
      <family val="2"/>
    </font>
    <font>
      <sz val="11"/>
      <color theme="1"/>
      <name val="Calibri"/>
      <family val="1"/>
      <charset val="2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venir Book"/>
      <family val="2"/>
    </font>
    <font>
      <vertAlign val="subscript"/>
      <sz val="12"/>
      <color theme="1"/>
      <name val="Avenir Book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165" fontId="0" fillId="0" borderId="0" xfId="0" applyNumberFormat="1"/>
    <xf numFmtId="9" fontId="0" fillId="0" borderId="0" xfId="0" applyNumberFormat="1"/>
    <xf numFmtId="9" fontId="0" fillId="0" borderId="0" xfId="2" applyFont="1"/>
    <xf numFmtId="0" fontId="6" fillId="0" borderId="0" xfId="0" applyFont="1"/>
    <xf numFmtId="0" fontId="3" fillId="0" borderId="0" xfId="0" applyFont="1"/>
    <xf numFmtId="167" fontId="0" fillId="0" borderId="0" xfId="0" applyNumberFormat="1"/>
    <xf numFmtId="0" fontId="2" fillId="2" borderId="0" xfId="0" applyFont="1" applyFill="1"/>
    <xf numFmtId="0" fontId="7" fillId="3" borderId="0" xfId="0" applyFont="1" applyFill="1"/>
    <xf numFmtId="168" fontId="0" fillId="0" borderId="0" xfId="0" applyNumberFormat="1"/>
    <xf numFmtId="169" fontId="0" fillId="0" borderId="0" xfId="0" applyNumberFormat="1"/>
    <xf numFmtId="0" fontId="0" fillId="0" borderId="0" xfId="0" applyAlignment="1">
      <alignment horizontal="centerContinuous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7" fontId="3" fillId="0" borderId="0" xfId="0" applyNumberFormat="1" applyFont="1"/>
    <xf numFmtId="2" fontId="0" fillId="0" borderId="0" xfId="0" applyNumberFormat="1"/>
    <xf numFmtId="166" fontId="0" fillId="0" borderId="0" xfId="1" applyNumberFormat="1" applyFont="1" applyFill="1"/>
    <xf numFmtId="4" fontId="0" fillId="0" borderId="0" xfId="0" applyNumberFormat="1"/>
    <xf numFmtId="0" fontId="9" fillId="0" borderId="0" xfId="0" applyFont="1" applyAlignment="1">
      <alignment vertical="center"/>
    </xf>
    <xf numFmtId="0" fontId="0" fillId="0" borderId="1" xfId="0" applyBorder="1"/>
    <xf numFmtId="0" fontId="11" fillId="0" borderId="1" xfId="0" applyFont="1" applyBorder="1" applyAlignment="1">
      <alignment horizontal="justify" vertical="center"/>
    </xf>
    <xf numFmtId="2" fontId="0" fillId="4" borderId="1" xfId="0" applyNumberFormat="1" applyFill="1" applyBorder="1"/>
    <xf numFmtId="0" fontId="9" fillId="0" borderId="1" xfId="0" applyFont="1" applyBorder="1"/>
    <xf numFmtId="0" fontId="0" fillId="4" borderId="1" xfId="0" applyFill="1" applyBorder="1"/>
    <xf numFmtId="0" fontId="11" fillId="0" borderId="1" xfId="0" applyFont="1" applyBorder="1"/>
    <xf numFmtId="3" fontId="3" fillId="0" borderId="0" xfId="0" applyNumberFormat="1" applyFont="1"/>
    <xf numFmtId="10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</xdr:colOff>
      <xdr:row>12</xdr:row>
      <xdr:rowOff>137160</xdr:rowOff>
    </xdr:from>
    <xdr:to>
      <xdr:col>13</xdr:col>
      <xdr:colOff>198452</xdr:colOff>
      <xdr:row>30</xdr:row>
      <xdr:rowOff>46887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4B23C0-D767-4627-9632-FA3723856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1680" y="1630680"/>
          <a:ext cx="4412312" cy="3201567"/>
        </a:xfrm>
        <a:prstGeom prst="rect">
          <a:avLst/>
        </a:prstGeom>
      </xdr:spPr>
    </xdr:pic>
    <xdr:clientData/>
  </xdr:twoCellAnchor>
  <xdr:twoCellAnchor editAs="oneCell">
    <xdr:from>
      <xdr:col>6</xdr:col>
      <xdr:colOff>350520</xdr:colOff>
      <xdr:row>3</xdr:row>
      <xdr:rowOff>53340</xdr:rowOff>
    </xdr:from>
    <xdr:to>
      <xdr:col>11</xdr:col>
      <xdr:colOff>378677</xdr:colOff>
      <xdr:row>6</xdr:row>
      <xdr:rowOff>56831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18DE64-A9C6-420C-BBBD-8FD772B82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47460" y="601980"/>
          <a:ext cx="3076157" cy="552131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</xdr:colOff>
      <xdr:row>51</xdr:row>
      <xdr:rowOff>113031</xdr:rowOff>
    </xdr:from>
    <xdr:to>
      <xdr:col>14</xdr:col>
      <xdr:colOff>121724</xdr:colOff>
      <xdr:row>64</xdr:row>
      <xdr:rowOff>167641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1116F53-B589-4B23-B428-8F4A2CD57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62440" y="9523731"/>
          <a:ext cx="4964234" cy="2448560"/>
        </a:xfrm>
        <a:prstGeom prst="rect">
          <a:avLst/>
        </a:prstGeom>
      </xdr:spPr>
    </xdr:pic>
    <xdr:clientData/>
  </xdr:twoCellAnchor>
  <xdr:twoCellAnchor editAs="oneCell">
    <xdr:from>
      <xdr:col>6</xdr:col>
      <xdr:colOff>68580</xdr:colOff>
      <xdr:row>32</xdr:row>
      <xdr:rowOff>0</xdr:rowOff>
    </xdr:from>
    <xdr:to>
      <xdr:col>9</xdr:col>
      <xdr:colOff>228224</xdr:colOff>
      <xdr:row>33</xdr:row>
      <xdr:rowOff>93992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D091D7C-F769-403D-B0A8-9FE4F2CF7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65520" y="5151120"/>
          <a:ext cx="1988444" cy="276872"/>
        </a:xfrm>
        <a:prstGeom prst="rect">
          <a:avLst/>
        </a:prstGeom>
      </xdr:spPr>
    </xdr:pic>
    <xdr:clientData/>
  </xdr:twoCellAnchor>
  <xdr:twoCellAnchor editAs="oneCell">
    <xdr:from>
      <xdr:col>6</xdr:col>
      <xdr:colOff>175260</xdr:colOff>
      <xdr:row>33</xdr:row>
      <xdr:rowOff>68580</xdr:rowOff>
    </xdr:from>
    <xdr:to>
      <xdr:col>14</xdr:col>
      <xdr:colOff>210308</xdr:colOff>
      <xdr:row>35</xdr:row>
      <xdr:rowOff>160622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4ED875C-49EC-4557-8559-4A0B09381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172200" y="5402580"/>
          <a:ext cx="4911848" cy="464152"/>
        </a:xfrm>
        <a:prstGeom prst="rect">
          <a:avLst/>
        </a:prstGeom>
      </xdr:spPr>
    </xdr:pic>
    <xdr:clientData/>
  </xdr:twoCellAnchor>
  <xdr:twoCellAnchor editAs="oneCell">
    <xdr:from>
      <xdr:col>6</xdr:col>
      <xdr:colOff>167641</xdr:colOff>
      <xdr:row>35</xdr:row>
      <xdr:rowOff>86464</xdr:rowOff>
    </xdr:from>
    <xdr:to>
      <xdr:col>15</xdr:col>
      <xdr:colOff>8891</xdr:colOff>
      <xdr:row>49</xdr:row>
      <xdr:rowOff>151795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2959B49-3BAA-49A8-AB76-A07858E50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64581" y="5786224"/>
          <a:ext cx="5334000" cy="2625651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75</xdr:row>
      <xdr:rowOff>171450</xdr:rowOff>
    </xdr:from>
    <xdr:to>
      <xdr:col>0</xdr:col>
      <xdr:colOff>2242185</xdr:colOff>
      <xdr:row>77</xdr:row>
      <xdr:rowOff>64135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623702E-4C07-3343-BD66-2B9AAD60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4262100"/>
          <a:ext cx="2089785" cy="2609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19050</xdr:colOff>
      <xdr:row>65</xdr:row>
      <xdr:rowOff>82550</xdr:rowOff>
    </xdr:from>
    <xdr:to>
      <xdr:col>8</xdr:col>
      <xdr:colOff>426720</xdr:colOff>
      <xdr:row>67</xdr:row>
      <xdr:rowOff>58420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E6E2347-1BF9-5170-716A-0CF6E62B0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200" y="12071350"/>
          <a:ext cx="1626870" cy="3441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165100</xdr:colOff>
      <xdr:row>69</xdr:row>
      <xdr:rowOff>88900</xdr:rowOff>
    </xdr:from>
    <xdr:to>
      <xdr:col>0</xdr:col>
      <xdr:colOff>2872740</xdr:colOff>
      <xdr:row>71</xdr:row>
      <xdr:rowOff>64135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DC06D6D-F9A1-42DA-00AC-738922299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12839700"/>
          <a:ext cx="2707640" cy="3562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rive%20partag&#233;s\ST%20Africa%20AQ%20Projects\AQ%20Projects\304229_Water%20for%20Climate%20Rwanda%202\CDM\Water%20project\40.%20Renewal\70.%20Survey\GS_6598_MS_RCP_V0.2.xlsx" TargetMode="External"/><Relationship Id="rId1" Type="http://schemas.openxmlformats.org/officeDocument/2006/relationships/externalLinkPath" Target="/Drive%20partag&#233;s/ST%20Africa%20AQ%20Projects/AQ%20Projects/304229_Water%20for%20Climate%20Rwanda%202/CDM/Water%20project/40.%20Renewal/70.%20Survey/GS_6598_MS_RCP_V0.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rive%20partag&#233;s\ST%20Africa%20AQ%20Projects\AQ%20Projects\304229_Water%20for%20Climate%20Rwanda%202\CDM\Water%20project\40.%20Renewal\20.%20Data\2023_W4C%20MP4%20Sampling%20water%20points%20user_Sample.xlsx" TargetMode="External"/><Relationship Id="rId1" Type="http://schemas.openxmlformats.org/officeDocument/2006/relationships/externalLinkPath" Target="/Drive%20partag&#233;s/ST%20Africa%20AQ%20Projects/AQ%20Projects/304229_Water%20for%20Climate%20Rwanda%202/CDM/Water%20project/40.%20Renewal/20.%20Data/2023_W4C%20MP4%20Sampling%20water%20points%20user_Sample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rive%20partag&#233;s\ST%20Africa%20AQ%20Projects\AQ%20Projects\304229_Water%20for%20Climate%20Rwanda%202\CDM\Water%20project\30.%20Performance%20cert\MP4\120.%20Project%20emissions\rukoronko%20fuel_v2.xlsx" TargetMode="External"/><Relationship Id="rId1" Type="http://schemas.openxmlformats.org/officeDocument/2006/relationships/externalLinkPath" Target="/Drive%20partag&#233;s/ST%20Africa%20AQ%20Projects/AQ%20Projects/304229_Water%20for%20Climate%20Rwanda%202/CDM/Water%20project/30.%20Performance%20cert/MP4/120.%20Project%20emissions/rukoronko%20fuel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alysis"/>
      <sheetName val="Main"/>
    </sheetNames>
    <sheetDataSet>
      <sheetData sheetId="0">
        <row r="6">
          <cell r="C6">
            <v>0.18627450980392157</v>
          </cell>
        </row>
        <row r="7">
          <cell r="C7">
            <v>2.9411764705882353E-2</v>
          </cell>
        </row>
        <row r="8">
          <cell r="C8">
            <v>9.8039215686274508E-3</v>
          </cell>
        </row>
        <row r="9">
          <cell r="C9">
            <v>0.77450980392156865</v>
          </cell>
        </row>
        <row r="27">
          <cell r="C27">
            <v>0.97058823529411764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i. Users list- ALL"/>
      <sheetName val="Sample Frame"/>
      <sheetName val="Sheet3"/>
    </sheetNames>
    <sheetDataSet>
      <sheetData sheetId="0"/>
      <sheetData sheetId="1"/>
      <sheetData sheetId="2">
        <row r="8237">
          <cell r="M8237">
            <v>38419</v>
          </cell>
        </row>
      </sheetData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July 22"/>
      <sheetName val="April 22"/>
      <sheetName val="May 22"/>
      <sheetName val="June 22"/>
      <sheetName val="August 22"/>
      <sheetName val="Sept 22"/>
      <sheetName val="January, 22"/>
      <sheetName val="december, 2021"/>
      <sheetName val="feb, 2022"/>
      <sheetName val="Oct 22"/>
      <sheetName val="Nov 22"/>
      <sheetName val="november 2021"/>
      <sheetName val="March 22"/>
      <sheetName val="Dec 22"/>
    </sheetNames>
    <sheetDataSet>
      <sheetData sheetId="0">
        <row r="23">
          <cell r="C23">
            <v>1472.16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Carlos Garcia-Borreguero" id="{92D1731E-9C23-4A7E-B8AD-BA3DC971981D}" userId="S::carlos@snizev.com::66fee4b8-9983-40e3-b7a6-e8a89900d53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1" dT="2023-12-06T10:10:47.04" personId="{92D1731E-9C23-4A7E-B8AD-BA3DC971981D}" id="{6C045BC9-5D8A-4FDD-87EE-4FDCA58A9750}">
    <text>I modified this =&gt; excluded the operational availability as it was already counted in DOP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ECABC-3A8E-4FF8-9C11-E5CB900551DE}">
  <dimension ref="A1:O97"/>
  <sheetViews>
    <sheetView tabSelected="1" topLeftCell="A45" workbookViewId="0">
      <selection activeCell="D46" sqref="D46"/>
    </sheetView>
  </sheetViews>
  <sheetFormatPr defaultRowHeight="14.5"/>
  <cols>
    <col min="1" max="1" width="47.90625" customWidth="1"/>
    <col min="2" max="2" width="36.453125" customWidth="1"/>
    <col min="3" max="3" width="11.54296875" bestFit="1" customWidth="1"/>
    <col min="4" max="4" width="28.90625" customWidth="1"/>
    <col min="5" max="5" width="23.6328125" customWidth="1"/>
  </cols>
  <sheetData>
    <row r="1" spans="1:5" s="8" customFormat="1">
      <c r="A1" s="8" t="s">
        <v>6</v>
      </c>
    </row>
    <row r="3" spans="1:5">
      <c r="A3" s="7" t="s">
        <v>14</v>
      </c>
      <c r="B3" s="7"/>
      <c r="C3" s="7"/>
      <c r="D3" s="7"/>
      <c r="E3" s="7"/>
    </row>
    <row r="4" spans="1:5">
      <c r="A4" t="s">
        <v>8</v>
      </c>
      <c r="B4" s="2">
        <v>0.3</v>
      </c>
      <c r="D4" t="s">
        <v>12</v>
      </c>
    </row>
    <row r="5" spans="1:5">
      <c r="A5" t="s">
        <v>10</v>
      </c>
      <c r="B5" s="1">
        <f>[1]Analysis!$C$6</f>
        <v>0.18627450980392157</v>
      </c>
      <c r="D5" t="s">
        <v>13</v>
      </c>
    </row>
    <row r="6" spans="1:5">
      <c r="A6" t="s">
        <v>9</v>
      </c>
      <c r="B6" s="2">
        <v>0.1</v>
      </c>
    </row>
    <row r="7" spans="1:5">
      <c r="A7" t="s">
        <v>11</v>
      </c>
      <c r="B7" s="1">
        <f>[1]Analysis!$C$9</f>
        <v>0.77450980392156865</v>
      </c>
      <c r="D7" t="s">
        <v>13</v>
      </c>
    </row>
    <row r="8" spans="1:5">
      <c r="A8" t="s">
        <v>42</v>
      </c>
      <c r="B8" s="1">
        <v>0.2</v>
      </c>
    </row>
    <row r="9" spans="1:5">
      <c r="A9" t="s">
        <v>43</v>
      </c>
      <c r="B9" s="1">
        <f>[1]Analysis!$C$7</f>
        <v>2.9411764705882353E-2</v>
      </c>
      <c r="D9" t="s">
        <v>13</v>
      </c>
    </row>
    <row r="10" spans="1:5">
      <c r="A10" t="s">
        <v>44</v>
      </c>
      <c r="B10" s="1">
        <v>0.2</v>
      </c>
    </row>
    <row r="11" spans="1:5">
      <c r="A11" t="s">
        <v>45</v>
      </c>
      <c r="B11" s="1">
        <f>[1]Analysis!$C$8</f>
        <v>9.8039215686274508E-3</v>
      </c>
    </row>
    <row r="12" spans="1:5" ht="16.5">
      <c r="A12" s="4" t="s">
        <v>1</v>
      </c>
      <c r="B12" s="1">
        <f>B5*B4+B7*B6+B8*B9+B10*B11</f>
        <v>0.14117647058823529</v>
      </c>
    </row>
    <row r="13" spans="1:5">
      <c r="A13" s="5" t="s">
        <v>7</v>
      </c>
      <c r="B13" s="9">
        <f>360.83/B12</f>
        <v>2555.8791666666666</v>
      </c>
      <c r="C13" t="s">
        <v>15</v>
      </c>
    </row>
    <row r="15" spans="1:5">
      <c r="A15" s="7" t="s">
        <v>16</v>
      </c>
      <c r="B15" s="7"/>
      <c r="C15" s="7"/>
      <c r="D15" s="7"/>
      <c r="E15" s="7"/>
    </row>
    <row r="17" spans="1:5">
      <c r="A17" t="s">
        <v>17</v>
      </c>
      <c r="B17" s="2">
        <f>[1]Analysis!$C$27</f>
        <v>0.97058823529411764</v>
      </c>
    </row>
    <row r="18" spans="1:5">
      <c r="A18" t="s">
        <v>18</v>
      </c>
      <c r="B18">
        <v>112</v>
      </c>
      <c r="C18" t="s">
        <v>20</v>
      </c>
    </row>
    <row r="19" spans="1:5">
      <c r="A19" t="s">
        <v>19</v>
      </c>
      <c r="B19" s="15">
        <v>8.6920000000000002</v>
      </c>
      <c r="C19" t="s">
        <v>20</v>
      </c>
    </row>
    <row r="20" spans="1:5">
      <c r="A20" t="s">
        <v>0</v>
      </c>
      <c r="B20" s="26">
        <v>0.89600000000000002</v>
      </c>
      <c r="C20" s="2"/>
    </row>
    <row r="21" spans="1:5">
      <c r="A21" s="5" t="s">
        <v>21</v>
      </c>
      <c r="B21" s="10">
        <f>$B$13*$B$17*(B20*$B$18+$B$19)/(10^9)</f>
        <v>2.7050613232500003E-4</v>
      </c>
      <c r="C21" s="5"/>
    </row>
    <row r="23" spans="1:5">
      <c r="A23" t="s">
        <v>40</v>
      </c>
      <c r="B23" s="2">
        <f>100%-B17</f>
        <v>2.9411764705882359E-2</v>
      </c>
    </row>
    <row r="24" spans="1:5">
      <c r="A24" t="s">
        <v>18</v>
      </c>
      <c r="B24">
        <v>165.22</v>
      </c>
      <c r="C24" t="s">
        <v>20</v>
      </c>
    </row>
    <row r="25" spans="1:5">
      <c r="A25" t="s">
        <v>19</v>
      </c>
      <c r="B25" s="15">
        <v>44.83</v>
      </c>
      <c r="C25" t="s">
        <v>20</v>
      </c>
    </row>
    <row r="26" spans="1:5">
      <c r="A26" t="s">
        <v>0</v>
      </c>
      <c r="B26" s="26">
        <f>B20</f>
        <v>0.89600000000000002</v>
      </c>
      <c r="C26" s="2"/>
    </row>
    <row r="27" spans="1:5">
      <c r="A27" s="5" t="s">
        <v>21</v>
      </c>
      <c r="B27" s="10">
        <f>$B$13*$B$23*(B26*$B$24+$B$25)/(10^9)</f>
        <v>1.4498383939500004E-5</v>
      </c>
      <c r="C27" s="5"/>
    </row>
    <row r="29" spans="1:5">
      <c r="A29" t="s">
        <v>41</v>
      </c>
      <c r="B29" s="10">
        <f>B27+B21</f>
        <v>2.8500451626450001E-4</v>
      </c>
    </row>
    <row r="32" spans="1:5">
      <c r="A32" s="7" t="s">
        <v>25</v>
      </c>
      <c r="B32" s="7"/>
      <c r="C32" s="7"/>
      <c r="D32" s="7"/>
      <c r="E32" s="7"/>
    </row>
    <row r="33" spans="1:3">
      <c r="A33" s="5" t="s">
        <v>26</v>
      </c>
    </row>
    <row r="37" spans="1:3">
      <c r="A37" t="s">
        <v>29</v>
      </c>
      <c r="B37" s="16">
        <f>'[2]i. Users list- ALL'!$M$8237</f>
        <v>38419</v>
      </c>
      <c r="C37" t="s">
        <v>2</v>
      </c>
    </row>
    <row r="38" spans="1:3">
      <c r="A38" t="s">
        <v>27</v>
      </c>
      <c r="B38">
        <v>5.5</v>
      </c>
      <c r="C38" t="s">
        <v>28</v>
      </c>
    </row>
    <row r="39" spans="1:3">
      <c r="A39" t="s">
        <v>30</v>
      </c>
      <c r="B39" s="2">
        <v>0.93</v>
      </c>
      <c r="C39" t="s">
        <v>46</v>
      </c>
    </row>
    <row r="40" spans="1:3">
      <c r="A40" t="s">
        <v>31</v>
      </c>
      <c r="B40">
        <f>365*B39</f>
        <v>339.45000000000005</v>
      </c>
      <c r="C40" t="s">
        <v>32</v>
      </c>
    </row>
    <row r="41" spans="1:3">
      <c r="A41" t="s">
        <v>33</v>
      </c>
      <c r="B41" s="6">
        <f>B37*B38*B40</f>
        <v>71727312.525000006</v>
      </c>
      <c r="C41" t="s">
        <v>3</v>
      </c>
    </row>
    <row r="43" spans="1:3">
      <c r="C43" s="3"/>
    </row>
    <row r="44" spans="1:3">
      <c r="C44" s="3"/>
    </row>
    <row r="49" spans="1:15">
      <c r="A49" s="7" t="s">
        <v>22</v>
      </c>
      <c r="B49" s="7"/>
      <c r="C49" s="7"/>
      <c r="D49" s="7"/>
      <c r="E49" s="7"/>
    </row>
    <row r="51" spans="1:15" ht="14.4" customHeight="1">
      <c r="A51" t="s">
        <v>23</v>
      </c>
      <c r="B51" s="1">
        <v>0.188</v>
      </c>
      <c r="D51" s="12" t="s">
        <v>38</v>
      </c>
      <c r="E51" s="13" t="s">
        <v>37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1:15">
      <c r="A52" t="s">
        <v>24</v>
      </c>
      <c r="B52" s="2">
        <v>6.5000000000000002E-2</v>
      </c>
      <c r="D52" t="s">
        <v>39</v>
      </c>
    </row>
    <row r="53" spans="1:15">
      <c r="A53" t="s">
        <v>34</v>
      </c>
      <c r="B53" s="2">
        <v>1</v>
      </c>
    </row>
    <row r="54" spans="1:15">
      <c r="A54" s="5" t="s">
        <v>4</v>
      </c>
      <c r="B54" s="6">
        <f>B29*(1-$B$51-$B$52)*$B$41*$B$53</f>
        <v>15270.628182827761</v>
      </c>
      <c r="C54" s="14"/>
      <c r="D54" t="s">
        <v>5</v>
      </c>
    </row>
    <row r="56" spans="1:15">
      <c r="A56" t="s">
        <v>35</v>
      </c>
      <c r="B56" s="2">
        <v>0</v>
      </c>
    </row>
    <row r="58" spans="1:15">
      <c r="A58" t="s">
        <v>36</v>
      </c>
      <c r="B58" s="14">
        <f>B54-0-$B$56*B54</f>
        <v>15270.628182827761</v>
      </c>
      <c r="C58" s="14"/>
      <c r="D58" t="s">
        <v>5</v>
      </c>
    </row>
    <row r="61" spans="1:15">
      <c r="B61" s="17">
        <f>B58/B37</f>
        <v>0.39747594114442752</v>
      </c>
      <c r="C61" t="s">
        <v>47</v>
      </c>
    </row>
    <row r="66" spans="1:5">
      <c r="A66" s="7" t="s">
        <v>49</v>
      </c>
    </row>
    <row r="69" spans="1:5" ht="16.5" customHeight="1">
      <c r="A69" s="5" t="s">
        <v>48</v>
      </c>
      <c r="B69" t="s">
        <v>63</v>
      </c>
    </row>
    <row r="71" spans="1:5" ht="15.5">
      <c r="A71" s="18"/>
    </row>
    <row r="72" spans="1:5" ht="15.5">
      <c r="A72" s="18"/>
    </row>
    <row r="73" spans="1:5" ht="30" customHeight="1"/>
    <row r="74" spans="1:5" ht="15.5">
      <c r="A74" s="18"/>
    </row>
    <row r="75" spans="1:5">
      <c r="A75" s="5" t="s">
        <v>66</v>
      </c>
    </row>
    <row r="79" spans="1:5" ht="62">
      <c r="A79" s="19" t="s">
        <v>51</v>
      </c>
      <c r="B79" s="20" t="s">
        <v>52</v>
      </c>
      <c r="C79" s="21">
        <f>[3]Summary!$C$23</f>
        <v>1472.16</v>
      </c>
      <c r="D79" s="19" t="s">
        <v>59</v>
      </c>
      <c r="E79" t="s">
        <v>64</v>
      </c>
    </row>
    <row r="80" spans="1:5" ht="16.5">
      <c r="A80" s="22" t="s">
        <v>53</v>
      </c>
      <c r="B80" s="19" t="s">
        <v>54</v>
      </c>
      <c r="C80" s="23">
        <v>74.099999999999994</v>
      </c>
      <c r="D80" s="22" t="s">
        <v>20</v>
      </c>
      <c r="E80" t="s">
        <v>65</v>
      </c>
    </row>
    <row r="81" spans="1:5">
      <c r="A81" s="19" t="s">
        <v>55</v>
      </c>
      <c r="B81" s="19" t="s">
        <v>56</v>
      </c>
      <c r="C81" s="23">
        <f>0.84/1000</f>
        <v>8.3999999999999993E-4</v>
      </c>
      <c r="D81" s="19" t="s">
        <v>60</v>
      </c>
      <c r="E81" t="s">
        <v>65</v>
      </c>
    </row>
    <row r="82" spans="1:5" ht="15.5">
      <c r="A82" s="19" t="s">
        <v>57</v>
      </c>
      <c r="B82" s="24" t="s">
        <v>58</v>
      </c>
      <c r="C82" s="23">
        <v>4.2999999999999997E-2</v>
      </c>
      <c r="D82" s="19" t="s">
        <v>61</v>
      </c>
      <c r="E82" t="s">
        <v>65</v>
      </c>
    </row>
    <row r="83" spans="1:5" ht="15.5">
      <c r="A83" s="18"/>
    </row>
    <row r="84" spans="1:5" ht="15.5">
      <c r="A84" s="18"/>
      <c r="B84" s="5" t="s">
        <v>62</v>
      </c>
      <c r="C84" s="25">
        <f>C82*C79*C80*C81</f>
        <v>3.9402244627199989</v>
      </c>
      <c r="D84" s="5" t="s">
        <v>50</v>
      </c>
    </row>
    <row r="88" spans="1:5">
      <c r="A88" s="7" t="s">
        <v>67</v>
      </c>
    </row>
    <row r="90" spans="1:5">
      <c r="A90" t="s">
        <v>68</v>
      </c>
      <c r="C90" s="5">
        <v>0</v>
      </c>
      <c r="D90" s="5" t="s">
        <v>50</v>
      </c>
    </row>
    <row r="93" spans="1:5">
      <c r="A93" s="7" t="s">
        <v>74</v>
      </c>
      <c r="B93" t="s">
        <v>69</v>
      </c>
      <c r="C93" s="25">
        <f>B58-C84-C90</f>
        <v>15266.687958365041</v>
      </c>
      <c r="D93" s="5" t="s">
        <v>50</v>
      </c>
    </row>
    <row r="94" spans="1:5">
      <c r="B94" t="s">
        <v>70</v>
      </c>
      <c r="C94" s="25">
        <f>C93</f>
        <v>15266.687958365041</v>
      </c>
      <c r="D94" s="5" t="s">
        <v>50</v>
      </c>
    </row>
    <row r="95" spans="1:5">
      <c r="B95" t="s">
        <v>71</v>
      </c>
      <c r="C95" s="25">
        <f>C94</f>
        <v>15266.687958365041</v>
      </c>
      <c r="D95" s="5" t="s">
        <v>50</v>
      </c>
    </row>
    <row r="96" spans="1:5">
      <c r="B96" t="s">
        <v>72</v>
      </c>
      <c r="C96" s="25">
        <f>C95</f>
        <v>15266.687958365041</v>
      </c>
      <c r="D96" s="5" t="s">
        <v>50</v>
      </c>
    </row>
    <row r="97" spans="2:4">
      <c r="B97" t="s">
        <v>73</v>
      </c>
      <c r="C97" s="25">
        <f>C96</f>
        <v>15266.687958365041</v>
      </c>
      <c r="D97" s="5" t="s">
        <v>50</v>
      </c>
    </row>
  </sheetData>
  <phoneticPr fontId="8" type="noConversion"/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1e5839-4a01-4f82-8044-9bc560be97b6" xsi:nil="true"/>
    <lcf76f155ced4ddcb4097134ff3c332f xmlns="1bf6f4c0-764d-4ab3-835f-635578128ea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44A2DA82065149BB8E5056D2040605" ma:contentTypeVersion="16" ma:contentTypeDescription="Create a new document." ma:contentTypeScope="" ma:versionID="d468c17983a5b1407604dfd755c39f83">
  <xsd:schema xmlns:xsd="http://www.w3.org/2001/XMLSchema" xmlns:xs="http://www.w3.org/2001/XMLSchema" xmlns:p="http://schemas.microsoft.com/office/2006/metadata/properties" xmlns:ns2="1bf6f4c0-764d-4ab3-835f-635578128eae" xmlns:ns3="bf1e5839-4a01-4f82-8044-9bc560be97b6" targetNamespace="http://schemas.microsoft.com/office/2006/metadata/properties" ma:root="true" ma:fieldsID="844bc51f004c6d43047bbd63645ef1a0" ns2:_="" ns3:_="">
    <xsd:import namespace="1bf6f4c0-764d-4ab3-835f-635578128eae"/>
    <xsd:import namespace="bf1e5839-4a01-4f82-8044-9bc560be97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6f4c0-764d-4ab3-835f-635578128e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5be595a-49a8-48be-b49e-72f6ac628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e5839-4a01-4f82-8044-9bc560be97b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6a86fcf-eaa8-469f-b879-576765e0cc95}" ma:internalName="TaxCatchAll" ma:showField="CatchAllData" ma:web="bf1e5839-4a01-4f82-8044-9bc560be97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643633-1171-4033-84B1-4BBF0D6EC7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800709-68CC-4C60-8E12-17BB708B9246}">
  <ds:schemaRefs>
    <ds:schemaRef ds:uri="http://schemas.microsoft.com/office/2006/metadata/properties"/>
    <ds:schemaRef ds:uri="http://schemas.microsoft.com/office/infopath/2007/PartnerControls"/>
    <ds:schemaRef ds:uri="bf1e5839-4a01-4f82-8044-9bc560be97b6"/>
    <ds:schemaRef ds:uri="1bf6f4c0-764d-4ab3-835f-635578128eae"/>
  </ds:schemaRefs>
</ds:datastoreItem>
</file>

<file path=customXml/itemProps3.xml><?xml version="1.0" encoding="utf-8"?>
<ds:datastoreItem xmlns:ds="http://schemas.openxmlformats.org/officeDocument/2006/customXml" ds:itemID="{83F7C04A-7271-4712-8381-017716C310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f6f4c0-764d-4ab3-835f-635578128eae"/>
    <ds:schemaRef ds:uri="bf1e5839-4a01-4f82-8044-9bc560be97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- SDWS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Costenoble</dc:creator>
  <cp:keywords/>
  <dc:description/>
  <cp:lastModifiedBy>Alexia Timmermans</cp:lastModifiedBy>
  <cp:revision/>
  <cp:lastPrinted>2024-02-06T10:37:36Z</cp:lastPrinted>
  <dcterms:created xsi:type="dcterms:W3CDTF">2015-06-05T18:17:20Z</dcterms:created>
  <dcterms:modified xsi:type="dcterms:W3CDTF">2025-05-12T06:36:25Z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0x010100F044A2DA82065149BB8E5056D2040605</vt:lpwstr>
  </property>
</Properties>
</file>