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autoCompressPictures="0"/>
  <mc:AlternateContent xmlns:mc="http://schemas.openxmlformats.org/markup-compatibility/2006">
    <mc:Choice Requires="x15">
      <x15ac:absPath xmlns:x15ac="http://schemas.microsoft.com/office/spreadsheetml/2010/11/ac" url="/Users/johannthaler/Documents/Persoenliches /co2 Logic/SPADEL/2nd issuance/submission to GS/round III/"/>
    </mc:Choice>
  </mc:AlternateContent>
  <xr:revisionPtr revIDLastSave="0" documentId="8_{0FC3339B-5CEC-A144-A7B1-849E0CA8DAC8}" xr6:coauthVersionLast="47" xr6:coauthVersionMax="47" xr10:uidLastSave="{00000000-0000-0000-0000-000000000000}"/>
  <bookViews>
    <workbookView xWindow="1180" yWindow="1060" windowWidth="48680" windowHeight="26020" xr2:uid="{00000000-000D-0000-FFFF-FFFF00000000}"/>
  </bookViews>
  <sheets>
    <sheet name="Input data" sheetId="14" r:id="rId1"/>
    <sheet name="ER calculation" sheetId="33" r:id="rId2"/>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35" i="33" l="1"/>
  <c r="C44" i="33"/>
  <c r="D44" i="33" s="1"/>
  <c r="E44" i="33" s="1"/>
  <c r="C43" i="33"/>
  <c r="C48" i="33" s="1"/>
  <c r="G10" i="33"/>
  <c r="G15" i="33"/>
  <c r="G5" i="33"/>
  <c r="F15" i="33"/>
  <c r="F10" i="33"/>
  <c r="F5" i="33"/>
  <c r="C31" i="14"/>
  <c r="C29" i="14"/>
  <c r="F19" i="33" s="1"/>
  <c r="D31" i="14"/>
  <c r="G19" i="33" s="1"/>
  <c r="D29" i="14"/>
  <c r="D23" i="14"/>
  <c r="D22" i="14"/>
  <c r="G28" i="33" l="1"/>
  <c r="G26" i="33"/>
  <c r="C47" i="33"/>
  <c r="C49" i="33" s="1"/>
  <c r="D43" i="33"/>
  <c r="E43" i="33" s="1"/>
  <c r="C23" i="14"/>
  <c r="F28" i="33" l="1"/>
  <c r="J19" i="33" s="1"/>
  <c r="J20" i="33" s="1"/>
  <c r="J21" i="33" s="1"/>
  <c r="C22" i="14"/>
  <c r="F26" i="33" s="1"/>
  <c r="F30" i="33" l="1"/>
  <c r="G30" i="33"/>
  <c r="C39" i="33" l="1"/>
  <c r="D39" i="33" s="1"/>
  <c r="E39" i="33" s="1"/>
  <c r="G34" i="33"/>
  <c r="G33" i="33"/>
  <c r="G35" i="33" s="1"/>
  <c r="C38" i="33"/>
  <c r="D38" i="33" s="1"/>
  <c r="E38" i="33" s="1"/>
  <c r="F33" i="33"/>
  <c r="F34" i="33"/>
  <c r="F35" i="33" l="1"/>
</calcChain>
</file>

<file path=xl/sharedStrings.xml><?xml version="1.0" encoding="utf-8"?>
<sst xmlns="http://schemas.openxmlformats.org/spreadsheetml/2006/main" count="157" uniqueCount="118">
  <si>
    <t>Qp,y</t>
  </si>
  <si>
    <t>Qp, raw, y</t>
  </si>
  <si>
    <t xml:space="preserve">Qp, cleanboil, y </t>
  </si>
  <si>
    <t>fraction</t>
  </si>
  <si>
    <t>Up,y</t>
  </si>
  <si>
    <t>Cj</t>
  </si>
  <si>
    <t xml:space="preserve">Xboil </t>
  </si>
  <si>
    <t xml:space="preserve">fraction </t>
  </si>
  <si>
    <t>tCO2/TJ</t>
  </si>
  <si>
    <t>NCV,b,fuel</t>
  </si>
  <si>
    <t>TJ/T</t>
  </si>
  <si>
    <t xml:space="preserve">GS ID </t>
  </si>
  <si>
    <t>Date</t>
  </si>
  <si>
    <t xml:space="preserve">Version </t>
  </si>
  <si>
    <t>Project title</t>
  </si>
  <si>
    <t xml:space="preserve">Description </t>
  </si>
  <si>
    <t>Water for Climate Rwanda</t>
  </si>
  <si>
    <t>Parameter</t>
  </si>
  <si>
    <t xml:space="preserve">Data unit </t>
  </si>
  <si>
    <t xml:space="preserve">Data source </t>
  </si>
  <si>
    <t>Np,y</t>
  </si>
  <si>
    <t xml:space="preserve">N/A </t>
  </si>
  <si>
    <t>LEp,y</t>
  </si>
  <si>
    <t>Wb,y</t>
  </si>
  <si>
    <t>Wp,y</t>
  </si>
  <si>
    <t>Quantity of wood fuel or fossil fuel required to boil 1 litre of water using technologies representatives of baseline scenario b during year y</t>
  </si>
  <si>
    <t>Quantity of wood fuel or fossil fuel required to boil 1 litre of water using technologies representatives of project scenario b during year y</t>
  </si>
  <si>
    <t>Quantity of safe water in litres supplied by project technology</t>
  </si>
  <si>
    <t xml:space="preserve">Quantity of raw water boiled in the project scenario </t>
  </si>
  <si>
    <t xml:space="preserve">Quantity of safe water boiled in the project scenario </t>
  </si>
  <si>
    <t>Non-renewability status of woody biomass fuel in scenario i during the year y</t>
  </si>
  <si>
    <t>Cumulative usage rate for technologies in project scenario p during year y, based on cumulative installation rate and drop off rate</t>
  </si>
  <si>
    <t>Percentage of users of project safe water supply who were already in baseline using a non boiling safe water supply</t>
  </si>
  <si>
    <t>Percentage of premises that in the absence of the project activity would have used non-GHG emitting technologies like chlorine treatment techniques (if available) in the project boundary.</t>
  </si>
  <si>
    <t>Number of person.days consuming water supplied by project scenario p through year y</t>
  </si>
  <si>
    <t>NCV,p,fuel</t>
  </si>
  <si>
    <t>CO2 emission factor arising from use of fuels in baseline scenario</t>
  </si>
  <si>
    <t>CO2 emission factor arising from use of fuels in project scenario</t>
  </si>
  <si>
    <r>
      <t>Non-CO</t>
    </r>
    <r>
      <rPr>
        <vertAlign val="subscript"/>
        <sz val="11"/>
        <color theme="1"/>
        <rFont val="Calibri"/>
        <family val="2"/>
        <scheme val="minor"/>
      </rPr>
      <t>2</t>
    </r>
    <r>
      <rPr>
        <sz val="11"/>
        <color theme="1"/>
        <rFont val="Calibri"/>
        <family val="2"/>
        <scheme val="minor"/>
      </rPr>
      <t xml:space="preserve"> emission factor arising from use of fuels in project scenario</t>
    </r>
  </si>
  <si>
    <r>
      <t>Non-CO</t>
    </r>
    <r>
      <rPr>
        <vertAlign val="subscript"/>
        <sz val="11"/>
        <color theme="1"/>
        <rFont val="Calibri"/>
        <family val="2"/>
        <scheme val="minor"/>
      </rPr>
      <t>2</t>
    </r>
    <r>
      <rPr>
        <sz val="11"/>
        <color theme="1"/>
        <rFont val="Calibri"/>
        <family val="2"/>
        <scheme val="minor"/>
      </rPr>
      <t xml:space="preserve"> emission factor arising from use of fuels in baseline scenario</t>
    </r>
  </si>
  <si>
    <t>Net calorific value of the fuels used in the baseline</t>
  </si>
  <si>
    <t>Net calorific value of the fuels used in the project</t>
  </si>
  <si>
    <t xml:space="preserve">Leakage from project scenario p in year y </t>
  </si>
  <si>
    <t xml:space="preserve">tons/litre </t>
  </si>
  <si>
    <t>EFb,CO2</t>
  </si>
  <si>
    <t>EFb,non-CO2</t>
  </si>
  <si>
    <t>EFp,CO2</t>
  </si>
  <si>
    <t>EFp,non-CO2</t>
  </si>
  <si>
    <t>fNRBi,y</t>
  </si>
  <si>
    <t>l/p/d</t>
  </si>
  <si>
    <t>Fixed ex-ante value as per the registered PDD</t>
  </si>
  <si>
    <t xml:space="preserve">As per registered PDD and valid for at least 2 years </t>
  </si>
  <si>
    <t>ECy</t>
  </si>
  <si>
    <t>Quantity of grid electricity consumed for pumping water in a standpipe system to the different water points in year y</t>
  </si>
  <si>
    <t>EFgrid,y</t>
  </si>
  <si>
    <t>CO2 emission factor of the grid electricity in year y</t>
  </si>
  <si>
    <t xml:space="preserve">Baseline Scenario Fuel Consumption Calculation </t>
  </si>
  <si>
    <r>
      <t>B</t>
    </r>
    <r>
      <rPr>
        <vertAlign val="subscript"/>
        <sz val="12"/>
        <color theme="1"/>
        <rFont val="Avenir Book"/>
        <family val="2"/>
      </rPr>
      <t>b,y</t>
    </r>
    <r>
      <rPr>
        <sz val="12"/>
        <color theme="1"/>
        <rFont val="Avenir Book"/>
        <family val="2"/>
      </rPr>
      <t xml:space="preserve"> = (1 – X</t>
    </r>
    <r>
      <rPr>
        <vertAlign val="subscript"/>
        <sz val="12"/>
        <color theme="1"/>
        <rFont val="Avenir Book"/>
        <family val="2"/>
      </rPr>
      <t>boil</t>
    </r>
    <r>
      <rPr>
        <sz val="12"/>
        <color theme="1"/>
        <rFont val="Avenir Book"/>
        <family val="2"/>
      </rPr>
      <t>) * (1 - C</t>
    </r>
    <r>
      <rPr>
        <vertAlign val="subscript"/>
        <sz val="12"/>
        <color theme="1"/>
        <rFont val="Avenir Book"/>
        <family val="2"/>
      </rPr>
      <t>j</t>
    </r>
    <r>
      <rPr>
        <sz val="12"/>
        <color theme="1"/>
        <rFont val="Avenir Book"/>
        <family val="2"/>
      </rPr>
      <t>) * N</t>
    </r>
    <r>
      <rPr>
        <vertAlign val="subscript"/>
        <sz val="12"/>
        <color theme="1"/>
        <rFont val="Avenir Book"/>
        <family val="2"/>
      </rPr>
      <t>p,y</t>
    </r>
    <r>
      <rPr>
        <sz val="12"/>
        <color theme="1"/>
        <rFont val="Avenir Book"/>
        <family val="2"/>
      </rPr>
      <t xml:space="preserve"> * W</t>
    </r>
    <r>
      <rPr>
        <vertAlign val="subscript"/>
        <sz val="12"/>
        <color theme="1"/>
        <rFont val="Avenir Book"/>
        <family val="2"/>
      </rPr>
      <t>b,y</t>
    </r>
    <r>
      <rPr>
        <sz val="12"/>
        <color theme="1"/>
        <rFont val="Avenir Book"/>
        <family val="2"/>
      </rPr>
      <t xml:space="preserve"> * (Q</t>
    </r>
    <r>
      <rPr>
        <vertAlign val="subscript"/>
        <sz val="12"/>
        <color theme="1"/>
        <rFont val="Avenir Book"/>
        <family val="2"/>
      </rPr>
      <t>p,y</t>
    </r>
    <r>
      <rPr>
        <sz val="12"/>
        <color theme="1"/>
        <rFont val="Avenir Book"/>
        <family val="2"/>
      </rPr>
      <t xml:space="preserve"> + Q</t>
    </r>
    <r>
      <rPr>
        <vertAlign val="subscript"/>
        <sz val="12"/>
        <color theme="1"/>
        <rFont val="Avenir Book"/>
        <family val="2"/>
      </rPr>
      <t>p,rawboil,y</t>
    </r>
    <r>
      <rPr>
        <sz val="12"/>
        <color theme="1"/>
        <rFont val="Avenir Book"/>
        <family val="2"/>
      </rPr>
      <t xml:space="preserve">) </t>
    </r>
  </si>
  <si>
    <t xml:space="preserve">Project Scenario Fuel Consumption Calculation </t>
  </si>
  <si>
    <r>
      <t>B</t>
    </r>
    <r>
      <rPr>
        <vertAlign val="subscript"/>
        <sz val="12"/>
        <color theme="1"/>
        <rFont val="Avenir Book"/>
        <family val="2"/>
      </rPr>
      <t>p,y</t>
    </r>
    <r>
      <rPr>
        <sz val="12"/>
        <color theme="1"/>
        <rFont val="Avenir Book"/>
        <family val="2"/>
      </rPr>
      <t xml:space="preserve"> = (1 - C</t>
    </r>
    <r>
      <rPr>
        <vertAlign val="subscript"/>
        <sz val="12"/>
        <color theme="1"/>
        <rFont val="Avenir Book"/>
        <family val="2"/>
      </rPr>
      <t>j</t>
    </r>
    <r>
      <rPr>
        <sz val="12"/>
        <color theme="1"/>
        <rFont val="Avenir Book"/>
        <family val="2"/>
      </rPr>
      <t>) * N</t>
    </r>
    <r>
      <rPr>
        <vertAlign val="subscript"/>
        <sz val="12"/>
        <color theme="1"/>
        <rFont val="Avenir Book"/>
        <family val="2"/>
      </rPr>
      <t>p,y</t>
    </r>
    <r>
      <rPr>
        <sz val="12"/>
        <color theme="1"/>
        <rFont val="Avenir Book"/>
        <family val="2"/>
      </rPr>
      <t xml:space="preserve"> * W</t>
    </r>
    <r>
      <rPr>
        <vertAlign val="subscript"/>
        <sz val="12"/>
        <color theme="1"/>
        <rFont val="Avenir Book"/>
        <family val="2"/>
      </rPr>
      <t>p,y</t>
    </r>
    <r>
      <rPr>
        <sz val="12"/>
        <color theme="1"/>
        <rFont val="Avenir Book"/>
        <family val="2"/>
      </rPr>
      <t xml:space="preserve"> * (Q</t>
    </r>
    <r>
      <rPr>
        <vertAlign val="subscript"/>
        <sz val="12"/>
        <color theme="1"/>
        <rFont val="Avenir Book"/>
        <family val="2"/>
      </rPr>
      <t>p,rawboil,y</t>
    </r>
    <r>
      <rPr>
        <sz val="12"/>
        <color theme="1"/>
        <rFont val="Avenir Book"/>
        <family val="2"/>
      </rPr>
      <t xml:space="preserve"> + Q</t>
    </r>
    <r>
      <rPr>
        <vertAlign val="subscript"/>
        <sz val="12"/>
        <color theme="1"/>
        <rFont val="Avenir Book"/>
        <family val="2"/>
      </rPr>
      <t>p,cleanboil,y</t>
    </r>
    <r>
      <rPr>
        <sz val="12"/>
        <color theme="1"/>
        <rFont val="Avenir Book"/>
        <family val="2"/>
      </rPr>
      <t xml:space="preserve">) </t>
    </r>
  </si>
  <si>
    <r>
      <t>PE</t>
    </r>
    <r>
      <rPr>
        <vertAlign val="subscript"/>
        <sz val="12"/>
        <color theme="1"/>
        <rFont val="Avenir Book"/>
        <family val="2"/>
      </rPr>
      <t>EC,y</t>
    </r>
    <r>
      <rPr>
        <sz val="12"/>
        <color theme="1"/>
        <rFont val="Avenir Book"/>
        <family val="2"/>
      </rPr>
      <t xml:space="preserve"> = EF</t>
    </r>
    <r>
      <rPr>
        <vertAlign val="subscript"/>
        <sz val="12"/>
        <color theme="1"/>
        <rFont val="Avenir Book"/>
        <family val="2"/>
      </rPr>
      <t xml:space="preserve">grid,y </t>
    </r>
    <r>
      <rPr>
        <sz val="12"/>
        <color theme="1"/>
        <rFont val="Avenir Book"/>
        <family val="2"/>
      </rPr>
      <t>x EC</t>
    </r>
    <r>
      <rPr>
        <vertAlign val="subscript"/>
        <sz val="12"/>
        <color theme="1"/>
        <rFont val="Avenir Book"/>
        <family val="2"/>
      </rPr>
      <t>y</t>
    </r>
  </si>
  <si>
    <t xml:space="preserve">Emission Reductions </t>
  </si>
  <si>
    <r>
      <t>BE</t>
    </r>
    <r>
      <rPr>
        <vertAlign val="subscript"/>
        <sz val="12"/>
        <color theme="1"/>
        <rFont val="Avenir Book"/>
        <family val="2"/>
      </rPr>
      <t>b,y</t>
    </r>
    <r>
      <rPr>
        <sz val="12"/>
        <color theme="1"/>
        <rFont val="Avenir Book"/>
        <family val="2"/>
      </rPr>
      <t xml:space="preserve"> = B</t>
    </r>
    <r>
      <rPr>
        <vertAlign val="subscript"/>
        <sz val="12"/>
        <color theme="1"/>
        <rFont val="Avenir Book"/>
        <family val="2"/>
      </rPr>
      <t>b,y</t>
    </r>
    <r>
      <rPr>
        <sz val="12"/>
        <color theme="1"/>
        <rFont val="Avenir Book"/>
        <family val="2"/>
      </rPr>
      <t xml:space="preserve"> *(( f</t>
    </r>
    <r>
      <rPr>
        <vertAlign val="subscript"/>
        <sz val="12"/>
        <color theme="1"/>
        <rFont val="Avenir Book"/>
        <family val="2"/>
      </rPr>
      <t>NRB</t>
    </r>
    <r>
      <rPr>
        <sz val="12"/>
        <color theme="1"/>
        <rFont val="Avenir Book"/>
        <family val="2"/>
      </rPr>
      <t xml:space="preserve"> * EF</t>
    </r>
    <r>
      <rPr>
        <vertAlign val="subscript"/>
        <sz val="12"/>
        <color theme="1"/>
        <rFont val="Avenir Book"/>
        <family val="2"/>
      </rPr>
      <t>fuel,CO2</t>
    </r>
    <r>
      <rPr>
        <sz val="12"/>
        <color theme="1"/>
        <rFont val="Avenir Book"/>
        <family val="2"/>
      </rPr>
      <t>) + EF</t>
    </r>
    <r>
      <rPr>
        <vertAlign val="subscript"/>
        <sz val="12"/>
        <color theme="1"/>
        <rFont val="Avenir Book"/>
        <family val="2"/>
      </rPr>
      <t>fuel,non-CO2</t>
    </r>
    <r>
      <rPr>
        <sz val="12"/>
        <color theme="1"/>
        <rFont val="Avenir Book"/>
        <family val="2"/>
      </rPr>
      <t>) * NCV</t>
    </r>
    <r>
      <rPr>
        <vertAlign val="subscript"/>
        <sz val="12"/>
        <color theme="1"/>
        <rFont val="Avenir Book"/>
        <family val="2"/>
      </rPr>
      <t>b,fuel</t>
    </r>
    <r>
      <rPr>
        <sz val="12"/>
        <color theme="1"/>
        <rFont val="Avenir Book"/>
        <family val="2"/>
      </rPr>
      <t xml:space="preserve"> </t>
    </r>
  </si>
  <si>
    <r>
      <t>PE</t>
    </r>
    <r>
      <rPr>
        <vertAlign val="subscript"/>
        <sz val="12"/>
        <color theme="1"/>
        <rFont val="Avenir Book"/>
        <family val="2"/>
      </rPr>
      <t>p,y</t>
    </r>
    <r>
      <rPr>
        <sz val="12"/>
        <color theme="1"/>
        <rFont val="Avenir Book"/>
        <family val="2"/>
      </rPr>
      <t xml:space="preserve"> = B</t>
    </r>
    <r>
      <rPr>
        <vertAlign val="subscript"/>
        <sz val="12"/>
        <color theme="1"/>
        <rFont val="Avenir Book"/>
        <family val="2"/>
      </rPr>
      <t>p,y</t>
    </r>
    <r>
      <rPr>
        <sz val="12"/>
        <color theme="1"/>
        <rFont val="Avenir Book"/>
        <family val="2"/>
      </rPr>
      <t xml:space="preserve"> * ((f</t>
    </r>
    <r>
      <rPr>
        <vertAlign val="subscript"/>
        <sz val="12"/>
        <color theme="1"/>
        <rFont val="Avenir Book"/>
        <family val="2"/>
      </rPr>
      <t>NRB</t>
    </r>
    <r>
      <rPr>
        <sz val="12"/>
        <color theme="1"/>
        <rFont val="Avenir Book"/>
        <family val="2"/>
      </rPr>
      <t xml:space="preserve"> * EF</t>
    </r>
    <r>
      <rPr>
        <vertAlign val="subscript"/>
        <sz val="12"/>
        <color theme="1"/>
        <rFont val="Avenir Book"/>
        <family val="2"/>
      </rPr>
      <t>fuel,CO2</t>
    </r>
    <r>
      <rPr>
        <sz val="12"/>
        <color theme="1"/>
        <rFont val="Avenir Book"/>
        <family val="2"/>
      </rPr>
      <t>) + EF</t>
    </r>
    <r>
      <rPr>
        <vertAlign val="subscript"/>
        <sz val="12"/>
        <color theme="1"/>
        <rFont val="Avenir Book"/>
        <family val="2"/>
      </rPr>
      <t>fuel,non-CO2</t>
    </r>
    <r>
      <rPr>
        <sz val="12"/>
        <color theme="1"/>
        <rFont val="Avenir Book"/>
        <family val="2"/>
      </rPr>
      <t>) * NCV</t>
    </r>
    <r>
      <rPr>
        <vertAlign val="subscript"/>
        <sz val="12"/>
        <color theme="1"/>
        <rFont val="Avenir Book"/>
        <family val="2"/>
      </rPr>
      <t>p,fuel</t>
    </r>
    <r>
      <rPr>
        <sz val="12"/>
        <color theme="1"/>
        <rFont val="Avenir Book"/>
        <family val="2"/>
      </rPr>
      <t xml:space="preserve"> </t>
    </r>
  </si>
  <si>
    <t>l/p/day</t>
  </si>
  <si>
    <t>https://pub.iges.or.jp/pub/iges-list-grid-emission-factors</t>
  </si>
  <si>
    <t>MWh</t>
  </si>
  <si>
    <t xml:space="preserve">No grid electricity has been used during the monitoring period </t>
  </si>
  <si>
    <t>tCO2/MWh</t>
  </si>
  <si>
    <t>tCO2/year</t>
  </si>
  <si>
    <t>tCO2</t>
  </si>
  <si>
    <t xml:space="preserve">SDG 13: </t>
  </si>
  <si>
    <t xml:space="preserve">SDG 1: </t>
  </si>
  <si>
    <t>Actual amount</t>
  </si>
  <si>
    <t>Difference in %</t>
  </si>
  <si>
    <t>Estimated amount</t>
  </si>
  <si>
    <t>FCdiesel,y</t>
  </si>
  <si>
    <t>Quantity of diesel consumed for pumping water in a standpipe system to the different water points or any other water point in year y</t>
  </si>
  <si>
    <t>l</t>
  </si>
  <si>
    <r>
      <t>EF</t>
    </r>
    <r>
      <rPr>
        <vertAlign val="subscript"/>
        <sz val="12"/>
        <color theme="1"/>
        <rFont val="Avenir Book"/>
        <family val="2"/>
      </rPr>
      <t>CO2,diesel,y</t>
    </r>
  </si>
  <si>
    <t xml:space="preserve">CO2 emission factor of diesel fuel in year y </t>
  </si>
  <si>
    <t>Density of diesel fuel</t>
  </si>
  <si>
    <t>Densitydiesel</t>
  </si>
  <si>
    <t xml:space="preserve">Net calorific value of diesel fuel in year y </t>
  </si>
  <si>
    <t>TJ/ton</t>
  </si>
  <si>
    <t xml:space="preserve">NCVdiesel,y </t>
  </si>
  <si>
    <t>Project emissions from grid electricity consumption</t>
  </si>
  <si>
    <t>Project emissions from diesel consumption</t>
  </si>
  <si>
    <r>
      <t>PE</t>
    </r>
    <r>
      <rPr>
        <vertAlign val="subscript"/>
        <sz val="12"/>
        <color theme="1"/>
        <rFont val="Avenir Book"/>
        <family val="2"/>
      </rPr>
      <t xml:space="preserve">FC,y </t>
    </r>
    <r>
      <rPr>
        <sz val="12"/>
        <color theme="1"/>
        <rFont val="Avenir Book"/>
        <family val="2"/>
      </rPr>
      <t>= EF</t>
    </r>
    <r>
      <rPr>
        <vertAlign val="subscript"/>
        <sz val="12"/>
        <color theme="1"/>
        <rFont val="Avenir Book"/>
        <family val="2"/>
      </rPr>
      <t>CO2,diesel,y</t>
    </r>
    <r>
      <rPr>
        <sz val="12"/>
        <color theme="1"/>
        <rFont val="Avenir Book"/>
        <family val="2"/>
      </rPr>
      <t xml:space="preserve"> x FC</t>
    </r>
    <r>
      <rPr>
        <vertAlign val="subscript"/>
        <sz val="12"/>
        <color theme="1"/>
        <rFont val="Avenir Book"/>
        <family val="2"/>
      </rPr>
      <t xml:space="preserve">diesel,y </t>
    </r>
    <r>
      <rPr>
        <sz val="12"/>
        <color theme="1"/>
        <rFont val="Avenir Book"/>
        <family val="2"/>
      </rPr>
      <t>x NCV</t>
    </r>
    <r>
      <rPr>
        <vertAlign val="subscript"/>
        <sz val="12"/>
        <color theme="1"/>
        <rFont val="Avenir Book"/>
        <family val="2"/>
      </rPr>
      <t xml:space="preserve">diesel,y </t>
    </r>
    <r>
      <rPr>
        <sz val="12"/>
        <color theme="1"/>
        <rFont val="Avenir Book"/>
        <family val="2"/>
      </rPr>
      <t>x Density</t>
    </r>
    <r>
      <rPr>
        <vertAlign val="subscript"/>
        <sz val="12"/>
        <color theme="1"/>
        <rFont val="Avenir Book"/>
        <family val="2"/>
      </rPr>
      <t>diesel</t>
    </r>
  </si>
  <si>
    <r>
      <t>ER</t>
    </r>
    <r>
      <rPr>
        <vertAlign val="subscript"/>
        <sz val="12"/>
        <color theme="1"/>
        <rFont val="Avenir Book"/>
        <family val="2"/>
      </rPr>
      <t>y</t>
    </r>
    <r>
      <rPr>
        <sz val="12"/>
        <color theme="1"/>
        <rFont val="Avenir Book"/>
        <family val="2"/>
      </rPr>
      <t xml:space="preserve"> = (</t>
    </r>
    <r>
      <rPr>
        <sz val="12"/>
        <color theme="1"/>
        <rFont val="Calibri"/>
        <family val="2"/>
      </rPr>
      <t>Σ</t>
    </r>
    <r>
      <rPr>
        <sz val="12"/>
        <color theme="1"/>
        <rFont val="Avenir Book"/>
        <family val="2"/>
      </rPr>
      <t xml:space="preserve"> BE</t>
    </r>
    <r>
      <rPr>
        <vertAlign val="subscript"/>
        <sz val="12"/>
        <color theme="1"/>
        <rFont val="Avenir Book"/>
        <family val="2"/>
      </rPr>
      <t>fuel,b,y</t>
    </r>
    <r>
      <rPr>
        <sz val="12"/>
        <color theme="1"/>
        <rFont val="Avenir Book"/>
        <family val="2"/>
      </rPr>
      <t xml:space="preserve"> – </t>
    </r>
    <r>
      <rPr>
        <sz val="12"/>
        <color theme="1"/>
        <rFont val="Calibri"/>
        <family val="2"/>
      </rPr>
      <t>Σ</t>
    </r>
    <r>
      <rPr>
        <sz val="12"/>
        <color theme="1"/>
        <rFont val="Avenir Book"/>
        <family val="2"/>
      </rPr>
      <t xml:space="preserve"> PE</t>
    </r>
    <r>
      <rPr>
        <vertAlign val="subscript"/>
        <sz val="12"/>
        <color theme="1"/>
        <rFont val="Avenir Book"/>
        <family val="2"/>
      </rPr>
      <t>fuel,p,y</t>
    </r>
    <r>
      <rPr>
        <sz val="12"/>
        <color theme="1"/>
        <rFont val="Avenir Book"/>
        <family val="2"/>
      </rPr>
      <t>) * U</t>
    </r>
    <r>
      <rPr>
        <vertAlign val="subscript"/>
        <sz val="12"/>
        <color theme="1"/>
        <rFont val="Avenir Book"/>
        <family val="2"/>
      </rPr>
      <t>p,y</t>
    </r>
    <r>
      <rPr>
        <sz val="12"/>
        <color theme="1"/>
        <rFont val="Avenir Book"/>
        <family val="2"/>
      </rPr>
      <t xml:space="preserve"> – </t>
    </r>
    <r>
      <rPr>
        <sz val="12"/>
        <color theme="1"/>
        <rFont val="Calibri"/>
        <family val="2"/>
      </rPr>
      <t>Σ</t>
    </r>
    <r>
      <rPr>
        <sz val="12"/>
        <color theme="1"/>
        <rFont val="Avenir Book"/>
        <family val="2"/>
      </rPr>
      <t xml:space="preserve"> LE</t>
    </r>
    <r>
      <rPr>
        <vertAlign val="subscript"/>
        <sz val="12"/>
        <color theme="1"/>
        <rFont val="Avenir Book"/>
        <family val="2"/>
      </rPr>
      <t>p,y</t>
    </r>
    <r>
      <rPr>
        <sz val="12"/>
        <color theme="1"/>
        <rFont val="Avenir Book"/>
        <family val="2"/>
      </rPr>
      <t xml:space="preserve"> – </t>
    </r>
    <r>
      <rPr>
        <sz val="12"/>
        <color theme="1"/>
        <rFont val="Calibri"/>
        <family val="2"/>
      </rPr>
      <t xml:space="preserve">Σ </t>
    </r>
    <r>
      <rPr>
        <sz val="12"/>
        <color theme="1"/>
        <rFont val="Avenir Book"/>
        <family val="2"/>
      </rPr>
      <t>PE</t>
    </r>
    <r>
      <rPr>
        <vertAlign val="subscript"/>
        <sz val="12"/>
        <color theme="1"/>
        <rFont val="Avenir Book"/>
        <family val="2"/>
      </rPr>
      <t>EC,y</t>
    </r>
    <r>
      <rPr>
        <sz val="12"/>
        <color theme="1"/>
        <rFont val="Avenir Book"/>
        <family val="2"/>
      </rPr>
      <t xml:space="preserve"> - </t>
    </r>
    <r>
      <rPr>
        <sz val="12"/>
        <color theme="1"/>
        <rFont val="Calibri"/>
        <family val="2"/>
      </rPr>
      <t xml:space="preserve">Σ </t>
    </r>
    <r>
      <rPr>
        <sz val="12"/>
        <color theme="1"/>
        <rFont val="Avenir Book"/>
        <family val="2"/>
      </rPr>
      <t>PE</t>
    </r>
    <r>
      <rPr>
        <vertAlign val="subscript"/>
        <sz val="12"/>
        <color theme="1"/>
        <rFont val="Avenir Book"/>
        <family val="2"/>
      </rPr>
      <t>FC,y</t>
    </r>
  </si>
  <si>
    <t>t/l</t>
  </si>
  <si>
    <t>% of overall PE</t>
  </si>
  <si>
    <t>Material (Yes/No)</t>
  </si>
  <si>
    <t>PEFC,y (after material check)</t>
  </si>
  <si>
    <t>Results from WCFT - See excel spreadsheet "20201021_Final results_W4C-Water Consumption Field Tests .xlsx"</t>
  </si>
  <si>
    <t>1.0</t>
  </si>
  <si>
    <t xml:space="preserve">See excel spreadsheet "20201103_W4C MP2 Project Water Point Database_v1.0.xlsx"
Note: Days for which a water point was not working were discounted as well as days during which it could not be ensured that water was E.coli free, i.e.  for periods between two positive E.coli tests, a negative and a subsequent positive test or a positive and a subsequent negative test. Hence, the parameter 'Quality of treated water' has not been separately indicated in the ER calculation. </t>
  </si>
  <si>
    <t>Result from usage/monitoring survey
See excel spreadsheet "20201102_GS6598_W4CR_Usage Monitoring survey analysis_MP2_v1.0.xlsx"</t>
  </si>
  <si>
    <t xml:space="preserve">Diesel consumption based on purchased quantities: 827.2 l (Rukoronko) +254.439 l (Mugesera) </t>
  </si>
  <si>
    <t>Proportion of actual ER to the estimated ER</t>
  </si>
  <si>
    <t>Estimated amount (in l/y)</t>
  </si>
  <si>
    <t>Actual amount (in l/y)</t>
  </si>
  <si>
    <t xml:space="preserve">Proportion of actual amount of safe water supplied compared to the estimated one </t>
  </si>
  <si>
    <t xml:space="preserve">Value (Scenario 1 with registered baseline fuelwood consumption) </t>
  </si>
  <si>
    <t xml:space="preserve">Value (Scenario 2 with default value of 0.0004 for baseline fuelwood consumption) </t>
  </si>
  <si>
    <t xml:space="preserve">Values (Scenario 1) </t>
  </si>
  <si>
    <t xml:space="preserve">Values (Scenario 2) </t>
  </si>
  <si>
    <t>Scenario 1</t>
  </si>
  <si>
    <t>Scenario 2</t>
  </si>
  <si>
    <t>Vintage wise ERs</t>
  </si>
  <si>
    <t>01/11/2019 to 31/12/2019</t>
  </si>
  <si>
    <t>01/01/2020 to 31/10/2020</t>
  </si>
  <si>
    <t xml:space="preserve">Months </t>
  </si>
  <si>
    <t xml:space="preserve">Total </t>
  </si>
  <si>
    <t>Cross-check</t>
  </si>
  <si>
    <t>Vintage wise l/year</t>
  </si>
  <si>
    <t xml:space="preserve">Scenario 1: Fixed ex-ante value as per the registered PDD / Scenario 2: SWS Grievance Resolution  (default value without WBT) </t>
  </si>
  <si>
    <t>Scenario 1: Fixed ex-ante value as per the registered PDD / Scenario 2: SWS Grievance Resolution  (default value without WBT)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</si>
</sst>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
    <numFmt numFmtId="166" formatCode="_(* #,##0_);_(* \(#,##0\);_(* &quot;-&quot;??_);_(@_)"/>
    <numFmt numFmtId="167" formatCode="_-* #,##0\ _€_-;\-* #,##0\ _€_-;_-* &quot;-&quot;??\ _€_-;_-@_-"/>
  </numFmts>
  <fonts count="1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1"/>
      <color theme="0"/>
      <name val="Calibri"/>
      <family val="2"/>
      <scheme val="minor"/>
    </font>
    <font>
      <b/>
      <sz val="24"/>
      <color theme="1"/>
      <name val="Calibri"/>
      <family val="2"/>
      <scheme val="minor"/>
    </font>
    <font>
      <sz val="10"/>
      <name val="Arial"/>
      <family val="2"/>
    </font>
    <font>
      <b/>
      <sz val="11"/>
      <color theme="1"/>
      <name val="Calibri"/>
      <family val="2"/>
      <scheme val="minor"/>
    </font>
    <font>
      <sz val="10"/>
      <color theme="1"/>
      <name val="Arial"/>
      <family val="2"/>
    </font>
    <font>
      <vertAlign val="subscript"/>
      <sz val="11"/>
      <color theme="1"/>
      <name val="Calibri"/>
      <family val="2"/>
      <scheme val="minor"/>
    </font>
    <font>
      <b/>
      <sz val="12"/>
      <color theme="1"/>
      <name val="Avenir Book"/>
      <family val="2"/>
    </font>
    <font>
      <sz val="12"/>
      <color theme="1"/>
      <name val="Avenir Book"/>
      <family val="2"/>
    </font>
    <font>
      <vertAlign val="subscript"/>
      <sz val="12"/>
      <color theme="1"/>
      <name val="Avenir Book"/>
      <family val="2"/>
    </font>
    <font>
      <sz val="12"/>
      <color theme="1"/>
      <name val="Calibri"/>
      <family val="2"/>
    </font>
    <font>
      <sz val="11"/>
      <color theme="1"/>
      <name val="Avenir Book"/>
      <family val="2"/>
    </font>
    <font>
      <b/>
      <sz val="11"/>
      <color theme="1"/>
      <name val="Avenir Book"/>
      <family val="2"/>
    </font>
  </fonts>
  <fills count="6">
    <fill>
      <patternFill patternType="none"/>
    </fill>
    <fill>
      <patternFill patternType="gray125"/>
    </fill>
    <fill>
      <patternFill patternType="solid">
        <fgColor theme="5" tint="0.749992370372631"/>
        <bgColor indexed="65"/>
      </patternFill>
    </fill>
    <fill>
      <patternFill patternType="solid">
        <fgColor theme="5"/>
        <bgColor auto="1"/>
      </patternFill>
    </fill>
    <fill>
      <patternFill patternType="solid">
        <fgColor theme="7" tint="0.79998168889431442"/>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0">
    <xf numFmtId="0" fontId="0" fillId="0" borderId="0"/>
    <xf numFmtId="164" fontId="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8" fillId="2" borderId="0"/>
    <xf numFmtId="0" fontId="7" fillId="3" borderId="0"/>
    <xf numFmtId="0" fontId="9" fillId="0" borderId="0"/>
    <xf numFmtId="164" fontId="9" fillId="0" borderId="0" applyFont="0" applyFill="0" applyBorder="0" applyAlignment="0" applyProtection="0"/>
    <xf numFmtId="0" fontId="9" fillId="0" borderId="0"/>
    <xf numFmtId="0" fontId="3" fillId="0" borderId="0"/>
    <xf numFmtId="0" fontId="2"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4" fillId="0" borderId="0" applyFont="0" applyFill="0" applyBorder="0" applyAlignment="0" applyProtection="0"/>
  </cellStyleXfs>
  <cellXfs count="59">
    <xf numFmtId="0" fontId="0" fillId="0" borderId="0" xfId="0"/>
    <xf numFmtId="3" fontId="0" fillId="0" borderId="0" xfId="0" applyNumberFormat="1"/>
    <xf numFmtId="0" fontId="0" fillId="0" borderId="1" xfId="0" applyFill="1" applyBorder="1" applyAlignment="1">
      <alignment wrapText="1"/>
    </xf>
    <xf numFmtId="0" fontId="0" fillId="0" borderId="1" xfId="0" applyFill="1" applyBorder="1"/>
    <xf numFmtId="0" fontId="10" fillId="0" borderId="0" xfId="0" applyFont="1" applyAlignment="1">
      <alignment wrapText="1"/>
    </xf>
    <xf numFmtId="0" fontId="0" fillId="0" borderId="1" xfId="0" applyBorder="1"/>
    <xf numFmtId="0" fontId="0" fillId="0" borderId="1" xfId="0" applyBorder="1" applyAlignment="1">
      <alignment wrapText="1"/>
    </xf>
    <xf numFmtId="0" fontId="10" fillId="0" borderId="0" xfId="0" applyFont="1"/>
    <xf numFmtId="165" fontId="0" fillId="0" borderId="0" xfId="0" applyNumberFormat="1"/>
    <xf numFmtId="1" fontId="0" fillId="0" borderId="0" xfId="0" applyNumberFormat="1"/>
    <xf numFmtId="0" fontId="11" fillId="0" borderId="0" xfId="0" applyFont="1" applyAlignment="1">
      <alignment horizontal="left"/>
    </xf>
    <xf numFmtId="0" fontId="0" fillId="0" borderId="0" xfId="0" applyAlignment="1">
      <alignment horizontal="left"/>
    </xf>
    <xf numFmtId="14" fontId="0" fillId="0" borderId="0" xfId="0" applyNumberFormat="1" applyAlignment="1">
      <alignment horizontal="left"/>
    </xf>
    <xf numFmtId="0" fontId="0" fillId="0" borderId="1" xfId="0" applyFont="1" applyBorder="1" applyAlignment="1">
      <alignment wrapText="1"/>
    </xf>
    <xf numFmtId="166" fontId="0" fillId="0" borderId="0" xfId="1" applyNumberFormat="1" applyFont="1"/>
    <xf numFmtId="0" fontId="0" fillId="0" borderId="0" xfId="0" applyAlignment="1">
      <alignment wrapText="1"/>
    </xf>
    <xf numFmtId="0" fontId="13" fillId="0" borderId="0" xfId="0" applyFont="1" applyAlignment="1">
      <alignment vertical="center"/>
    </xf>
    <xf numFmtId="0" fontId="14" fillId="0" borderId="0" xfId="0" applyFont="1" applyAlignment="1">
      <alignment vertical="center"/>
    </xf>
    <xf numFmtId="2" fontId="0" fillId="0" borderId="0" xfId="0" applyNumberFormat="1"/>
    <xf numFmtId="0" fontId="0" fillId="0" borderId="1" xfId="0" applyFill="1" applyBorder="1" applyAlignment="1">
      <alignment vertical="top"/>
    </xf>
    <xf numFmtId="0" fontId="0" fillId="0" borderId="1" xfId="0" applyFont="1" applyBorder="1" applyAlignment="1">
      <alignment horizontal="justify" vertical="center" wrapText="1"/>
    </xf>
    <xf numFmtId="1" fontId="0" fillId="0" borderId="1" xfId="0" applyNumberFormat="1" applyBorder="1"/>
    <xf numFmtId="0" fontId="14" fillId="0" borderId="1" xfId="0" applyFont="1" applyBorder="1"/>
    <xf numFmtId="0" fontId="0" fillId="0" borderId="1" xfId="0" applyFont="1" applyFill="1" applyBorder="1" applyAlignment="1">
      <alignment horizontal="left" wrapText="1"/>
    </xf>
    <xf numFmtId="0" fontId="0" fillId="0" borderId="1" xfId="0" applyFont="1" applyFill="1" applyBorder="1"/>
    <xf numFmtId="0" fontId="1" fillId="0" borderId="1" xfId="0" applyFont="1" applyBorder="1" applyAlignment="1">
      <alignment horizontal="justify" vertical="center"/>
    </xf>
    <xf numFmtId="0" fontId="1" fillId="0" borderId="1" xfId="0" applyFont="1" applyBorder="1"/>
    <xf numFmtId="0" fontId="0" fillId="0" borderId="0" xfId="0" applyAlignment="1">
      <alignment horizontal="right"/>
    </xf>
    <xf numFmtId="10" fontId="0" fillId="0" borderId="0" xfId="0" applyNumberFormat="1"/>
    <xf numFmtId="0" fontId="17" fillId="0" borderId="0" xfId="0" applyFont="1"/>
    <xf numFmtId="166" fontId="17" fillId="0" borderId="0" xfId="1" applyNumberFormat="1" applyFont="1"/>
    <xf numFmtId="10" fontId="17" fillId="0" borderId="0" xfId="0" applyNumberFormat="1" applyFont="1"/>
    <xf numFmtId="10" fontId="17" fillId="0" borderId="0" xfId="1" applyNumberFormat="1" applyFont="1"/>
    <xf numFmtId="0" fontId="18" fillId="0" borderId="0" xfId="0" applyFont="1"/>
    <xf numFmtId="10" fontId="17" fillId="0" borderId="0" xfId="59" applyNumberFormat="1" applyFont="1"/>
    <xf numFmtId="0" fontId="17" fillId="4" borderId="0" xfId="0" applyFont="1" applyFill="1"/>
    <xf numFmtId="2" fontId="17" fillId="4" borderId="0" xfId="0" applyNumberFormat="1" applyFont="1" applyFill="1"/>
    <xf numFmtId="2" fontId="17" fillId="4" borderId="0" xfId="0" applyNumberFormat="1" applyFont="1" applyFill="1" applyAlignment="1">
      <alignment horizontal="right"/>
    </xf>
    <xf numFmtId="166" fontId="17" fillId="4" borderId="0" xfId="1" applyNumberFormat="1" applyFont="1" applyFill="1"/>
    <xf numFmtId="0" fontId="17" fillId="5" borderId="0" xfId="0" applyFont="1" applyFill="1"/>
    <xf numFmtId="2" fontId="17" fillId="5" borderId="0" xfId="0" applyNumberFormat="1" applyFont="1" applyFill="1"/>
    <xf numFmtId="2" fontId="17" fillId="5" borderId="0" xfId="0" applyNumberFormat="1" applyFont="1" applyFill="1" applyAlignment="1">
      <alignment horizontal="right"/>
    </xf>
    <xf numFmtId="166" fontId="17" fillId="5" borderId="0" xfId="1" applyNumberFormat="1" applyFont="1" applyFill="1"/>
    <xf numFmtId="0" fontId="13" fillId="4" borderId="0" xfId="0" applyFont="1" applyFill="1" applyAlignment="1">
      <alignment horizontal="center"/>
    </xf>
    <xf numFmtId="0" fontId="13" fillId="5" borderId="0" xfId="0" applyFont="1" applyFill="1" applyAlignment="1">
      <alignment horizontal="center"/>
    </xf>
    <xf numFmtId="0" fontId="10" fillId="4" borderId="0" xfId="0" applyFont="1" applyFill="1" applyAlignment="1">
      <alignment wrapText="1"/>
    </xf>
    <xf numFmtId="0" fontId="0" fillId="4" borderId="1" xfId="0" applyNumberFormat="1" applyFill="1" applyBorder="1"/>
    <xf numFmtId="0" fontId="0" fillId="4" borderId="1" xfId="0" applyFill="1" applyBorder="1"/>
    <xf numFmtId="165" fontId="0" fillId="4" borderId="1" xfId="0" applyNumberFormat="1" applyFill="1" applyBorder="1"/>
    <xf numFmtId="166" fontId="0" fillId="4" borderId="1" xfId="1" applyNumberFormat="1" applyFont="1" applyFill="1" applyBorder="1"/>
    <xf numFmtId="2" fontId="0" fillId="4" borderId="1" xfId="0" applyNumberFormat="1" applyFill="1" applyBorder="1"/>
    <xf numFmtId="0" fontId="10" fillId="5" borderId="0" xfId="0" applyFont="1" applyFill="1" applyAlignment="1">
      <alignment wrapText="1"/>
    </xf>
    <xf numFmtId="0" fontId="0" fillId="5" borderId="1" xfId="0" applyNumberFormat="1" applyFill="1" applyBorder="1"/>
    <xf numFmtId="0" fontId="0" fillId="5" borderId="1" xfId="0" applyFill="1" applyBorder="1"/>
    <xf numFmtId="165" fontId="0" fillId="5" borderId="1" xfId="0" applyNumberFormat="1" applyFill="1" applyBorder="1"/>
    <xf numFmtId="166" fontId="0" fillId="5" borderId="1" xfId="1" applyNumberFormat="1" applyFont="1" applyFill="1" applyBorder="1"/>
    <xf numFmtId="2" fontId="0" fillId="5" borderId="1" xfId="0" applyNumberFormat="1" applyFill="1" applyBorder="1"/>
    <xf numFmtId="0" fontId="14" fillId="0" borderId="0" xfId="0" applyFont="1"/>
    <xf numFmtId="167" fontId="17" fillId="0" borderId="0" xfId="0" applyNumberFormat="1" applyFont="1"/>
  </cellXfs>
  <cellStyles count="60">
    <cellStyle name="Comma" xfId="1" builtinId="3"/>
    <cellStyle name="Comma 4" xfId="51" xr:uid="{00000000-0005-0000-0000-000001000000}"/>
    <cellStyle name="Custom Style  1" xfId="48" xr:uid="{00000000-0005-0000-0000-000002000000}"/>
    <cellStyle name="Custom Style 2" xfId="49" xr:uid="{00000000-0005-0000-0000-000003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56" builtinId="9" hidden="1"/>
    <cellStyle name="Followed Hyperlink" xfId="58"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55" builtinId="8" hidden="1"/>
    <cellStyle name="Hyperlink" xfId="57" builtinId="8" hidden="1"/>
    <cellStyle name="Normal" xfId="0" builtinId="0"/>
    <cellStyle name="Normal 2" xfId="53" xr:uid="{00000000-0005-0000-0000-000037000000}"/>
    <cellStyle name="Normal 3" xfId="54" xr:uid="{00000000-0005-0000-0000-000038000000}"/>
    <cellStyle name="Normal 3 4" xfId="50" xr:uid="{00000000-0005-0000-0000-000039000000}"/>
    <cellStyle name="Normal 5" xfId="52" xr:uid="{00000000-0005-0000-0000-00003A000000}"/>
    <cellStyle name="Per cent" xfId="5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39"/>
  <sheetViews>
    <sheetView tabSelected="1" zoomScale="136" zoomScaleNormal="136" zoomScalePageLayoutView="131" workbookViewId="0">
      <selection activeCell="F17" sqref="F17"/>
    </sheetView>
  </sheetViews>
  <sheetFormatPr baseColWidth="10" defaultColWidth="11.33203125" defaultRowHeight="15" x14ac:dyDescent="0.2"/>
  <cols>
    <col min="1" max="1" width="28.83203125" customWidth="1"/>
    <col min="2" max="2" width="73.1640625" customWidth="1"/>
    <col min="3" max="4" width="26.83203125" customWidth="1"/>
    <col min="6" max="6" width="89.6640625" customWidth="1"/>
    <col min="10" max="10" width="19.6640625" customWidth="1"/>
  </cols>
  <sheetData>
    <row r="2" spans="1:6" x14ac:dyDescent="0.2">
      <c r="A2" s="7" t="s">
        <v>14</v>
      </c>
      <c r="B2" s="10" t="s">
        <v>16</v>
      </c>
      <c r="C2" s="10"/>
      <c r="D2" s="10"/>
    </row>
    <row r="3" spans="1:6" x14ac:dyDescent="0.2">
      <c r="A3" s="7" t="s">
        <v>11</v>
      </c>
      <c r="B3" s="11"/>
      <c r="C3" s="11"/>
      <c r="D3" s="11"/>
    </row>
    <row r="4" spans="1:6" x14ac:dyDescent="0.2">
      <c r="A4" s="7" t="s">
        <v>12</v>
      </c>
      <c r="B4" s="12">
        <v>44138</v>
      </c>
      <c r="C4" s="12"/>
      <c r="D4" s="12"/>
    </row>
    <row r="5" spans="1:6" x14ac:dyDescent="0.2">
      <c r="A5" s="7" t="s">
        <v>13</v>
      </c>
      <c r="B5" s="11" t="s">
        <v>95</v>
      </c>
      <c r="C5" s="11"/>
      <c r="D5" s="11"/>
    </row>
    <row r="9" spans="1:6" ht="48" x14ac:dyDescent="0.2">
      <c r="A9" s="7" t="s">
        <v>17</v>
      </c>
      <c r="B9" s="4" t="s">
        <v>15</v>
      </c>
      <c r="C9" s="45" t="s">
        <v>103</v>
      </c>
      <c r="D9" s="51" t="s">
        <v>104</v>
      </c>
      <c r="E9" s="4" t="s">
        <v>18</v>
      </c>
      <c r="F9" s="4" t="s">
        <v>19</v>
      </c>
    </row>
    <row r="10" spans="1:6" ht="42" customHeight="1" x14ac:dyDescent="0.2">
      <c r="A10" s="3" t="s">
        <v>0</v>
      </c>
      <c r="B10" s="2" t="s">
        <v>27</v>
      </c>
      <c r="C10" s="46">
        <v>5.19</v>
      </c>
      <c r="D10" s="52">
        <v>5.19</v>
      </c>
      <c r="E10" s="3" t="s">
        <v>49</v>
      </c>
      <c r="F10" s="6" t="s">
        <v>94</v>
      </c>
    </row>
    <row r="11" spans="1:6" ht="44" customHeight="1" x14ac:dyDescent="0.2">
      <c r="A11" s="3" t="s">
        <v>1</v>
      </c>
      <c r="B11" s="2" t="s">
        <v>28</v>
      </c>
      <c r="C11" s="47">
        <v>0.6</v>
      </c>
      <c r="D11" s="53">
        <v>0.6</v>
      </c>
      <c r="E11" s="3" t="s">
        <v>49</v>
      </c>
      <c r="F11" s="6" t="s">
        <v>94</v>
      </c>
    </row>
    <row r="12" spans="1:6" ht="38" customHeight="1" x14ac:dyDescent="0.2">
      <c r="A12" s="3" t="s">
        <v>2</v>
      </c>
      <c r="B12" s="2" t="s">
        <v>29</v>
      </c>
      <c r="C12" s="47">
        <v>0</v>
      </c>
      <c r="D12" s="53">
        <v>0</v>
      </c>
      <c r="E12" s="3" t="s">
        <v>49</v>
      </c>
      <c r="F12" s="6" t="s">
        <v>94</v>
      </c>
    </row>
    <row r="13" spans="1:6" ht="16" x14ac:dyDescent="0.2">
      <c r="A13" s="3" t="s">
        <v>48</v>
      </c>
      <c r="B13" s="13" t="s">
        <v>30</v>
      </c>
      <c r="C13" s="47">
        <v>0.89680000000000004</v>
      </c>
      <c r="D13" s="53">
        <v>0.89680000000000004</v>
      </c>
      <c r="E13" s="3" t="s">
        <v>3</v>
      </c>
      <c r="F13" s="6" t="s">
        <v>50</v>
      </c>
    </row>
    <row r="14" spans="1:6" ht="35" customHeight="1" x14ac:dyDescent="0.2">
      <c r="A14" s="3" t="s">
        <v>4</v>
      </c>
      <c r="B14" s="13" t="s">
        <v>31</v>
      </c>
      <c r="C14" s="47">
        <v>0.99119999999999997</v>
      </c>
      <c r="D14" s="53">
        <v>0.99119999999999997</v>
      </c>
      <c r="E14" s="3" t="s">
        <v>3</v>
      </c>
      <c r="F14" s="6" t="s">
        <v>97</v>
      </c>
    </row>
    <row r="15" spans="1:6" ht="49" customHeight="1" x14ac:dyDescent="0.2">
      <c r="A15" s="3" t="s">
        <v>23</v>
      </c>
      <c r="B15" s="2" t="s">
        <v>25</v>
      </c>
      <c r="C15" s="47">
        <v>7.3276999999999999E-4</v>
      </c>
      <c r="D15" s="53">
        <v>4.0000000000000002E-4</v>
      </c>
      <c r="E15" s="3" t="s">
        <v>43</v>
      </c>
      <c r="F15" s="6" t="s">
        <v>116</v>
      </c>
    </row>
    <row r="16" spans="1:6" ht="36" customHeight="1" x14ac:dyDescent="0.2">
      <c r="A16" s="3" t="s">
        <v>24</v>
      </c>
      <c r="B16" s="2" t="s">
        <v>26</v>
      </c>
      <c r="C16" s="47">
        <v>7.3276999999999999E-4</v>
      </c>
      <c r="D16" s="53">
        <v>4.0000000000000002E-4</v>
      </c>
      <c r="E16" s="3" t="s">
        <v>43</v>
      </c>
      <c r="F16" s="6" t="s">
        <v>117</v>
      </c>
    </row>
    <row r="17" spans="1:6" ht="44" customHeight="1" x14ac:dyDescent="0.2">
      <c r="A17" s="3" t="s">
        <v>5</v>
      </c>
      <c r="B17" s="2" t="s">
        <v>32</v>
      </c>
      <c r="C17" s="48">
        <v>0.18779999999999999</v>
      </c>
      <c r="D17" s="54">
        <v>0.18779999999999999</v>
      </c>
      <c r="E17" s="3" t="s">
        <v>3</v>
      </c>
      <c r="F17" s="6" t="s">
        <v>50</v>
      </c>
    </row>
    <row r="18" spans="1:6" ht="48" x14ac:dyDescent="0.2">
      <c r="A18" s="3" t="s">
        <v>6</v>
      </c>
      <c r="B18" s="6" t="s">
        <v>33</v>
      </c>
      <c r="C18" s="48">
        <v>6.5000000000000002E-2</v>
      </c>
      <c r="D18" s="54">
        <v>6.5000000000000002E-2</v>
      </c>
      <c r="E18" s="3" t="s">
        <v>7</v>
      </c>
      <c r="F18" s="6" t="s">
        <v>50</v>
      </c>
    </row>
    <row r="19" spans="1:6" ht="80" x14ac:dyDescent="0.2">
      <c r="A19" s="3" t="s">
        <v>20</v>
      </c>
      <c r="B19" s="2" t="s">
        <v>34</v>
      </c>
      <c r="C19" s="49">
        <v>4765981</v>
      </c>
      <c r="D19" s="55">
        <v>4765981</v>
      </c>
      <c r="E19" s="3" t="s">
        <v>21</v>
      </c>
      <c r="F19" s="6" t="s">
        <v>96</v>
      </c>
    </row>
    <row r="20" spans="1:6" ht="16" x14ac:dyDescent="0.2">
      <c r="A20" s="3" t="s">
        <v>44</v>
      </c>
      <c r="B20" s="3" t="s">
        <v>36</v>
      </c>
      <c r="C20" s="47">
        <v>112</v>
      </c>
      <c r="D20" s="53">
        <v>112</v>
      </c>
      <c r="E20" s="3" t="s">
        <v>8</v>
      </c>
      <c r="F20" s="6" t="s">
        <v>50</v>
      </c>
    </row>
    <row r="21" spans="1:6" ht="16" x14ac:dyDescent="0.2">
      <c r="A21" s="3" t="s">
        <v>46</v>
      </c>
      <c r="B21" s="3" t="s">
        <v>37</v>
      </c>
      <c r="C21" s="47">
        <v>112</v>
      </c>
      <c r="D21" s="53">
        <v>112</v>
      </c>
      <c r="E21" s="3" t="s">
        <v>8</v>
      </c>
      <c r="F21" s="6" t="s">
        <v>50</v>
      </c>
    </row>
    <row r="22" spans="1:6" ht="16" customHeight="1" x14ac:dyDescent="0.25">
      <c r="A22" s="3" t="s">
        <v>45</v>
      </c>
      <c r="B22" s="13" t="s">
        <v>39</v>
      </c>
      <c r="C22" s="47">
        <f t="shared" ref="C22:D23" si="0">7.5+1.192</f>
        <v>8.6920000000000002</v>
      </c>
      <c r="D22" s="53">
        <f t="shared" si="0"/>
        <v>8.6920000000000002</v>
      </c>
      <c r="E22" s="3" t="s">
        <v>8</v>
      </c>
      <c r="F22" s="6" t="s">
        <v>50</v>
      </c>
    </row>
    <row r="23" spans="1:6" ht="18" x14ac:dyDescent="0.25">
      <c r="A23" s="3" t="s">
        <v>47</v>
      </c>
      <c r="B23" s="13" t="s">
        <v>38</v>
      </c>
      <c r="C23" s="47">
        <f t="shared" si="0"/>
        <v>8.6920000000000002</v>
      </c>
      <c r="D23" s="53">
        <f t="shared" si="0"/>
        <v>8.6920000000000002</v>
      </c>
      <c r="E23" s="3" t="s">
        <v>8</v>
      </c>
      <c r="F23" s="6" t="s">
        <v>50</v>
      </c>
    </row>
    <row r="24" spans="1:6" ht="16" x14ac:dyDescent="0.2">
      <c r="A24" s="3" t="s">
        <v>9</v>
      </c>
      <c r="B24" s="3" t="s">
        <v>40</v>
      </c>
      <c r="C24" s="47">
        <v>1.5599999999999999E-2</v>
      </c>
      <c r="D24" s="53">
        <v>1.5599999999999999E-2</v>
      </c>
      <c r="E24" s="3" t="s">
        <v>10</v>
      </c>
      <c r="F24" s="6" t="s">
        <v>50</v>
      </c>
    </row>
    <row r="25" spans="1:6" ht="16" x14ac:dyDescent="0.2">
      <c r="A25" s="3" t="s">
        <v>35</v>
      </c>
      <c r="B25" s="3" t="s">
        <v>41</v>
      </c>
      <c r="C25" s="47">
        <v>1.5599999999999999E-2</v>
      </c>
      <c r="D25" s="53">
        <v>1.5599999999999999E-2</v>
      </c>
      <c r="E25" s="3" t="s">
        <v>10</v>
      </c>
      <c r="F25" s="6" t="s">
        <v>50</v>
      </c>
    </row>
    <row r="26" spans="1:6" x14ac:dyDescent="0.2">
      <c r="A26" s="5" t="s">
        <v>22</v>
      </c>
      <c r="B26" s="3" t="s">
        <v>42</v>
      </c>
      <c r="C26" s="47">
        <v>0</v>
      </c>
      <c r="D26" s="53">
        <v>0</v>
      </c>
      <c r="E26" s="5" t="s">
        <v>69</v>
      </c>
      <c r="F26" s="5" t="s">
        <v>51</v>
      </c>
    </row>
    <row r="27" spans="1:6" ht="31" customHeight="1" x14ac:dyDescent="0.2">
      <c r="A27" s="19" t="s">
        <v>52</v>
      </c>
      <c r="B27" s="23" t="s">
        <v>53</v>
      </c>
      <c r="C27" s="47">
        <v>0</v>
      </c>
      <c r="D27" s="53">
        <v>0</v>
      </c>
      <c r="E27" s="3" t="s">
        <v>66</v>
      </c>
      <c r="F27" s="2" t="s">
        <v>67</v>
      </c>
    </row>
    <row r="28" spans="1:6" ht="16" x14ac:dyDescent="0.2">
      <c r="A28" s="3" t="s">
        <v>54</v>
      </c>
      <c r="B28" s="24" t="s">
        <v>55</v>
      </c>
      <c r="C28" s="47">
        <v>0.67600000000000005</v>
      </c>
      <c r="D28" s="53">
        <v>0.67600000000000005</v>
      </c>
      <c r="E28" s="5" t="s">
        <v>68</v>
      </c>
      <c r="F28" s="20" t="s">
        <v>65</v>
      </c>
    </row>
    <row r="29" spans="1:6" ht="34" x14ac:dyDescent="0.2">
      <c r="A29" s="3" t="s">
        <v>76</v>
      </c>
      <c r="B29" s="25" t="s">
        <v>77</v>
      </c>
      <c r="C29" s="50">
        <f>254.439+827.2</f>
        <v>1081.6390000000001</v>
      </c>
      <c r="D29" s="56">
        <f>254.439+827.2</f>
        <v>1081.6390000000001</v>
      </c>
      <c r="E29" s="5" t="s">
        <v>78</v>
      </c>
      <c r="F29" s="21" t="s">
        <v>98</v>
      </c>
    </row>
    <row r="30" spans="1:6" ht="19" x14ac:dyDescent="0.3">
      <c r="A30" s="22" t="s">
        <v>79</v>
      </c>
      <c r="B30" s="24" t="s">
        <v>80</v>
      </c>
      <c r="C30" s="47">
        <v>74.099999999999994</v>
      </c>
      <c r="D30" s="53">
        <v>74.099999999999994</v>
      </c>
      <c r="E30" s="22" t="s">
        <v>8</v>
      </c>
      <c r="F30" s="21" t="s">
        <v>50</v>
      </c>
    </row>
    <row r="31" spans="1:6" x14ac:dyDescent="0.2">
      <c r="A31" s="3" t="s">
        <v>82</v>
      </c>
      <c r="B31" s="24" t="s">
        <v>81</v>
      </c>
      <c r="C31" s="47">
        <f>0.84/1000</f>
        <v>8.3999999999999993E-4</v>
      </c>
      <c r="D31" s="53">
        <f>0.84/1000</f>
        <v>8.3999999999999993E-4</v>
      </c>
      <c r="E31" s="5" t="s">
        <v>90</v>
      </c>
      <c r="F31" s="21" t="s">
        <v>50</v>
      </c>
    </row>
    <row r="32" spans="1:6" ht="16" x14ac:dyDescent="0.2">
      <c r="A32" s="3" t="s">
        <v>85</v>
      </c>
      <c r="B32" s="26" t="s">
        <v>83</v>
      </c>
      <c r="C32" s="47">
        <v>4.2999999999999997E-2</v>
      </c>
      <c r="D32" s="53">
        <v>4.2999999999999997E-2</v>
      </c>
      <c r="E32" s="5" t="s">
        <v>84</v>
      </c>
      <c r="F32" s="21" t="s">
        <v>50</v>
      </c>
    </row>
    <row r="33" spans="6:6" x14ac:dyDescent="0.2">
      <c r="F33" s="9"/>
    </row>
    <row r="34" spans="6:6" x14ac:dyDescent="0.2">
      <c r="F34" s="9"/>
    </row>
    <row r="38" spans="6:6" x14ac:dyDescent="0.2">
      <c r="F38" s="1"/>
    </row>
    <row r="39" spans="6:6" x14ac:dyDescent="0.2">
      <c r="F39" s="8"/>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ED8A-806F-4346-8CAB-9C6A84A58D41}">
  <dimension ref="A2:J49"/>
  <sheetViews>
    <sheetView zoomScale="83" zoomScaleNormal="83" workbookViewId="0">
      <selection activeCell="A45" sqref="A45:XFD45"/>
    </sheetView>
  </sheetViews>
  <sheetFormatPr baseColWidth="10" defaultRowHeight="16" x14ac:dyDescent="0.25"/>
  <cols>
    <col min="1" max="1" width="13.5" customWidth="1"/>
    <col min="2" max="2" width="24.6640625" customWidth="1"/>
    <col min="3" max="3" width="18.5" customWidth="1"/>
    <col min="4" max="4" width="16.5" customWidth="1"/>
    <col min="5" max="5" width="21.33203125" customWidth="1"/>
    <col min="6" max="7" width="18.83203125" style="29" customWidth="1"/>
    <col min="9" max="9" width="22.83203125" customWidth="1"/>
  </cols>
  <sheetData>
    <row r="2" spans="2:8" x14ac:dyDescent="0.25">
      <c r="B2" s="7" t="s">
        <v>71</v>
      </c>
    </row>
    <row r="3" spans="2:8" ht="17" x14ac:dyDescent="0.25">
      <c r="B3" s="16" t="s">
        <v>56</v>
      </c>
      <c r="F3" s="43" t="s">
        <v>105</v>
      </c>
      <c r="G3" s="44" t="s">
        <v>106</v>
      </c>
    </row>
    <row r="4" spans="2:8" x14ac:dyDescent="0.25">
      <c r="F4" s="35"/>
      <c r="G4" s="39"/>
    </row>
    <row r="5" spans="2:8" ht="19" x14ac:dyDescent="0.25">
      <c r="B5" s="17" t="s">
        <v>57</v>
      </c>
      <c r="F5" s="36">
        <f>(1-'Input data'!C18)*(1-'Input data'!C17)*'Input data'!C19*'Input data'!C15*('Input data'!C10+'Input data'!C11)</f>
        <v>15355.824755182364</v>
      </c>
      <c r="G5" s="40">
        <f>(1-'Input data'!D18)*(1-'Input data'!D17)*'Input data'!D19*'Input data'!D15*('Input data'!D10+'Input data'!D11)</f>
        <v>8382.3435758463729</v>
      </c>
      <c r="H5" t="s">
        <v>64</v>
      </c>
    </row>
    <row r="6" spans="2:8" x14ac:dyDescent="0.25">
      <c r="F6" s="35"/>
      <c r="G6" s="39"/>
    </row>
    <row r="7" spans="2:8" x14ac:dyDescent="0.25">
      <c r="F7" s="35"/>
      <c r="G7" s="39"/>
    </row>
    <row r="8" spans="2:8" ht="17" x14ac:dyDescent="0.25">
      <c r="B8" s="16" t="s">
        <v>58</v>
      </c>
      <c r="F8" s="35"/>
      <c r="G8" s="39"/>
    </row>
    <row r="9" spans="2:8" x14ac:dyDescent="0.25">
      <c r="F9" s="35"/>
      <c r="G9" s="39"/>
    </row>
    <row r="10" spans="2:8" ht="19" x14ac:dyDescent="0.25">
      <c r="B10" s="17" t="s">
        <v>59</v>
      </c>
      <c r="F10" s="37">
        <f>(1-'Input data'!C17)*'Input data'!C19*'Input data'!C16*('Input data'!C11+'Input data'!C12)</f>
        <v>1701.9007237463484</v>
      </c>
      <c r="G10" s="41">
        <f>(1-'Input data'!D17)*'Input data'!D19*'Input data'!D16*('Input data'!D11+'Input data'!D12)</f>
        <v>929.02314436800009</v>
      </c>
      <c r="H10" t="s">
        <v>64</v>
      </c>
    </row>
    <row r="11" spans="2:8" x14ac:dyDescent="0.25">
      <c r="F11" s="35"/>
      <c r="G11" s="39"/>
    </row>
    <row r="12" spans="2:8" x14ac:dyDescent="0.25">
      <c r="F12" s="35"/>
      <c r="G12" s="39"/>
    </row>
    <row r="13" spans="2:8" ht="17" x14ac:dyDescent="0.25">
      <c r="B13" s="16" t="s">
        <v>86</v>
      </c>
      <c r="F13" s="35"/>
      <c r="G13" s="39"/>
    </row>
    <row r="14" spans="2:8" x14ac:dyDescent="0.25">
      <c r="F14" s="35"/>
      <c r="G14" s="39"/>
    </row>
    <row r="15" spans="2:8" ht="19" x14ac:dyDescent="0.25">
      <c r="B15" s="17" t="s">
        <v>60</v>
      </c>
      <c r="F15" s="35">
        <f>'Input data'!C28*'Input data'!C27</f>
        <v>0</v>
      </c>
      <c r="G15" s="39">
        <f>'Input data'!D28*'Input data'!D27</f>
        <v>0</v>
      </c>
      <c r="H15" t="s">
        <v>70</v>
      </c>
    </row>
    <row r="16" spans="2:8" ht="17" x14ac:dyDescent="0.25">
      <c r="B16" s="17"/>
      <c r="F16" s="35"/>
      <c r="G16" s="39"/>
    </row>
    <row r="17" spans="1:10" ht="17" x14ac:dyDescent="0.25">
      <c r="B17" s="16" t="s">
        <v>87</v>
      </c>
      <c r="F17" s="35"/>
      <c r="G17" s="39"/>
    </row>
    <row r="18" spans="1:10" ht="17" x14ac:dyDescent="0.25">
      <c r="B18" s="17"/>
      <c r="F18" s="35"/>
      <c r="G18" s="39"/>
    </row>
    <row r="19" spans="1:10" ht="19" x14ac:dyDescent="0.25">
      <c r="B19" s="17" t="s">
        <v>88</v>
      </c>
      <c r="F19" s="37">
        <f>'Input data'!C30*'Input data'!C29*'Input data'!C32*'Input data'!C31</f>
        <v>2.8949981303879997</v>
      </c>
      <c r="G19" s="41">
        <f>'Input data'!D30*'Input data'!D29*'Input data'!D32*'Input data'!D31</f>
        <v>2.8949981303879997</v>
      </c>
      <c r="H19" t="s">
        <v>70</v>
      </c>
      <c r="I19" t="s">
        <v>91</v>
      </c>
      <c r="J19" s="28">
        <f>F19/(F19+F28)</f>
        <v>9.9815336618492602E-4</v>
      </c>
    </row>
    <row r="20" spans="1:10" x14ac:dyDescent="0.25">
      <c r="F20" s="35"/>
      <c r="G20" s="39"/>
      <c r="I20" t="s">
        <v>92</v>
      </c>
      <c r="J20" s="27" t="str">
        <f>IF(J19&gt;5%,"YES","NO")</f>
        <v>NO</v>
      </c>
    </row>
    <row r="21" spans="1:10" x14ac:dyDescent="0.25">
      <c r="F21" s="35"/>
      <c r="G21" s="39"/>
      <c r="I21" t="s">
        <v>93</v>
      </c>
      <c r="J21">
        <f>IF(J20="YES",F19,0)</f>
        <v>0</v>
      </c>
    </row>
    <row r="22" spans="1:10" x14ac:dyDescent="0.25">
      <c r="B22" s="29" t="s">
        <v>22</v>
      </c>
      <c r="F22" s="35">
        <v>0</v>
      </c>
      <c r="G22" s="39">
        <v>0</v>
      </c>
      <c r="H22" t="s">
        <v>70</v>
      </c>
    </row>
    <row r="23" spans="1:10" x14ac:dyDescent="0.25">
      <c r="F23" s="35"/>
      <c r="G23" s="39"/>
    </row>
    <row r="24" spans="1:10" ht="17" x14ac:dyDescent="0.25">
      <c r="B24" s="16" t="s">
        <v>61</v>
      </c>
      <c r="F24" s="35"/>
      <c r="G24" s="39"/>
    </row>
    <row r="25" spans="1:10" x14ac:dyDescent="0.25">
      <c r="F25" s="35"/>
      <c r="G25" s="39"/>
    </row>
    <row r="26" spans="1:10" ht="19" x14ac:dyDescent="0.25">
      <c r="B26" s="17" t="s">
        <v>62</v>
      </c>
      <c r="F26" s="36">
        <f>F5*(('Input data'!C13*'Input data'!C20)+'Input data'!C22)*'Input data'!C24</f>
        <v>26143.04840943385</v>
      </c>
      <c r="G26" s="40">
        <f>G5*(('Input data'!D13*'Input data'!D20)+'Input data'!D22)*'Input data'!D24</f>
        <v>14270.807161556208</v>
      </c>
      <c r="H26" t="s">
        <v>70</v>
      </c>
      <c r="I26" s="18"/>
    </row>
    <row r="27" spans="1:10" x14ac:dyDescent="0.25">
      <c r="B27" s="15"/>
      <c r="D27" s="15"/>
      <c r="F27" s="35"/>
      <c r="G27" s="39"/>
    </row>
    <row r="28" spans="1:10" ht="19" x14ac:dyDescent="0.25">
      <c r="A28" s="14"/>
      <c r="B28" s="17" t="s">
        <v>63</v>
      </c>
      <c r="C28" s="14"/>
      <c r="D28" s="14"/>
      <c r="E28" s="14"/>
      <c r="F28" s="36">
        <f>F10*(('Input data'!C13*'Input data'!C21)+'Input data'!C23)*'Input data'!C25</f>
        <v>2897.4590240706939</v>
      </c>
      <c r="G28" s="40">
        <f>G10*(('Input data'!D13*'Input data'!D21)+'Input data'!D23)*'Input data'!D25</f>
        <v>1581.6471875599132</v>
      </c>
      <c r="H28" t="s">
        <v>70</v>
      </c>
      <c r="J28" s="18"/>
    </row>
    <row r="29" spans="1:10" x14ac:dyDescent="0.25">
      <c r="A29" s="14"/>
      <c r="B29" s="14"/>
      <c r="C29" s="14"/>
      <c r="D29" s="14"/>
      <c r="E29" s="14"/>
      <c r="F29" s="35"/>
      <c r="G29" s="39"/>
    </row>
    <row r="30" spans="1:10" ht="19" x14ac:dyDescent="0.25">
      <c r="A30" s="14"/>
      <c r="B30" s="17" t="s">
        <v>89</v>
      </c>
      <c r="C30" s="14"/>
      <c r="D30" s="14"/>
      <c r="E30" s="14"/>
      <c r="F30" s="38">
        <f>ROUNDDOWN((F26-F28)*'Input data'!C14-F22-F15-J21,0)</f>
        <v>23041</v>
      </c>
      <c r="G30" s="42">
        <f>ROUNDDOWN((G26-G28)*'Input data'!D14-G22-G15-J21,0)</f>
        <v>12577</v>
      </c>
      <c r="H30" t="s">
        <v>70</v>
      </c>
    </row>
    <row r="31" spans="1:10" ht="17" x14ac:dyDescent="0.25">
      <c r="A31" s="14"/>
      <c r="B31" s="17"/>
      <c r="C31" s="14"/>
      <c r="D31" s="14"/>
      <c r="E31" s="14"/>
      <c r="F31" s="38"/>
      <c r="G31" s="42"/>
    </row>
    <row r="32" spans="1:10" ht="17" x14ac:dyDescent="0.25">
      <c r="A32" s="14"/>
      <c r="B32" s="17" t="s">
        <v>109</v>
      </c>
      <c r="C32" s="14" t="s">
        <v>112</v>
      </c>
      <c r="D32" s="14"/>
      <c r="E32" s="14"/>
      <c r="F32" s="38"/>
      <c r="G32" s="42"/>
    </row>
    <row r="33" spans="1:8" ht="17" x14ac:dyDescent="0.25">
      <c r="A33" s="14"/>
      <c r="B33" s="57" t="s">
        <v>110</v>
      </c>
      <c r="C33" s="14">
        <v>2</v>
      </c>
      <c r="D33" s="14"/>
      <c r="E33" s="14"/>
      <c r="F33" s="38">
        <f>F30/C35*C33</f>
        <v>3840.1666666666665</v>
      </c>
      <c r="G33" s="42">
        <f>G30/C35*C33</f>
        <v>2096.1666666666665</v>
      </c>
      <c r="H33" t="s">
        <v>70</v>
      </c>
    </row>
    <row r="34" spans="1:8" ht="17" x14ac:dyDescent="0.25">
      <c r="A34" s="14"/>
      <c r="B34" s="17" t="s">
        <v>111</v>
      </c>
      <c r="C34" s="14">
        <v>10</v>
      </c>
      <c r="D34" s="14"/>
      <c r="E34" s="14"/>
      <c r="F34" s="38">
        <f>F30/C35*C34</f>
        <v>19200.833333333332</v>
      </c>
      <c r="G34" s="42">
        <f>G30/C35*C34</f>
        <v>10480.833333333332</v>
      </c>
      <c r="H34" t="s">
        <v>70</v>
      </c>
    </row>
    <row r="35" spans="1:8" ht="17" x14ac:dyDescent="0.25">
      <c r="A35" s="14"/>
      <c r="B35" s="17" t="s">
        <v>113</v>
      </c>
      <c r="C35" s="14">
        <f>SUM(C33:C34)</f>
        <v>12</v>
      </c>
      <c r="D35" s="14"/>
      <c r="E35" s="14" t="s">
        <v>114</v>
      </c>
      <c r="F35" s="38">
        <f>SUM(F33:F34)</f>
        <v>23041</v>
      </c>
      <c r="G35" s="42">
        <f>SUM(G33:G34)</f>
        <v>12576.999999999998</v>
      </c>
      <c r="H35" t="s">
        <v>70</v>
      </c>
    </row>
    <row r="36" spans="1:8" x14ac:dyDescent="0.25">
      <c r="A36" s="14"/>
      <c r="B36" s="14"/>
      <c r="C36" s="14"/>
      <c r="D36" s="14"/>
      <c r="E36" s="14"/>
    </row>
    <row r="37" spans="1:8" x14ac:dyDescent="0.25">
      <c r="A37" s="14"/>
      <c r="B37" s="30" t="s">
        <v>75</v>
      </c>
      <c r="C37" s="30" t="s">
        <v>73</v>
      </c>
      <c r="D37" s="30" t="s">
        <v>74</v>
      </c>
      <c r="E37" s="30" t="s">
        <v>99</v>
      </c>
    </row>
    <row r="38" spans="1:8" x14ac:dyDescent="0.25">
      <c r="A38" s="14" t="s">
        <v>107</v>
      </c>
      <c r="B38" s="30">
        <v>59480</v>
      </c>
      <c r="C38" s="30">
        <f>F30</f>
        <v>23041</v>
      </c>
      <c r="D38" s="32">
        <f>(B38-C38)/B38</f>
        <v>0.61262609280430391</v>
      </c>
      <c r="E38" s="32">
        <f>1-D38</f>
        <v>0.38737390719569609</v>
      </c>
      <c r="F38" s="31"/>
      <c r="G38" s="31"/>
    </row>
    <row r="39" spans="1:8" x14ac:dyDescent="0.25">
      <c r="A39" s="14" t="s">
        <v>108</v>
      </c>
      <c r="B39" s="30">
        <v>59480</v>
      </c>
      <c r="C39" s="30">
        <f>G30</f>
        <v>12577</v>
      </c>
      <c r="D39" s="32">
        <f>(B39-C39)/B39</f>
        <v>0.78855077336919976</v>
      </c>
      <c r="E39" s="32">
        <f t="shared" ref="E39" si="0">1-D39</f>
        <v>0.21144922663080024</v>
      </c>
      <c r="F39" s="31"/>
      <c r="G39" s="31"/>
    </row>
    <row r="40" spans="1:8" x14ac:dyDescent="0.25">
      <c r="A40" s="14"/>
      <c r="B40" s="30"/>
      <c r="C40" s="30"/>
      <c r="D40" s="30"/>
      <c r="E40" s="30"/>
    </row>
    <row r="41" spans="1:8" x14ac:dyDescent="0.25">
      <c r="B41" s="33" t="s">
        <v>72</v>
      </c>
      <c r="C41" s="29"/>
      <c r="D41" s="29"/>
      <c r="E41" s="29"/>
    </row>
    <row r="42" spans="1:8" x14ac:dyDescent="0.25">
      <c r="B42" s="29" t="s">
        <v>100</v>
      </c>
      <c r="C42" s="29" t="s">
        <v>101</v>
      </c>
      <c r="D42" s="30" t="s">
        <v>74</v>
      </c>
      <c r="E42" s="30" t="s">
        <v>102</v>
      </c>
    </row>
    <row r="43" spans="1:8" x14ac:dyDescent="0.25">
      <c r="A43" s="14" t="s">
        <v>107</v>
      </c>
      <c r="B43" s="30">
        <v>68985000</v>
      </c>
      <c r="C43" s="30">
        <f>'Input data'!C19*'Input data'!C10</f>
        <v>24735441.390000001</v>
      </c>
      <c r="D43" s="34">
        <f>(B43-C43)/B43</f>
        <v>0.64143739378125675</v>
      </c>
      <c r="E43" s="31">
        <f>1-D43</f>
        <v>0.35856260621874325</v>
      </c>
      <c r="F43" s="31"/>
      <c r="G43" s="31"/>
    </row>
    <row r="44" spans="1:8" x14ac:dyDescent="0.25">
      <c r="A44" s="14" t="s">
        <v>108</v>
      </c>
      <c r="B44" s="30">
        <v>68985000</v>
      </c>
      <c r="C44" s="30">
        <f>'Input data'!D19*'Input data'!D10</f>
        <v>24735441.390000001</v>
      </c>
      <c r="D44" s="34">
        <f t="shared" ref="D44" si="1">(B44-C44)/B44</f>
        <v>0.64143739378125675</v>
      </c>
      <c r="E44" s="31">
        <f t="shared" ref="E44" si="2">1-D44</f>
        <v>0.35856260621874325</v>
      </c>
    </row>
    <row r="46" spans="1:8" ht="17" x14ac:dyDescent="0.25">
      <c r="B46" s="17" t="s">
        <v>115</v>
      </c>
    </row>
    <row r="47" spans="1:8" ht="17" x14ac:dyDescent="0.25">
      <c r="B47" s="57" t="s">
        <v>110</v>
      </c>
      <c r="C47" s="58">
        <f>C43/C35*C33</f>
        <v>4122573.5649999999</v>
      </c>
    </row>
    <row r="48" spans="1:8" ht="17" x14ac:dyDescent="0.25">
      <c r="B48" s="17" t="s">
        <v>111</v>
      </c>
      <c r="C48" s="58">
        <f>C43/C35*C34</f>
        <v>20612867.824999999</v>
      </c>
    </row>
    <row r="49" spans="2:3" ht="17" x14ac:dyDescent="0.25">
      <c r="B49" s="17" t="s">
        <v>113</v>
      </c>
      <c r="C49" s="58">
        <f>SUM(C47:C48)</f>
        <v>24735441.390000001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Input data</vt:lpstr>
      <vt:lpstr>ER calculation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Byatta</dc:creator>
  <cp:lastModifiedBy>Admin</cp:lastModifiedBy>
  <dcterms:created xsi:type="dcterms:W3CDTF">2015-12-12T12:47:44Z</dcterms:created>
  <dcterms:modified xsi:type="dcterms:W3CDTF">2021-11-11T12:48:28Z</dcterms:modified>
</cp:coreProperties>
</file>