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27"/>
  <workbookPr/>
  <mc:AlternateContent xmlns:mc="http://schemas.openxmlformats.org/markup-compatibility/2006">
    <mc:Choice Requires="x15">
      <x15ac:absPath xmlns:x15ac="http://schemas.microsoft.com/office/spreadsheetml/2010/11/ac" url="/Users/martinamargari/Library/CloudStorage/GoogleDrive-m.margari@southpole.com/Shared drives/ST Africa AQ Projects/AQ Projects/304155 AID4MADA CSG Water is life_CP007 Madagascar/5. Verification/Step 14_Verification 5th/2 Round I Reply/"/>
    </mc:Choice>
  </mc:AlternateContent>
  <xr:revisionPtr revIDLastSave="0" documentId="13_ncr:1_{000175DF-6233-3145-A4FA-A5E3520DEBC9}" xr6:coauthVersionLast="47" xr6:coauthVersionMax="47" xr10:uidLastSave="{00000000-0000-0000-0000-000000000000}"/>
  <bookViews>
    <workbookView xWindow="2380" yWindow="-28020" windowWidth="35800" windowHeight="25740" tabRatio="881" xr2:uid="{00000000-000D-0000-FFFF-FFFF00000000}"/>
  </bookViews>
  <sheets>
    <sheet name="General data" sheetId="5" r:id="rId1"/>
    <sheet name="ERs" sheetId="8" r:id="rId2"/>
    <sheet name="Summary SDG 13" sheetId="12" r:id="rId3"/>
    <sheet name="Summary other SDGs" sheetId="13" r:id="rId4"/>
    <sheet name="Energy output" sheetId="10" r:id="rId5"/>
    <sheet name="BenConsAndStorage" sheetId="14" r:id="rId6"/>
  </sheets>
  <externalReferences>
    <externalReference r:id="rId7"/>
  </externalReferences>
  <definedNames>
    <definedName name="_GoBack" localSheetId="1">ERs!#REF!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1" i="12" l="1"/>
  <c r="L10" i="12"/>
  <c r="F16" i="8" l="1"/>
  <c r="J25" i="8"/>
  <c r="L25" i="8" s="1"/>
  <c r="F11" i="5"/>
  <c r="A36" i="13" l="1"/>
  <c r="A49" i="13" s="1"/>
  <c r="D51" i="13"/>
  <c r="D52" i="13"/>
  <c r="D53" i="13"/>
  <c r="D54" i="13"/>
  <c r="D55" i="13"/>
  <c r="D56" i="13"/>
  <c r="D57" i="13"/>
  <c r="D58" i="13"/>
  <c r="D50" i="13"/>
  <c r="A22" i="13"/>
  <c r="A38" i="13" s="1"/>
  <c r="A23" i="13"/>
  <c r="A39" i="13" s="1"/>
  <c r="A24" i="13"/>
  <c r="A40" i="13" s="1"/>
  <c r="A25" i="13"/>
  <c r="A41" i="13" s="1"/>
  <c r="A26" i="13"/>
  <c r="A42" i="13" s="1"/>
  <c r="A27" i="13"/>
  <c r="A43" i="13" s="1"/>
  <c r="A28" i="13"/>
  <c r="A44" i="13" s="1"/>
  <c r="A29" i="13"/>
  <c r="A45" i="13" s="1"/>
  <c r="A21" i="13"/>
  <c r="A50" i="13" s="1"/>
  <c r="K16" i="12"/>
  <c r="K18" i="12"/>
  <c r="K17" i="12"/>
  <c r="K15" i="12"/>
  <c r="K14" i="12"/>
  <c r="K13" i="12"/>
  <c r="K12" i="12"/>
  <c r="K10" i="12"/>
  <c r="J18" i="12"/>
  <c r="J17" i="12"/>
  <c r="J16" i="12"/>
  <c r="J15" i="12"/>
  <c r="J14" i="12"/>
  <c r="J13" i="12"/>
  <c r="J10" i="12"/>
  <c r="A57" i="13" l="1"/>
  <c r="A56" i="13"/>
  <c r="A55" i="13"/>
  <c r="A53" i="13"/>
  <c r="A54" i="13"/>
  <c r="A52" i="13"/>
  <c r="A51" i="13"/>
  <c r="A58" i="13"/>
  <c r="L18" i="12" l="1"/>
  <c r="L17" i="12"/>
  <c r="L16" i="12"/>
  <c r="L15" i="12"/>
  <c r="L14" i="12"/>
  <c r="L13" i="12"/>
  <c r="J12" i="12"/>
  <c r="L12" i="12" s="1"/>
  <c r="K11" i="12"/>
  <c r="J11" i="12" l="1"/>
  <c r="C16" i="8" l="1"/>
  <c r="C17" i="8"/>
  <c r="C18" i="8"/>
  <c r="C19" i="8"/>
  <c r="B5" i="13" s="1"/>
  <c r="C20" i="8"/>
  <c r="C21" i="8"/>
  <c r="C22" i="8"/>
  <c r="C23" i="8"/>
  <c r="C24" i="8"/>
  <c r="C34" i="8" s="1"/>
  <c r="E27" i="8"/>
  <c r="F27" i="8" s="1"/>
  <c r="E28" i="8"/>
  <c r="F28" i="8" s="1"/>
  <c r="E29" i="8"/>
  <c r="F29" i="8" s="1"/>
  <c r="E30" i="8"/>
  <c r="F30" i="8" s="1"/>
  <c r="E31" i="8"/>
  <c r="F31" i="8" s="1"/>
  <c r="E32" i="8"/>
  <c r="F32" i="8" s="1"/>
  <c r="E33" i="8"/>
  <c r="F33" i="8" s="1"/>
  <c r="E34" i="8"/>
  <c r="F34" i="8" s="1"/>
  <c r="E26" i="8"/>
  <c r="F26" i="8" s="1"/>
  <c r="F17" i="8"/>
  <c r="F19" i="8"/>
  <c r="F20" i="8"/>
  <c r="F21" i="8"/>
  <c r="F22" i="8"/>
  <c r="F23" i="8"/>
  <c r="F24" i="8"/>
  <c r="F18" i="8"/>
  <c r="G17" i="8" l="1"/>
  <c r="D24" i="13"/>
  <c r="D40" i="13"/>
  <c r="C40" i="13"/>
  <c r="C24" i="13"/>
  <c r="C32" i="8"/>
  <c r="G32" i="8" s="1"/>
  <c r="B8" i="13"/>
  <c r="C33" i="8"/>
  <c r="G33" i="8" s="1"/>
  <c r="B9" i="13"/>
  <c r="C30" i="8"/>
  <c r="G30" i="8" s="1"/>
  <c r="B6" i="13"/>
  <c r="C28" i="8"/>
  <c r="G28" i="8" s="1"/>
  <c r="B4" i="13"/>
  <c r="C31" i="8"/>
  <c r="G31" i="8" s="1"/>
  <c r="B7" i="13"/>
  <c r="C27" i="8"/>
  <c r="G27" i="8" s="1"/>
  <c r="B3" i="13"/>
  <c r="D22" i="13" s="1"/>
  <c r="G34" i="8"/>
  <c r="B10" i="13"/>
  <c r="C26" i="8"/>
  <c r="G26" i="8" s="1"/>
  <c r="B2" i="13"/>
  <c r="G19" i="8"/>
  <c r="G24" i="8"/>
  <c r="C29" i="8"/>
  <c r="G29" i="8" s="1"/>
  <c r="G16" i="8"/>
  <c r="G22" i="8"/>
  <c r="G20" i="8"/>
  <c r="G21" i="8"/>
  <c r="G18" i="8"/>
  <c r="G23" i="8"/>
  <c r="K8" i="8" l="1"/>
  <c r="K9" i="8"/>
  <c r="C38" i="13"/>
  <c r="C44" i="13"/>
  <c r="C43" i="13"/>
  <c r="C42" i="13"/>
  <c r="C39" i="13"/>
  <c r="C45" i="13"/>
  <c r="C41" i="13"/>
  <c r="C37" i="13"/>
  <c r="C29" i="13"/>
  <c r="C25" i="13"/>
  <c r="C26" i="13"/>
  <c r="C27" i="13"/>
  <c r="C28" i="13"/>
  <c r="C22" i="13"/>
  <c r="C23" i="13"/>
  <c r="C21" i="13"/>
  <c r="B15" i="5" l="1"/>
  <c r="G14" i="14" l="1"/>
  <c r="F14" i="14"/>
  <c r="AC27" i="14" l="1"/>
  <c r="AC16" i="14"/>
  <c r="AC17" i="14"/>
  <c r="AC18" i="14"/>
  <c r="AC19" i="14"/>
  <c r="AC20" i="14"/>
  <c r="AC21" i="14"/>
  <c r="AC22" i="14"/>
  <c r="AC23" i="14"/>
  <c r="AC24" i="14"/>
  <c r="AC25" i="14"/>
  <c r="AC26" i="14"/>
  <c r="AC15" i="14"/>
  <c r="V27" i="14"/>
  <c r="U27" i="14"/>
  <c r="S24" i="14"/>
  <c r="T23" i="14"/>
  <c r="S23" i="14"/>
  <c r="R23" i="14"/>
  <c r="R22" i="14"/>
  <c r="R21" i="14"/>
  <c r="Q22" i="14"/>
  <c r="Q21" i="14"/>
  <c r="Q20" i="14"/>
  <c r="P17" i="14"/>
  <c r="P18" i="14"/>
  <c r="O15" i="14"/>
  <c r="O16" i="14"/>
  <c r="R20" i="14"/>
  <c r="Q19" i="14"/>
  <c r="O17" i="14"/>
  <c r="P19" i="14"/>
  <c r="V26" i="14"/>
  <c r="D3" i="14"/>
  <c r="A37" i="13" l="1"/>
  <c r="B27" i="5" l="1"/>
  <c r="C32" i="14" l="1"/>
  <c r="AB10" i="14" l="1"/>
  <c r="AB11" i="14"/>
  <c r="AB12" i="14"/>
  <c r="AB13" i="14"/>
  <c r="AB14" i="14"/>
  <c r="AA29" i="14"/>
  <c r="AA28" i="14"/>
  <c r="AA27" i="14"/>
  <c r="AA26" i="14"/>
  <c r="AA25" i="14"/>
  <c r="AA24" i="14"/>
  <c r="AA23" i="14"/>
  <c r="AA22" i="14"/>
  <c r="AA21" i="14"/>
  <c r="AA20" i="14"/>
  <c r="AA19" i="14"/>
  <c r="AA18" i="14"/>
  <c r="AA17" i="14"/>
  <c r="AA16" i="14"/>
  <c r="M10" i="14"/>
  <c r="M11" i="14"/>
  <c r="M12" i="14"/>
  <c r="M13" i="14"/>
  <c r="M14" i="14"/>
  <c r="M9" i="14"/>
  <c r="D2" i="14"/>
  <c r="W9" i="14" l="1"/>
  <c r="C37" i="14" l="1"/>
  <c r="C38" i="14" s="1"/>
  <c r="B27" i="14" l="1"/>
  <c r="AD9" i="14"/>
  <c r="AD10" i="14" s="1"/>
  <c r="AD11" i="14" s="1"/>
  <c r="AD12" i="14" s="1"/>
  <c r="AD13" i="14" s="1"/>
  <c r="AD14" i="14" s="1"/>
  <c r="W10" i="14"/>
  <c r="W11" i="14" s="1"/>
  <c r="W12" i="14" s="1"/>
  <c r="W13" i="14" s="1"/>
  <c r="W14" i="14" s="1"/>
  <c r="E9" i="14"/>
  <c r="E10" i="14" s="1"/>
  <c r="C20" i="14"/>
  <c r="D20" i="14" s="1"/>
  <c r="T24" i="14" l="1"/>
  <c r="T25" i="14"/>
  <c r="T26" i="14"/>
  <c r="L28" i="14"/>
  <c r="L29" i="14"/>
  <c r="C14" i="14"/>
  <c r="C17" i="14"/>
  <c r="D17" i="14" s="1"/>
  <c r="C22" i="14"/>
  <c r="D22" i="14" s="1"/>
  <c r="C18" i="14"/>
  <c r="D18" i="14" s="1"/>
  <c r="C21" i="14"/>
  <c r="D21" i="14" s="1"/>
  <c r="L25" i="14"/>
  <c r="L23" i="14"/>
  <c r="L22" i="14"/>
  <c r="L17" i="14"/>
  <c r="L16" i="14"/>
  <c r="L21" i="14"/>
  <c r="L20" i="14"/>
  <c r="L19" i="14"/>
  <c r="L18" i="14"/>
  <c r="L26" i="14"/>
  <c r="L27" i="14"/>
  <c r="L24" i="14"/>
  <c r="F20" i="14"/>
  <c r="G20" i="14" s="1"/>
  <c r="C15" i="14"/>
  <c r="D15" i="14" s="1"/>
  <c r="F21" i="14"/>
  <c r="G21" i="14" s="1"/>
  <c r="F17" i="14"/>
  <c r="G17" i="14" s="1"/>
  <c r="C19" i="14"/>
  <c r="D19" i="14" s="1"/>
  <c r="C16" i="14"/>
  <c r="D16" i="14" s="1"/>
  <c r="B13" i="13"/>
  <c r="B12" i="13"/>
  <c r="B11" i="13"/>
  <c r="B40" i="13" l="1"/>
  <c r="D42" i="13"/>
  <c r="B42" i="13" s="1"/>
  <c r="D37" i="13"/>
  <c r="D38" i="13"/>
  <c r="B38" i="13" s="1"/>
  <c r="D39" i="13"/>
  <c r="B39" i="13" s="1"/>
  <c r="D44" i="13"/>
  <c r="B44" i="13" s="1"/>
  <c r="D45" i="13"/>
  <c r="B45" i="13" s="1"/>
  <c r="D43" i="13"/>
  <c r="B43" i="13" s="1"/>
  <c r="D41" i="13"/>
  <c r="B41" i="13" s="1"/>
  <c r="B24" i="13"/>
  <c r="D27" i="13"/>
  <c r="B27" i="13" s="1"/>
  <c r="D29" i="13"/>
  <c r="B29" i="13" s="1"/>
  <c r="D28" i="13"/>
  <c r="B28" i="13" s="1"/>
  <c r="D23" i="13"/>
  <c r="B23" i="13" s="1"/>
  <c r="D25" i="13"/>
  <c r="B25" i="13" s="1"/>
  <c r="B22" i="13"/>
  <c r="D26" i="13"/>
  <c r="B26" i="13" s="1"/>
  <c r="D21" i="13"/>
  <c r="O19" i="14"/>
  <c r="O18" i="14"/>
  <c r="U24" i="14"/>
  <c r="U25" i="14"/>
  <c r="U26" i="14"/>
  <c r="V25" i="14"/>
  <c r="V24" i="14"/>
  <c r="F18" i="14"/>
  <c r="G18" i="14" s="1"/>
  <c r="P20" i="14"/>
  <c r="D14" i="14"/>
  <c r="AD15" i="14"/>
  <c r="S21" i="14"/>
  <c r="S22" i="14"/>
  <c r="F22" i="14"/>
  <c r="G22" i="14" s="1"/>
  <c r="D23" i="14"/>
  <c r="F16" i="14"/>
  <c r="G16" i="14" s="1"/>
  <c r="F15" i="14"/>
  <c r="G15" i="14" s="1"/>
  <c r="F19" i="14"/>
  <c r="G19" i="14" s="1"/>
  <c r="N19" i="14" l="1"/>
  <c r="N16" i="14"/>
  <c r="N15" i="14"/>
  <c r="W15" i="14" s="1"/>
  <c r="W16" i="14" s="1"/>
  <c r="W17" i="14" s="1"/>
  <c r="W18" i="14" s="1"/>
  <c r="W19" i="14" s="1"/>
  <c r="W20" i="14" s="1"/>
  <c r="W21" i="14" s="1"/>
  <c r="W22" i="14" s="1"/>
  <c r="W23" i="14" s="1"/>
  <c r="W24" i="14" s="1"/>
  <c r="W25" i="14" s="1"/>
  <c r="W26" i="14" s="1"/>
  <c r="W27" i="14" s="1"/>
  <c r="W28" i="14" s="1"/>
  <c r="W29" i="14" s="1"/>
  <c r="W30" i="14" s="1"/>
  <c r="W31" i="14" s="1"/>
  <c r="W32" i="14" s="1"/>
  <c r="N17" i="14"/>
  <c r="N18" i="14"/>
  <c r="G23" i="14"/>
  <c r="AD16" i="14"/>
  <c r="AD17" i="14" s="1"/>
  <c r="AD18" i="14" s="1"/>
  <c r="AD19" i="14" s="1"/>
  <c r="AD20" i="14" s="1"/>
  <c r="AD21" i="14" s="1"/>
  <c r="AD22" i="14" s="1"/>
  <c r="AD23" i="14" s="1"/>
  <c r="AD24" i="14" s="1"/>
  <c r="AD25" i="14" s="1"/>
  <c r="F23" i="14" l="1"/>
  <c r="AD26" i="14"/>
  <c r="AD27" i="14" s="1"/>
  <c r="AD28" i="14" s="1"/>
  <c r="AD29" i="14" s="1"/>
  <c r="AD30" i="14" s="1"/>
  <c r="AD31" i="14" s="1"/>
  <c r="AD32" i="14" s="1"/>
  <c r="B21" i="13" l="1"/>
  <c r="B31" i="5"/>
  <c r="C8" i="10"/>
  <c r="B8" i="5" l="1"/>
  <c r="B7" i="5"/>
  <c r="B37" i="13"/>
  <c r="H24" i="8" l="1"/>
  <c r="J24" i="8" s="1"/>
  <c r="H27" i="8"/>
  <c r="J27" i="8" s="1"/>
  <c r="H29" i="8"/>
  <c r="J29" i="8" s="1"/>
  <c r="H22" i="8"/>
  <c r="J22" i="8" s="1"/>
  <c r="H26" i="8"/>
  <c r="J26" i="8" s="1"/>
  <c r="H18" i="8"/>
  <c r="J18" i="8" s="1"/>
  <c r="H30" i="8"/>
  <c r="H28" i="8"/>
  <c r="H19" i="8"/>
  <c r="J19" i="8" s="1"/>
  <c r="H32" i="8"/>
  <c r="J32" i="8" s="1"/>
  <c r="H33" i="8"/>
  <c r="J33" i="8" s="1"/>
  <c r="H17" i="8"/>
  <c r="J17" i="8" s="1"/>
  <c r="H23" i="8"/>
  <c r="J23" i="8" s="1"/>
  <c r="H34" i="8"/>
  <c r="J34" i="8" s="1"/>
  <c r="H20" i="8"/>
  <c r="J20" i="8" s="1"/>
  <c r="H31" i="8"/>
  <c r="H21" i="8"/>
  <c r="J21" i="8" s="1"/>
  <c r="I30" i="8"/>
  <c r="K30" i="8" s="1"/>
  <c r="Q20" i="8" s="1"/>
  <c r="D14" i="12" s="1"/>
  <c r="I33" i="8"/>
  <c r="K33" i="8" s="1"/>
  <c r="Q23" i="8" s="1"/>
  <c r="D17" i="12" s="1"/>
  <c r="I23" i="8"/>
  <c r="K23" i="8" s="1"/>
  <c r="P23" i="8" s="1"/>
  <c r="C17" i="12" s="1"/>
  <c r="I19" i="8"/>
  <c r="K19" i="8" s="1"/>
  <c r="P19" i="8" s="1"/>
  <c r="C13" i="12" s="1"/>
  <c r="I27" i="8"/>
  <c r="K27" i="8" s="1"/>
  <c r="Q17" i="8" s="1"/>
  <c r="D11" i="12" s="1"/>
  <c r="I29" i="8"/>
  <c r="K29" i="8" s="1"/>
  <c r="Q19" i="8" s="1"/>
  <c r="D13" i="12" s="1"/>
  <c r="I24" i="8"/>
  <c r="K24" i="8" s="1"/>
  <c r="P24" i="8" s="1"/>
  <c r="C18" i="12" s="1"/>
  <c r="I17" i="8"/>
  <c r="K17" i="8" s="1"/>
  <c r="P17" i="8" s="1"/>
  <c r="C11" i="12" s="1"/>
  <c r="I28" i="8"/>
  <c r="K28" i="8" s="1"/>
  <c r="Q18" i="8" s="1"/>
  <c r="D12" i="12" s="1"/>
  <c r="I26" i="8"/>
  <c r="K26" i="8" s="1"/>
  <c r="Q16" i="8" s="1"/>
  <c r="D10" i="12" s="1"/>
  <c r="I20" i="8"/>
  <c r="K20" i="8" s="1"/>
  <c r="P20" i="8" s="1"/>
  <c r="C14" i="12" s="1"/>
  <c r="I31" i="8"/>
  <c r="K31" i="8" s="1"/>
  <c r="Q21" i="8" s="1"/>
  <c r="D15" i="12" s="1"/>
  <c r="I22" i="8"/>
  <c r="K22" i="8" s="1"/>
  <c r="P22" i="8" s="1"/>
  <c r="C16" i="12" s="1"/>
  <c r="I32" i="8"/>
  <c r="K32" i="8" s="1"/>
  <c r="Q22" i="8" s="1"/>
  <c r="D16" i="12" s="1"/>
  <c r="I21" i="8"/>
  <c r="K21" i="8" s="1"/>
  <c r="P21" i="8" s="1"/>
  <c r="C15" i="12" s="1"/>
  <c r="I34" i="8"/>
  <c r="K34" i="8" s="1"/>
  <c r="Q24" i="8" s="1"/>
  <c r="D18" i="12" s="1"/>
  <c r="I16" i="8"/>
  <c r="I18" i="8"/>
  <c r="K18" i="8" s="1"/>
  <c r="P18" i="8" s="1"/>
  <c r="C12" i="12" s="1"/>
  <c r="H16" i="8"/>
  <c r="J16" i="8" s="1"/>
  <c r="C7" i="10"/>
  <c r="C6" i="10" s="1"/>
  <c r="J31" i="8" l="1"/>
  <c r="L31" i="8" s="1"/>
  <c r="U21" i="8" s="1"/>
  <c r="H15" i="12" s="1"/>
  <c r="J28" i="8"/>
  <c r="L28" i="8" s="1"/>
  <c r="U18" i="8" s="1"/>
  <c r="H12" i="12" s="1"/>
  <c r="J30" i="8"/>
  <c r="S20" i="8" s="1"/>
  <c r="F14" i="12" s="1"/>
  <c r="L34" i="8"/>
  <c r="U24" i="8" s="1"/>
  <c r="H18" i="12" s="1"/>
  <c r="L18" i="8"/>
  <c r="T18" i="8" s="1"/>
  <c r="L20" i="8"/>
  <c r="T20" i="8" s="1"/>
  <c r="L23" i="8"/>
  <c r="T23" i="8" s="1"/>
  <c r="L26" i="8"/>
  <c r="U16" i="8" s="1"/>
  <c r="H10" i="12" s="1"/>
  <c r="L17" i="8"/>
  <c r="T17" i="8" s="1"/>
  <c r="L22" i="8"/>
  <c r="T22" i="8" s="1"/>
  <c r="L33" i="8"/>
  <c r="U23" i="8" s="1"/>
  <c r="H17" i="12" s="1"/>
  <c r="L29" i="8"/>
  <c r="U19" i="8" s="1"/>
  <c r="H13" i="12" s="1"/>
  <c r="L32" i="8"/>
  <c r="U22" i="8" s="1"/>
  <c r="H16" i="12" s="1"/>
  <c r="L27" i="8"/>
  <c r="U17" i="8" s="1"/>
  <c r="H11" i="12" s="1"/>
  <c r="L21" i="8"/>
  <c r="T21" i="8" s="1"/>
  <c r="L19" i="8"/>
  <c r="T19" i="8" s="1"/>
  <c r="L24" i="8"/>
  <c r="T24" i="8" s="1"/>
  <c r="R16" i="8"/>
  <c r="R20" i="8"/>
  <c r="S24" i="8"/>
  <c r="F18" i="12" s="1"/>
  <c r="R18" i="8"/>
  <c r="R23" i="8"/>
  <c r="R17" i="8"/>
  <c r="R22" i="8"/>
  <c r="S16" i="8"/>
  <c r="F10" i="12" s="1"/>
  <c r="S23" i="8"/>
  <c r="F17" i="12" s="1"/>
  <c r="S19" i="8"/>
  <c r="F13" i="12" s="1"/>
  <c r="S22" i="8"/>
  <c r="F16" i="12" s="1"/>
  <c r="S17" i="8"/>
  <c r="F11" i="12" s="1"/>
  <c r="R21" i="8"/>
  <c r="R19" i="8"/>
  <c r="R24" i="8"/>
  <c r="C9" i="10"/>
  <c r="E11" i="10" s="1"/>
  <c r="E13" i="10" s="1"/>
  <c r="K16" i="8"/>
  <c r="L16" i="8" s="1"/>
  <c r="E17" i="12" l="1"/>
  <c r="E15" i="12"/>
  <c r="E11" i="12"/>
  <c r="E12" i="12"/>
  <c r="E14" i="12"/>
  <c r="E13" i="12"/>
  <c r="E16" i="12"/>
  <c r="E18" i="12"/>
  <c r="E10" i="12"/>
  <c r="S21" i="8"/>
  <c r="F15" i="12" s="1"/>
  <c r="S18" i="8"/>
  <c r="F12" i="12" s="1"/>
  <c r="L30" i="8"/>
  <c r="U20" i="8" s="1"/>
  <c r="H14" i="12" s="1"/>
  <c r="G13" i="12"/>
  <c r="I13" i="12" s="1"/>
  <c r="M13" i="12" s="1"/>
  <c r="V19" i="8"/>
  <c r="G11" i="12"/>
  <c r="I11" i="12" s="1"/>
  <c r="M11" i="12" s="1"/>
  <c r="V17" i="8"/>
  <c r="V18" i="8"/>
  <c r="G12" i="12"/>
  <c r="I12" i="12" s="1"/>
  <c r="M12" i="12" s="1"/>
  <c r="G17" i="12"/>
  <c r="I17" i="12" s="1"/>
  <c r="M17" i="12" s="1"/>
  <c r="V23" i="8"/>
  <c r="G15" i="12"/>
  <c r="I15" i="12" s="1"/>
  <c r="M15" i="12" s="1"/>
  <c r="V21" i="8"/>
  <c r="G14" i="12"/>
  <c r="G18" i="12"/>
  <c r="I18" i="12" s="1"/>
  <c r="M18" i="12" s="1"/>
  <c r="V24" i="8"/>
  <c r="G16" i="12"/>
  <c r="I16" i="12" s="1"/>
  <c r="M16" i="12" s="1"/>
  <c r="V22" i="8"/>
  <c r="P16" i="8"/>
  <c r="C10" i="12" s="1"/>
  <c r="T16" i="8"/>
  <c r="F11" i="10"/>
  <c r="F13" i="10" s="1"/>
  <c r="J11" i="10"/>
  <c r="J13" i="10" s="1"/>
  <c r="G11" i="10"/>
  <c r="G13" i="10" s="1"/>
  <c r="D11" i="10"/>
  <c r="D13" i="10" s="1"/>
  <c r="L11" i="10"/>
  <c r="L13" i="10" s="1"/>
  <c r="I11" i="10"/>
  <c r="I13" i="10" s="1"/>
  <c r="H11" i="10"/>
  <c r="H13" i="10" s="1"/>
  <c r="K11" i="10"/>
  <c r="K13" i="10" s="1"/>
  <c r="C11" i="10"/>
  <c r="C13" i="10" s="1"/>
  <c r="V20" i="8" l="1"/>
  <c r="I14" i="12"/>
  <c r="M14" i="12" s="1"/>
  <c r="V16" i="8"/>
  <c r="G10" i="12"/>
  <c r="I10" i="12" s="1"/>
  <c r="M10" i="12" l="1"/>
  <c r="M15" i="14"/>
  <c r="M16" i="14" s="1"/>
  <c r="M17" i="14" s="1"/>
  <c r="M18" i="14" s="1"/>
  <c r="M19" i="14" s="1"/>
  <c r="M20" i="14" s="1"/>
  <c r="M21" i="14" s="1"/>
  <c r="M22" i="14" s="1"/>
  <c r="M23" i="14" s="1"/>
  <c r="M24" i="14" s="1"/>
  <c r="M25" i="14" s="1"/>
  <c r="M26" i="14" l="1"/>
  <c r="M27" i="14" s="1"/>
  <c r="M28" i="14" s="1"/>
  <c r="M29" i="14" s="1"/>
  <c r="M31" i="14" s="1"/>
  <c r="M32" i="14" s="1"/>
  <c r="AB15" i="14"/>
  <c r="AB16" i="14" s="1"/>
  <c r="AB17" i="14" s="1"/>
  <c r="AB18" i="14" s="1"/>
  <c r="AB19" i="14" s="1"/>
  <c r="AB20" i="14" s="1"/>
  <c r="AB21" i="14" s="1"/>
  <c r="AB22" i="14" s="1"/>
  <c r="AB23" i="14" s="1"/>
  <c r="AB24" i="14" s="1"/>
  <c r="AB25" i="14" s="1"/>
  <c r="AB26" i="14" s="1"/>
  <c r="AB27" i="14" s="1"/>
  <c r="AB28" i="14" s="1"/>
  <c r="AB29" i="14" s="1"/>
  <c r="AB31" i="14" s="1"/>
  <c r="AB32" i="14" s="1"/>
  <c r="AB9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Martina</author>
  </authors>
  <commentList>
    <comment ref="D26" authorId="0" shapeId="0" xr:uid="{C65741EF-9A05-471D-B5F4-89944E7447BA}">
      <text>
        <r>
          <rPr>
            <b/>
            <sz val="9"/>
            <color rgb="FF000000"/>
            <rFont val="Tahoma"/>
            <family val="2"/>
          </rPr>
          <t>Martina: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17/11/2023 end of the crediting period
</t>
        </r>
      </text>
    </comment>
    <comment ref="D27" authorId="0" shapeId="0" xr:uid="{2FA157AA-9BD5-4BE2-81FA-196985046B4A}">
      <text>
        <r>
          <rPr>
            <b/>
            <sz val="9"/>
            <color indexed="81"/>
            <rFont val="Tahoma"/>
            <family val="2"/>
          </rPr>
          <t>Martina:</t>
        </r>
        <r>
          <rPr>
            <sz val="9"/>
            <color indexed="81"/>
            <rFont val="Tahoma"/>
            <family val="2"/>
          </rPr>
          <t xml:space="preserve">
25/11/2023 end of the crediting period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CarbonSink</author>
  </authors>
  <commentList>
    <comment ref="C8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CarbonSink:</t>
        </r>
        <r>
          <rPr>
            <sz val="9"/>
            <color indexed="81"/>
            <rFont val="Tahoma"/>
            <family val="2"/>
          </rPr>
          <t xml:space="preserve">
Here the TJ/t value is converted to the kWh/t</t>
        </r>
      </text>
    </comment>
    <comment ref="C12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CarbonSink:</t>
        </r>
        <r>
          <rPr>
            <sz val="9"/>
            <color indexed="81"/>
            <rFont val="Tahoma"/>
            <family val="2"/>
          </rPr>
          <t xml:space="preserve">
Concervative estimation. 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Carbonsink</author>
  </authors>
  <commentList>
    <comment ref="D2" authorId="0" shapeId="0" xr:uid="{BF2FD312-4D45-4D45-986D-D065A60B8336}">
      <text>
        <r>
          <rPr>
            <b/>
            <sz val="9"/>
            <color indexed="81"/>
            <rFont val="Tahoma"/>
            <family val="2"/>
          </rPr>
          <t>Carbonsink:</t>
        </r>
        <r>
          <rPr>
            <sz val="9"/>
            <color indexed="81"/>
            <rFont val="Tahoma"/>
            <family val="2"/>
          </rPr>
          <t xml:space="preserve">
The battery will allow the pump to always work at maximum capacity</t>
        </r>
      </text>
    </comment>
    <comment ref="M29" authorId="0" shapeId="0" xr:uid="{4F38BBD1-E4E3-409C-8790-FE26A5D659DB}">
      <text>
        <r>
          <rPr>
            <b/>
            <sz val="9"/>
            <color indexed="81"/>
            <rFont val="Tahoma"/>
            <family val="2"/>
          </rPr>
          <t>Carbonsink:</t>
        </r>
        <r>
          <rPr>
            <sz val="9"/>
            <color indexed="81"/>
            <rFont val="Tahoma"/>
            <family val="2"/>
          </rPr>
          <t xml:space="preserve">
Capped at 3 m3 which is the installed storage tank.</t>
        </r>
      </text>
    </comment>
  </commentList>
</comments>
</file>

<file path=xl/sharedStrings.xml><?xml version="1.0" encoding="utf-8"?>
<sst xmlns="http://schemas.openxmlformats.org/spreadsheetml/2006/main" count="534" uniqueCount="276">
  <si>
    <t>GS7566</t>
  </si>
  <si>
    <t>Parameter</t>
  </si>
  <si>
    <t>Value</t>
  </si>
  <si>
    <t>Unit</t>
  </si>
  <si>
    <t>Description</t>
  </si>
  <si>
    <t>Value fixed ex-ante / Monitored</t>
  </si>
  <si>
    <t>Source of data</t>
  </si>
  <si>
    <r>
      <t>X</t>
    </r>
    <r>
      <rPr>
        <vertAlign val="subscript"/>
        <sz val="11"/>
        <rFont val="Calibri"/>
        <family val="2"/>
        <scheme val="minor"/>
      </rPr>
      <t>boil</t>
    </r>
  </si>
  <si>
    <t>Percentage</t>
  </si>
  <si>
    <t>Percentage of premises that in the absence of the project activity would have used non-GHG emitting technologies like chlorine treatment techniques (if available) in the project boundary.</t>
  </si>
  <si>
    <t>Fixed ex-ante</t>
  </si>
  <si>
    <t>Baseline Survey, 2018</t>
  </si>
  <si>
    <r>
      <t>C</t>
    </r>
    <r>
      <rPr>
        <vertAlign val="subscript"/>
        <sz val="11"/>
        <color theme="1"/>
        <rFont val="Calibri"/>
        <family val="2"/>
        <scheme val="minor"/>
      </rPr>
      <t>j</t>
    </r>
  </si>
  <si>
    <t>Percentage of users of project safe water supply who were already in baseline using a non boiling safe water supply</t>
  </si>
  <si>
    <r>
      <t>N</t>
    </r>
    <r>
      <rPr>
        <vertAlign val="subscript"/>
        <sz val="11"/>
        <color theme="1"/>
        <rFont val="Calibri"/>
        <family val="2"/>
        <scheme val="minor"/>
      </rPr>
      <t>p,y</t>
    </r>
  </si>
  <si>
    <t>N/A</t>
  </si>
  <si>
    <t>Number of person.days consuming water supplied by project scenario p through year y</t>
  </si>
  <si>
    <t>Monitored</t>
  </si>
  <si>
    <t>End-users list</t>
  </si>
  <si>
    <r>
      <t>W</t>
    </r>
    <r>
      <rPr>
        <vertAlign val="subscript"/>
        <sz val="9"/>
        <color theme="1"/>
        <rFont val="Calibri"/>
        <family val="2"/>
        <scheme val="minor"/>
      </rPr>
      <t>b,y</t>
    </r>
  </si>
  <si>
    <t xml:space="preserve">Tons/Litre </t>
  </si>
  <si>
    <t>Quantity of wood fuel or fossil fuel required to boil 1 litre of water using technologies representatives of baseline scenario b during year y</t>
  </si>
  <si>
    <t>Used for ex-ante calculations, but will be monitored</t>
  </si>
  <si>
    <t>Calculated (See cells B31-B36 below)</t>
  </si>
  <si>
    <r>
      <t>W</t>
    </r>
    <r>
      <rPr>
        <vertAlign val="subscript"/>
        <sz val="9"/>
        <color theme="1"/>
        <rFont val="Calibri"/>
        <family val="2"/>
        <scheme val="minor"/>
      </rPr>
      <t>p,y</t>
    </r>
  </si>
  <si>
    <t>Quantity of wood fuel or fossil fuel required to boil 1 litre of water using technologies representatives of project scenario b during year y</t>
  </si>
  <si>
    <r>
      <rPr>
        <sz val="11"/>
        <color theme="1"/>
        <rFont val="Calibri"/>
        <family val="2"/>
        <scheme val="minor"/>
      </rPr>
      <t>Q</t>
    </r>
    <r>
      <rPr>
        <vertAlign val="subscript"/>
        <sz val="11"/>
        <color theme="1"/>
        <rFont val="Calibri"/>
        <family val="2"/>
        <scheme val="minor"/>
      </rPr>
      <t>p,y</t>
    </r>
  </si>
  <si>
    <t>Litre/Person/Day</t>
  </si>
  <si>
    <t>Quantity of safe water in litres consumed in the project scenario p and supplied by project technology per person per day in year y</t>
  </si>
  <si>
    <r>
      <t>Q</t>
    </r>
    <r>
      <rPr>
        <vertAlign val="subscript"/>
        <sz val="11"/>
        <color theme="1"/>
        <rFont val="Calibri"/>
        <family val="2"/>
        <scheme val="minor"/>
      </rPr>
      <t>p,rawboil,y</t>
    </r>
  </si>
  <si>
    <t>Quantity of raw water boiled in the project scenario p per person per day</t>
  </si>
  <si>
    <r>
      <rPr>
        <sz val="11"/>
        <color theme="1"/>
        <rFont val="Calibri"/>
        <family val="2"/>
        <scheme val="minor"/>
      </rPr>
      <t>Q</t>
    </r>
    <r>
      <rPr>
        <vertAlign val="subscript"/>
        <sz val="11"/>
        <color theme="1"/>
        <rFont val="Calibri"/>
        <family val="2"/>
        <scheme val="minor"/>
      </rPr>
      <t>p,cleanboil,y</t>
    </r>
  </si>
  <si>
    <t>Quantity of safe water boiled in the project scenario p per person per day in year y</t>
  </si>
  <si>
    <r>
      <t>f</t>
    </r>
    <r>
      <rPr>
        <vertAlign val="subscript"/>
        <sz val="11"/>
        <color theme="1"/>
        <rFont val="Calibri"/>
        <family val="2"/>
        <scheme val="minor"/>
      </rPr>
      <t>NRB,i,y</t>
    </r>
  </si>
  <si>
    <t>Fraction</t>
  </si>
  <si>
    <t>Non-renewability status of woody biomass fuel in scenario i during the year y</t>
  </si>
  <si>
    <t>Fixed ex-ante (but may be updated)</t>
  </si>
  <si>
    <r>
      <t>Default f</t>
    </r>
    <r>
      <rPr>
        <vertAlign val="subscript"/>
        <sz val="11"/>
        <color theme="1"/>
        <rFont val="Calibri"/>
        <family val="2"/>
        <scheme val="minor"/>
      </rPr>
      <t>NRB</t>
    </r>
    <r>
      <rPr>
        <sz val="11"/>
        <color theme="1"/>
        <rFont val="Calibri"/>
        <family val="2"/>
        <scheme val="minor"/>
      </rPr>
      <t xml:space="preserve"> value provided by CDM Executive Board and endorsed by the host country DNA </t>
    </r>
  </si>
  <si>
    <t>http://cdm.unfccc.int/DNA/fNRB/index.html</t>
  </si>
  <si>
    <r>
      <t>EF</t>
    </r>
    <r>
      <rPr>
        <vertAlign val="subscript"/>
        <sz val="11"/>
        <color theme="1"/>
        <rFont val="Calibri"/>
        <family val="2"/>
        <scheme val="minor"/>
      </rPr>
      <t>b,CO2</t>
    </r>
  </si>
  <si>
    <r>
      <t>tCO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/TJ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</si>
  <si>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arising from use of fuels in baseline scenario</t>
    </r>
  </si>
  <si>
    <t>IPCC default value</t>
  </si>
  <si>
    <t xml:space="preserve">http://www.ipcc-nggip.iges.or.jp/public/2006gl/pdf/2_Volume2/V2_2_Ch2_Stationary_Combustion.pdf </t>
  </si>
  <si>
    <r>
      <t>EF</t>
    </r>
    <r>
      <rPr>
        <vertAlign val="subscript"/>
        <sz val="11"/>
        <color theme="1"/>
        <rFont val="Calibri"/>
        <family val="2"/>
        <scheme val="minor"/>
      </rPr>
      <t>b,nonCO2</t>
    </r>
  </si>
  <si>
    <r>
      <t>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arising from use of fuels in project scenario</t>
    </r>
  </si>
  <si>
    <r>
      <t>EF</t>
    </r>
    <r>
      <rPr>
        <vertAlign val="subscript"/>
        <sz val="11"/>
        <color theme="1"/>
        <rFont val="Calibri"/>
        <family val="2"/>
        <scheme val="minor"/>
      </rPr>
      <t>p</t>
    </r>
    <r>
      <rPr>
        <vertAlign val="subscript"/>
        <sz val="11"/>
        <color theme="1"/>
        <rFont val="Calibri"/>
        <family val="2"/>
        <scheme val="minor"/>
      </rPr>
      <t>,CO2</t>
    </r>
  </si>
  <si>
    <r>
      <t>EF</t>
    </r>
    <r>
      <rPr>
        <vertAlign val="subscript"/>
        <sz val="11"/>
        <color theme="1"/>
        <rFont val="Calibri"/>
        <family val="2"/>
        <scheme val="minor"/>
      </rPr>
      <t>p,nonCO2</t>
    </r>
  </si>
  <si>
    <r>
      <t>Non-CO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emission factor arising from use of fuels in project scenario</t>
    </r>
  </si>
  <si>
    <r>
      <t>NCV</t>
    </r>
    <r>
      <rPr>
        <vertAlign val="subscript"/>
        <sz val="11"/>
        <color theme="1"/>
        <rFont val="Calibri"/>
        <family val="2"/>
        <scheme val="minor"/>
      </rPr>
      <t>b,fuel</t>
    </r>
  </si>
  <si>
    <t>TJ/ton</t>
  </si>
  <si>
    <t>Net calorific value of the fuels used in the baseline</t>
  </si>
  <si>
    <t>http://www.ipcc-nggip.iges.or.jp/public/2006gl/pdf/2_Volume2/V2_1_Ch1_Introduction.pdf</t>
  </si>
  <si>
    <r>
      <t>NCV</t>
    </r>
    <r>
      <rPr>
        <vertAlign val="subscript"/>
        <sz val="11"/>
        <color theme="1"/>
        <rFont val="Calibri"/>
        <family val="2"/>
        <scheme val="minor"/>
      </rPr>
      <t>p,fuel</t>
    </r>
  </si>
  <si>
    <t>Net calorific value of the fuels used in the project</t>
  </si>
  <si>
    <r>
      <t>U</t>
    </r>
    <r>
      <rPr>
        <vertAlign val="subscript"/>
        <sz val="11"/>
        <color theme="1"/>
        <rFont val="Calibri"/>
        <family val="2"/>
        <scheme val="minor"/>
      </rPr>
      <t>p,y</t>
    </r>
  </si>
  <si>
    <t>Cumulative usage rate for technologies in project scenario p during year y, based on cumulative installation rate and drop off rate</t>
  </si>
  <si>
    <r>
      <t>LE</t>
    </r>
    <r>
      <rPr>
        <vertAlign val="subscript"/>
        <sz val="11"/>
        <color theme="1"/>
        <rFont val="Calibri"/>
        <family val="2"/>
        <scheme val="minor"/>
      </rPr>
      <t>p,y</t>
    </r>
  </si>
  <si>
    <t>tCO2e/yr</t>
  </si>
  <si>
    <t xml:space="preserve">Leakage from project scenario p in year y </t>
  </si>
  <si>
    <r>
      <t>P</t>
    </r>
    <r>
      <rPr>
        <sz val="7"/>
        <rFont val="Calibri"/>
        <family val="2"/>
        <scheme val="minor"/>
      </rPr>
      <t xml:space="preserve">y </t>
    </r>
  </si>
  <si>
    <t>Number of persons having access to safe water in the project activity</t>
  </si>
  <si>
    <t>Parameters and values used for determining Wb,y and Wp,y</t>
  </si>
  <si>
    <t xml:space="preserve">Families using wood </t>
  </si>
  <si>
    <t>Percentage of premises that are using wood as their cooking fuel</t>
  </si>
  <si>
    <t xml:space="preserve">Families using charcoal </t>
  </si>
  <si>
    <t>Percentage of premises that are using charcoal as their cooking fuel</t>
  </si>
  <si>
    <t>Wood to charcoal ratio</t>
  </si>
  <si>
    <t>Ratio</t>
  </si>
  <si>
    <t>Default value to estimate the quantity wood needed for producing charcoal i.e. "wood-to-charcoal ratio"</t>
  </si>
  <si>
    <t>IPCC Default value</t>
  </si>
  <si>
    <t>http://www.ipcc-nggip.iges.or.jp/public/gl/guidelin/ch1ref3.pdf</t>
  </si>
  <si>
    <r>
      <t>W</t>
    </r>
    <r>
      <rPr>
        <vertAlign val="subscript"/>
        <sz val="11"/>
        <rFont val="Calibri"/>
        <family val="2"/>
        <scheme val="minor"/>
      </rPr>
      <t>wood</t>
    </r>
  </si>
  <si>
    <t xml:space="preserve">kg/Litre </t>
  </si>
  <si>
    <t>Quantity of wood required to boil 1 litre of water using firewood technologies representatives of baseline scenario b during year y</t>
  </si>
  <si>
    <t>Default value from BAMG Report</t>
  </si>
  <si>
    <r>
      <t>W</t>
    </r>
    <r>
      <rPr>
        <sz val="8"/>
        <rFont val="Calibri (Body)"/>
      </rPr>
      <t>charcoal</t>
    </r>
  </si>
  <si>
    <t>Quantity of charcoal required to boil 1 litre of water using charcoal technologies representatives of baseline scenario b during year y</t>
  </si>
  <si>
    <r>
      <t>W</t>
    </r>
    <r>
      <rPr>
        <vertAlign val="subscript"/>
        <sz val="11"/>
        <rFont val="Calibri"/>
        <family val="2"/>
        <scheme val="minor"/>
      </rPr>
      <t xml:space="preserve">wood equivalent (charcoal users) </t>
    </r>
  </si>
  <si>
    <t>Quantity of wood fuel equivalent required to boil 1 litre of water using charcoal technologies representatives of baseline scenario b during year y</t>
  </si>
  <si>
    <t xml:space="preserve">Calculated </t>
  </si>
  <si>
    <t>Baseline Scenario Fuel Consumption (Litre/person/day)</t>
  </si>
  <si>
    <t>Bb,y</t>
  </si>
  <si>
    <r>
      <t xml:space="preserve"> (1 – X</t>
    </r>
    <r>
      <rPr>
        <sz val="8"/>
        <color rgb="FF000000"/>
        <rFont val="Calibri"/>
        <family val="2"/>
        <scheme val="minor"/>
      </rPr>
      <t>boil</t>
    </r>
    <r>
      <rPr>
        <sz val="11.5"/>
        <color rgb="FF000000"/>
        <rFont val="Calibri"/>
        <family val="2"/>
        <scheme val="minor"/>
      </rPr>
      <t>) * (1 - C</t>
    </r>
    <r>
      <rPr>
        <sz val="8"/>
        <color rgb="FF000000"/>
        <rFont val="Calibri"/>
        <family val="2"/>
        <scheme val="minor"/>
      </rPr>
      <t>j</t>
    </r>
    <r>
      <rPr>
        <sz val="11.5"/>
        <color rgb="FF000000"/>
        <rFont val="Calibri"/>
        <family val="2"/>
        <scheme val="minor"/>
      </rPr>
      <t>) * N</t>
    </r>
    <r>
      <rPr>
        <sz val="8"/>
        <color rgb="FF000000"/>
        <rFont val="Calibri"/>
        <family val="2"/>
        <scheme val="minor"/>
      </rPr>
      <t xml:space="preserve">p,y </t>
    </r>
    <r>
      <rPr>
        <sz val="11.5"/>
        <color rgb="FF000000"/>
        <rFont val="Calibri"/>
        <family val="2"/>
        <scheme val="minor"/>
      </rPr>
      <t>* W</t>
    </r>
    <r>
      <rPr>
        <sz val="8"/>
        <color rgb="FF000000"/>
        <rFont val="Calibri"/>
        <family val="2"/>
        <scheme val="minor"/>
      </rPr>
      <t xml:space="preserve">b,y </t>
    </r>
    <r>
      <rPr>
        <sz val="11.5"/>
        <color rgb="FF000000"/>
        <rFont val="Calibri"/>
        <family val="2"/>
        <scheme val="minor"/>
      </rPr>
      <t>* (Q</t>
    </r>
    <r>
      <rPr>
        <sz val="8"/>
        <color rgb="FF000000"/>
        <rFont val="Calibri"/>
        <family val="2"/>
        <scheme val="minor"/>
      </rPr>
      <t xml:space="preserve">p,y </t>
    </r>
    <r>
      <rPr>
        <sz val="11.5"/>
        <color rgb="FF000000"/>
        <rFont val="Calibri"/>
        <family val="2"/>
        <scheme val="minor"/>
      </rPr>
      <t>+ Q</t>
    </r>
    <r>
      <rPr>
        <sz val="8"/>
        <color rgb="FF000000"/>
        <rFont val="Calibri"/>
        <family val="2"/>
        <scheme val="minor"/>
      </rPr>
      <t>p,rawboil,y</t>
    </r>
    <r>
      <rPr>
        <sz val="11.5"/>
        <color rgb="FF000000"/>
        <rFont val="Calibri"/>
        <family val="2"/>
        <scheme val="minor"/>
      </rPr>
      <t xml:space="preserve">) </t>
    </r>
  </si>
  <si>
    <t>Project Scenario Fuel Consumption Calculation (Litre/person/day)</t>
  </si>
  <si>
    <t>Bp,y</t>
  </si>
  <si>
    <r>
      <t>(1 - C</t>
    </r>
    <r>
      <rPr>
        <sz val="8"/>
        <color theme="1"/>
        <rFont val="Cambria"/>
        <family val="1"/>
      </rPr>
      <t>j</t>
    </r>
    <r>
      <rPr>
        <sz val="11.5"/>
        <color theme="1"/>
        <rFont val="Cambria"/>
        <family val="1"/>
      </rPr>
      <t>) * N</t>
    </r>
    <r>
      <rPr>
        <sz val="8"/>
        <color theme="1"/>
        <rFont val="Cambria"/>
        <family val="1"/>
      </rPr>
      <t xml:space="preserve">p,y </t>
    </r>
    <r>
      <rPr>
        <sz val="11.5"/>
        <color theme="1"/>
        <rFont val="Cambria"/>
        <family val="1"/>
      </rPr>
      <t>* W</t>
    </r>
    <r>
      <rPr>
        <sz val="8"/>
        <color theme="1"/>
        <rFont val="Cambria"/>
        <family val="1"/>
      </rPr>
      <t xml:space="preserve">p,y </t>
    </r>
    <r>
      <rPr>
        <sz val="11.5"/>
        <color theme="1"/>
        <rFont val="Cambria"/>
        <family val="1"/>
      </rPr>
      <t>* (Q</t>
    </r>
    <r>
      <rPr>
        <sz val="8"/>
        <color theme="1"/>
        <rFont val="Cambria"/>
        <family val="1"/>
      </rPr>
      <t xml:space="preserve">p,rawboil,y </t>
    </r>
    <r>
      <rPr>
        <sz val="11.5"/>
        <color theme="1"/>
        <rFont val="Cambria"/>
        <family val="1"/>
      </rPr>
      <t>+ Q</t>
    </r>
    <r>
      <rPr>
        <sz val="8"/>
        <color theme="1"/>
        <rFont val="Cambria"/>
        <family val="1"/>
      </rPr>
      <t>p,cleanboil,y</t>
    </r>
    <r>
      <rPr>
        <sz val="11.5"/>
        <color theme="1"/>
        <rFont val="Cambria"/>
        <family val="1"/>
      </rPr>
      <t>)</t>
    </r>
  </si>
  <si>
    <r>
      <t>Emission Reductions (tCO</t>
    </r>
    <r>
      <rPr>
        <b/>
        <vertAlign val="subscript"/>
        <sz val="11.5"/>
        <color rgb="FF000000"/>
        <rFont val="Calibri"/>
        <family val="2"/>
        <scheme val="minor"/>
      </rPr>
      <t>2</t>
    </r>
    <r>
      <rPr>
        <b/>
        <sz val="11.5"/>
        <color rgb="FF000000"/>
        <rFont val="Calibri"/>
        <family val="2"/>
        <scheme val="minor"/>
      </rPr>
      <t>e/year)</t>
    </r>
  </si>
  <si>
    <t>BEb,y</t>
  </si>
  <si>
    <r>
      <t>B</t>
    </r>
    <r>
      <rPr>
        <sz val="8"/>
        <color rgb="FF000000"/>
        <rFont val="Calibri"/>
        <family val="2"/>
        <scheme val="minor"/>
      </rPr>
      <t xml:space="preserve">b,y </t>
    </r>
    <r>
      <rPr>
        <sz val="11.5"/>
        <color rgb="FF000000"/>
        <rFont val="Calibri"/>
        <family val="2"/>
        <scheme val="minor"/>
      </rPr>
      <t>*(( f</t>
    </r>
    <r>
      <rPr>
        <sz val="8"/>
        <color rgb="FF000000"/>
        <rFont val="Calibri"/>
        <family val="2"/>
        <scheme val="minor"/>
      </rPr>
      <t xml:space="preserve">NRB </t>
    </r>
    <r>
      <rPr>
        <sz val="11.5"/>
        <color rgb="FF000000"/>
        <rFont val="Calibri"/>
        <family val="2"/>
        <scheme val="minor"/>
      </rPr>
      <t>* EF</t>
    </r>
    <r>
      <rPr>
        <sz val="8"/>
        <color rgb="FF000000"/>
        <rFont val="Calibri"/>
        <family val="2"/>
        <scheme val="minor"/>
      </rPr>
      <t>fuel,CO2</t>
    </r>
    <r>
      <rPr>
        <sz val="11.5"/>
        <color rgb="FF000000"/>
        <rFont val="Calibri"/>
        <family val="2"/>
        <scheme val="minor"/>
      </rPr>
      <t>) + EF</t>
    </r>
    <r>
      <rPr>
        <sz val="8"/>
        <color rgb="FF000000"/>
        <rFont val="Calibri"/>
        <family val="2"/>
        <scheme val="minor"/>
      </rPr>
      <t>fuel,non-CO2</t>
    </r>
    <r>
      <rPr>
        <sz val="11.5"/>
        <color rgb="FF000000"/>
        <rFont val="Calibri"/>
        <family val="2"/>
        <scheme val="minor"/>
      </rPr>
      <t>) * NCV</t>
    </r>
    <r>
      <rPr>
        <vertAlign val="subscript"/>
        <sz val="11.5"/>
        <color rgb="FF000000"/>
        <rFont val="Calibri"/>
        <family val="2"/>
        <scheme val="minor"/>
      </rPr>
      <t>b,</t>
    </r>
    <r>
      <rPr>
        <sz val="8"/>
        <color rgb="FF000000"/>
        <rFont val="Calibri"/>
        <family val="2"/>
        <scheme val="minor"/>
      </rPr>
      <t xml:space="preserve">fuel </t>
    </r>
    <r>
      <rPr>
        <sz val="11.5"/>
        <color rgb="FF000000"/>
        <rFont val="Calibri"/>
        <family val="2"/>
        <scheme val="minor"/>
      </rPr>
      <t xml:space="preserve"> </t>
    </r>
  </si>
  <si>
    <t xml:space="preserve">PEp,y </t>
  </si>
  <si>
    <r>
      <t>B</t>
    </r>
    <r>
      <rPr>
        <sz val="8"/>
        <color rgb="FF000000"/>
        <rFont val="Calibri"/>
        <family val="2"/>
        <scheme val="minor"/>
      </rPr>
      <t xml:space="preserve">p,y </t>
    </r>
    <r>
      <rPr>
        <sz val="11.5"/>
        <color rgb="FF000000"/>
        <rFont val="Calibri"/>
        <family val="2"/>
        <scheme val="minor"/>
      </rPr>
      <t>* ((f</t>
    </r>
    <r>
      <rPr>
        <sz val="8"/>
        <color rgb="FF000000"/>
        <rFont val="Calibri"/>
        <family val="2"/>
        <scheme val="minor"/>
      </rPr>
      <t xml:space="preserve">NRB </t>
    </r>
    <r>
      <rPr>
        <sz val="11.5"/>
        <color rgb="FF000000"/>
        <rFont val="Calibri"/>
        <family val="2"/>
        <scheme val="minor"/>
      </rPr>
      <t>* EF</t>
    </r>
    <r>
      <rPr>
        <sz val="8"/>
        <color rgb="FF000000"/>
        <rFont val="Calibri"/>
        <family val="2"/>
        <scheme val="minor"/>
      </rPr>
      <t>fuel,CO2</t>
    </r>
    <r>
      <rPr>
        <sz val="11.5"/>
        <color rgb="FF000000"/>
        <rFont val="Calibri"/>
        <family val="2"/>
        <scheme val="minor"/>
      </rPr>
      <t>) + EF</t>
    </r>
    <r>
      <rPr>
        <sz val="8"/>
        <color rgb="FF000000"/>
        <rFont val="Calibri"/>
        <family val="2"/>
        <scheme val="minor"/>
      </rPr>
      <t>fuel,non-CO2</t>
    </r>
    <r>
      <rPr>
        <sz val="11.5"/>
        <color rgb="FF000000"/>
        <rFont val="Calibri"/>
        <family val="2"/>
        <scheme val="minor"/>
      </rPr>
      <t>) * NCV</t>
    </r>
    <r>
      <rPr>
        <vertAlign val="subscript"/>
        <sz val="11.5"/>
        <color rgb="FF000000"/>
        <rFont val="Calibri"/>
        <family val="2"/>
        <scheme val="minor"/>
      </rPr>
      <t>p,</t>
    </r>
    <r>
      <rPr>
        <sz val="8"/>
        <color rgb="FF000000"/>
        <rFont val="Calibri"/>
        <family val="2"/>
        <scheme val="minor"/>
      </rPr>
      <t>fuel</t>
    </r>
  </si>
  <si>
    <t>ERy</t>
  </si>
  <si>
    <r>
      <t>(ΣBE</t>
    </r>
    <r>
      <rPr>
        <sz val="8"/>
        <color rgb="FF000000"/>
        <rFont val="Calibri"/>
        <family val="2"/>
        <scheme val="minor"/>
      </rPr>
      <t xml:space="preserve">fuel,b,y </t>
    </r>
    <r>
      <rPr>
        <sz val="11.5"/>
        <color rgb="FF000000"/>
        <rFont val="Calibri"/>
        <family val="2"/>
        <scheme val="minor"/>
      </rPr>
      <t>- ΣPE</t>
    </r>
    <r>
      <rPr>
        <sz val="8"/>
        <color rgb="FF000000"/>
        <rFont val="Calibri"/>
        <family val="2"/>
        <scheme val="minor"/>
      </rPr>
      <t>fuel,p,y</t>
    </r>
    <r>
      <rPr>
        <sz val="11.5"/>
        <color rgb="FF000000"/>
        <rFont val="Calibri"/>
        <family val="2"/>
        <scheme val="minor"/>
      </rPr>
      <t>) * U</t>
    </r>
    <r>
      <rPr>
        <sz val="8"/>
        <color rgb="FF000000"/>
        <rFont val="Calibri"/>
        <family val="2"/>
        <scheme val="minor"/>
      </rPr>
      <t xml:space="preserve">p,y </t>
    </r>
    <r>
      <rPr>
        <sz val="11.5"/>
        <color rgb="FF000000"/>
        <rFont val="Calibri"/>
        <family val="2"/>
        <scheme val="minor"/>
      </rPr>
      <t>- ΣLE</t>
    </r>
    <r>
      <rPr>
        <sz val="8"/>
        <color rgb="FF000000"/>
        <rFont val="Calibri"/>
        <family val="2"/>
        <scheme val="minor"/>
      </rPr>
      <t>p,y</t>
    </r>
  </si>
  <si>
    <t>Project year</t>
  </si>
  <si>
    <t>Estimated nro of persons</t>
  </si>
  <si>
    <t>Number of days</t>
  </si>
  <si>
    <t>Operational days</t>
  </si>
  <si>
    <t>Np,y</t>
  </si>
  <si>
    <t>(Litre/person/day)</t>
  </si>
  <si>
    <t>(tCO2e/ year)</t>
  </si>
  <si>
    <t>Total</t>
  </si>
  <si>
    <t>Andranomena</t>
  </si>
  <si>
    <t>Year</t>
  </si>
  <si>
    <t xml:space="preserve">Estimation of project activity emission </t>
  </si>
  <si>
    <t>Estimation of baseline emissions</t>
  </si>
  <si>
    <t>Etimation of leakage</t>
  </si>
  <si>
    <t>Estimation of overall emission reductions</t>
  </si>
  <si>
    <r>
      <t>(tCO</t>
    </r>
    <r>
      <rPr>
        <b/>
        <vertAlign val="subscript"/>
        <sz val="12"/>
        <color theme="1"/>
        <rFont val="Calibri"/>
        <family val="2"/>
      </rPr>
      <t>2</t>
    </r>
    <r>
      <rPr>
        <b/>
        <sz val="12"/>
        <color theme="1"/>
        <rFont val="Calibri"/>
        <family val="2"/>
      </rPr>
      <t>)</t>
    </r>
  </si>
  <si>
    <r>
      <t>Total (tCO</t>
    </r>
    <r>
      <rPr>
        <vertAlign val="subscript"/>
        <sz val="12"/>
        <color theme="1"/>
        <rFont val="Calibri"/>
        <family val="2"/>
        <scheme val="minor"/>
      </rPr>
      <t>2</t>
    </r>
    <r>
      <rPr>
        <sz val="12"/>
        <color theme="1"/>
        <rFont val="Calibri"/>
        <family val="2"/>
        <scheme val="minor"/>
      </rPr>
      <t>)</t>
    </r>
  </si>
  <si>
    <t>ERs COMPARED TO EX-ANTE ESTIMATED VALUES</t>
  </si>
  <si>
    <t>ERy as in the registered PDD</t>
  </si>
  <si>
    <t>FOR COMPARISION - EX-ANTE CALCULATED EMISSION REDUCTIONS</t>
  </si>
  <si>
    <t>(tCO2)</t>
  </si>
  <si>
    <t>2019 (22/09/2019-31/12/2019)</t>
  </si>
  <si>
    <t>2024 (01/01/2024-21/09/2024)</t>
  </si>
  <si>
    <t>Total (tCO2)</t>
  </si>
  <si>
    <r>
      <t>C</t>
    </r>
    <r>
      <rPr>
        <sz val="7"/>
        <rFont val="Calibri"/>
        <family val="2"/>
        <scheme val="minor"/>
      </rPr>
      <t xml:space="preserve">j </t>
    </r>
  </si>
  <si>
    <r>
      <t>U</t>
    </r>
    <r>
      <rPr>
        <vertAlign val="subscript"/>
        <sz val="11"/>
        <rFont val="Calibri"/>
        <family val="2"/>
        <scheme val="minor"/>
      </rPr>
      <t>p,y</t>
    </r>
  </si>
  <si>
    <t>SDG 3: Number of additional persons using safe water in the project activity compared to the baseline scenario</t>
  </si>
  <si>
    <r>
      <t>P</t>
    </r>
    <r>
      <rPr>
        <vertAlign val="subscript"/>
        <sz val="11"/>
        <color theme="1"/>
        <rFont val="Avenir Book"/>
        <family val="2"/>
      </rPr>
      <t xml:space="preserve">safe </t>
    </r>
    <r>
      <rPr>
        <sz val="11"/>
        <color theme="1"/>
        <rFont val="Avenir Book"/>
        <family val="2"/>
      </rPr>
      <t>= P</t>
    </r>
    <r>
      <rPr>
        <vertAlign val="subscript"/>
        <sz val="11"/>
        <color theme="1"/>
        <rFont val="Avenir Book"/>
        <family val="2"/>
      </rPr>
      <t>y</t>
    </r>
    <r>
      <rPr>
        <sz val="11"/>
        <color theme="1"/>
        <rFont val="Avenir Book"/>
        <family val="2"/>
      </rPr>
      <t xml:space="preserve"> * (1 - C</t>
    </r>
    <r>
      <rPr>
        <vertAlign val="subscript"/>
        <sz val="11"/>
        <color theme="1"/>
        <rFont val="Avenir Book"/>
        <family val="2"/>
      </rPr>
      <t>j</t>
    </r>
    <r>
      <rPr>
        <sz val="11"/>
        <color theme="1"/>
        <rFont val="Avenir Book"/>
        <family val="2"/>
      </rPr>
      <t>) * (1-X</t>
    </r>
    <r>
      <rPr>
        <vertAlign val="subscript"/>
        <sz val="11"/>
        <color theme="1"/>
        <rFont val="Avenir Book"/>
        <family val="2"/>
      </rPr>
      <t>boil</t>
    </r>
    <r>
      <rPr>
        <sz val="11"/>
        <color theme="1"/>
        <rFont val="Avenir Book"/>
        <family val="2"/>
      </rPr>
      <t>)</t>
    </r>
    <r>
      <rPr>
        <sz val="11"/>
        <color theme="1"/>
        <rFont val="Avenir Book"/>
        <family val="2"/>
      </rPr>
      <t xml:space="preserve"> * Up,y</t>
    </r>
  </si>
  <si>
    <t>SDG3</t>
  </si>
  <si>
    <r>
      <t xml:space="preserve">Baseline estimate </t>
    </r>
    <r>
      <rPr>
        <sz val="11"/>
        <color theme="1"/>
        <rFont val="Calibri"/>
        <family val="2"/>
        <scheme val="minor"/>
      </rPr>
      <t>(Number of persons)</t>
    </r>
  </si>
  <si>
    <r>
      <t xml:space="preserve">Project estimate </t>
    </r>
    <r>
      <rPr>
        <sz val="11"/>
        <color theme="1"/>
        <rFont val="Calibri"/>
        <family val="2"/>
        <scheme val="minor"/>
      </rPr>
      <t>(Number of persons)</t>
    </r>
  </si>
  <si>
    <r>
      <t xml:space="preserve">Net benefit </t>
    </r>
    <r>
      <rPr>
        <sz val="11"/>
        <color theme="1"/>
        <rFont val="Calibri"/>
        <family val="2"/>
        <scheme val="minor"/>
      </rPr>
      <t>(Number of persons</t>
    </r>
    <r>
      <rPr>
        <b/>
        <sz val="11"/>
        <color theme="1"/>
        <rFont val="Calibri"/>
        <family val="2"/>
        <scheme val="minor"/>
      </rPr>
      <t>)</t>
    </r>
  </si>
  <si>
    <t>SDG 6: Number of additional persons having access to a safe water source in the project activity compared to the baseline scenario</t>
  </si>
  <si>
    <r>
      <t>P</t>
    </r>
    <r>
      <rPr>
        <vertAlign val="subscript"/>
        <sz val="11"/>
        <color theme="1"/>
        <rFont val="Avenir Book"/>
        <family val="2"/>
      </rPr>
      <t>access</t>
    </r>
    <r>
      <rPr>
        <sz val="11"/>
        <color theme="1"/>
        <rFont val="Avenir Book"/>
        <family val="2"/>
      </rPr>
      <t>= P</t>
    </r>
    <r>
      <rPr>
        <vertAlign val="subscript"/>
        <sz val="11"/>
        <color theme="1"/>
        <rFont val="Avenir Book"/>
        <family val="2"/>
      </rPr>
      <t>y</t>
    </r>
    <r>
      <rPr>
        <sz val="11"/>
        <color theme="1"/>
        <rFont val="Avenir Book"/>
        <family val="2"/>
      </rPr>
      <t xml:space="preserve"> * (1 – C</t>
    </r>
    <r>
      <rPr>
        <vertAlign val="subscript"/>
        <sz val="11"/>
        <color theme="1"/>
        <rFont val="Avenir Book"/>
        <family val="2"/>
      </rPr>
      <t>j</t>
    </r>
    <r>
      <rPr>
        <sz val="11"/>
        <color theme="1"/>
        <rFont val="Avenir Book"/>
        <family val="2"/>
      </rPr>
      <t>) * (1-Xboil)</t>
    </r>
  </si>
  <si>
    <t>SDG6</t>
  </si>
  <si>
    <r>
      <t xml:space="preserve">Net benefit </t>
    </r>
    <r>
      <rPr>
        <sz val="11"/>
        <color theme="1"/>
        <rFont val="Calibri"/>
        <family val="2"/>
        <scheme val="minor"/>
      </rPr>
      <t>(Number of persons)</t>
    </r>
  </si>
  <si>
    <t>SDG 12</t>
  </si>
  <si>
    <r>
      <t xml:space="preserve">Baseline estimate </t>
    </r>
    <r>
      <rPr>
        <sz val="11"/>
        <color theme="1"/>
        <rFont val="Calibri"/>
        <family val="2"/>
        <scheme val="minor"/>
      </rPr>
      <t>(campaign on water, sanitation and health related issues)</t>
    </r>
  </si>
  <si>
    <r>
      <t>Project estimate</t>
    </r>
    <r>
      <rPr>
        <sz val="11"/>
        <color theme="1"/>
        <rFont val="Calibri"/>
        <family val="2"/>
        <scheme val="minor"/>
      </rPr>
      <t>(campaign on water, sanitation and health related issues)</t>
    </r>
  </si>
  <si>
    <r>
      <t xml:space="preserve">Net benefit </t>
    </r>
    <r>
      <rPr>
        <sz val="11"/>
        <color theme="1"/>
        <rFont val="Calibri"/>
        <family val="2"/>
        <scheme val="minor"/>
      </rPr>
      <t>(campaign on water, sanitation and health related issues)</t>
    </r>
  </si>
  <si>
    <t>The safe water supply and treatment technologies included in the VPA will not deliver any thermal energy in the project scenario but only seek to displace the use of non-renewable biomass and/or fossil fuels used for boiling water in the baseline scenario and/or to provide the safe water for consumers without access to safe drinking water (suppressed demand).</t>
  </si>
  <si>
    <t>The useful energy output per single unit in the baseline scenario is less than 150kW. This is demonstrated below.</t>
  </si>
  <si>
    <t>Mean fuel consumption in the baseline scenario (kg/stove/day)</t>
  </si>
  <si>
    <t xml:space="preserve">person/hh based on the Baseline Survey 2018 </t>
  </si>
  <si>
    <t>Mean fuel consumption in the baseline scenario (t/stove/day)</t>
  </si>
  <si>
    <t>NCV (kWh/t)</t>
  </si>
  <si>
    <t>Mean consumption in baseline scenario (kWh/stove/day)</t>
  </si>
  <si>
    <t>Estimated daily use (hours)</t>
  </si>
  <si>
    <t>Estimated fuel consumption (kW)</t>
  </si>
  <si>
    <t>Assumed thermal efficiency of stove</t>
  </si>
  <si>
    <t>Useful energy output (kW) of one stove</t>
  </si>
  <si>
    <t xml:space="preserve">Pump capacity </t>
  </si>
  <si>
    <t>2,5 m3/h</t>
  </si>
  <si>
    <t>Q (l/s)</t>
  </si>
  <si>
    <t>Time to fill container of 20 liters (at each tap)</t>
  </si>
  <si>
    <t>1m 20sec</t>
  </si>
  <si>
    <t>Field measurement</t>
  </si>
  <si>
    <t xml:space="preserve">Time gap for replacing the containers </t>
  </si>
  <si>
    <t>7 sec</t>
  </si>
  <si>
    <t>Project Data</t>
  </si>
  <si>
    <t>Project proposal assumption</t>
  </si>
  <si>
    <t>Target</t>
  </si>
  <si>
    <t>Tank Offtake/Intake simulation 1</t>
  </si>
  <si>
    <t>Tank Offtake/Intake simulation 2</t>
  </si>
  <si>
    <t>estimated beneficiaries number/ village</t>
  </si>
  <si>
    <t>Estimated daily water demand per person (l/p/d)</t>
  </si>
  <si>
    <t>Total water demand  (l/d)</t>
  </si>
  <si>
    <t>Input energy for the battery</t>
  </si>
  <si>
    <t>HH:MM</t>
  </si>
  <si>
    <t>Tank
Inlet
(l/s)</t>
  </si>
  <si>
    <t>Tank Storage (l)</t>
  </si>
  <si>
    <t>Tank
Outlet WP_Tap1
(l/s)</t>
  </si>
  <si>
    <t>Tank
Outlet WP_Tap2
(l/s)</t>
  </si>
  <si>
    <t>Tank
Outlet WP_Tap3
(l/s)</t>
  </si>
  <si>
    <t>Tank
Outlet WP_Tap4
(l/s)</t>
  </si>
  <si>
    <t>Tank
Outlet WP_Tap5
(l/s)</t>
  </si>
  <si>
    <t>Tank
Outlet WP_Tap6
(l/s)</t>
  </si>
  <si>
    <t>Tank
Outlet WP_Tap7
(l/s)</t>
  </si>
  <si>
    <t>Tank
Outlet WP_Tap8
(l/s)</t>
  </si>
  <si>
    <t>Tank
Outlet WP_Tap9
(l/s)</t>
  </si>
  <si>
    <t>Tot
Consumption
(l/d)</t>
  </si>
  <si>
    <t>Tank
Outlet WP_Taps
(l/s)</t>
  </si>
  <si>
    <t xml:space="preserve">Village </t>
  </si>
  <si>
    <t>Maximum Demand Simulation - Tank distribution</t>
  </si>
  <si>
    <t>Infrastructure Type</t>
  </si>
  <si>
    <t>Tap_N</t>
  </si>
  <si>
    <t>Total Q(l/s)</t>
  </si>
  <si>
    <t>Estimated maximum service Hours</t>
  </si>
  <si>
    <t>People covered</t>
  </si>
  <si>
    <t>Total l/d</t>
  </si>
  <si>
    <t>Water tower</t>
  </si>
  <si>
    <t>Solar</t>
  </si>
  <si>
    <t>Q peak at Tank1  OutLet</t>
  </si>
  <si>
    <t>l/s</t>
  </si>
  <si>
    <t>Storage Capacity (m3) installed</t>
  </si>
  <si>
    <t>Tank</t>
  </si>
  <si>
    <t>battery storage</t>
  </si>
  <si>
    <t>Pump details</t>
  </si>
  <si>
    <t>Power</t>
  </si>
  <si>
    <t>W</t>
  </si>
  <si>
    <t>Voltage</t>
  </si>
  <si>
    <t>V</t>
  </si>
  <si>
    <t>Current</t>
  </si>
  <si>
    <t>A</t>
  </si>
  <si>
    <t>Storage battery details</t>
  </si>
  <si>
    <t>Nominal Capacity</t>
  </si>
  <si>
    <t>Ah</t>
  </si>
  <si>
    <t>Project Assumption</t>
  </si>
  <si>
    <t>Estimated Maximum Depth of Discharge</t>
  </si>
  <si>
    <t>%</t>
  </si>
  <si>
    <t>Sunlight hours</t>
  </si>
  <si>
    <t>10 h</t>
  </si>
  <si>
    <t xml:space="preserve">Conservative value: the shortest day in 2020 has 10h 42min of daylight. https://weatherspark.com/y/102576/Average-Weather-in-Toliara-Madagascar-Year-Round  </t>
  </si>
  <si>
    <t>Usable Capacity</t>
  </si>
  <si>
    <t>Battery storage</t>
  </si>
  <si>
    <t xml:space="preserve">4,5 h </t>
  </si>
  <si>
    <t>Conservative value: Battery can discharge up to 80%, but we assume 50 %. Please refer to C42</t>
  </si>
  <si>
    <t xml:space="preserve">Time of discharge without sunlight </t>
  </si>
  <si>
    <t>h</t>
  </si>
  <si>
    <t xml:space="preserve"> </t>
  </si>
  <si>
    <r>
      <t>EF</t>
    </r>
    <r>
      <rPr>
        <vertAlign val="subscript"/>
        <sz val="11"/>
        <color theme="1"/>
        <rFont val="Calibri"/>
        <family val="2"/>
        <scheme val="minor"/>
      </rPr>
      <t>b,nonCO2</t>
    </r>
    <r>
      <rPr>
        <sz val="11"/>
        <rFont val="Calibri"/>
        <family val="2"/>
        <scheme val="minor"/>
      </rPr>
      <t>(2021)</t>
    </r>
  </si>
  <si>
    <t xml:space="preserve">Calculated based on following: 1) IPCC default value for wood, for CH4: 0,3 tCO2/TJ and fro N2O: 0,004 tCO2/TJ (table 2.5 for default emission factors for stationary combustion), 2) AR5 GWP value of CH4 and N2O </t>
  </si>
  <si>
    <t xml:space="preserve">WBT. Please refer to "REPORT IEST". </t>
  </si>
  <si>
    <t xml:space="preserve">Baseline Survey </t>
  </si>
  <si>
    <t xml:space="preserve">Monitoring survey , 2022. Please refer to "Usage Survey 2022". </t>
  </si>
  <si>
    <t xml:space="preserve">Monitoring survey , 2022.  Please refer to "Usage Survey 2022". </t>
  </si>
  <si>
    <t>2022 (31/08- 31/12)</t>
  </si>
  <si>
    <t>2023 (1/01-30/08)</t>
  </si>
  <si>
    <t>GS6752</t>
  </si>
  <si>
    <t>Betsingilo P1</t>
  </si>
  <si>
    <t>Betsingilo P2</t>
  </si>
  <si>
    <t>Betsingilo P3</t>
  </si>
  <si>
    <t>Ambolofoty P6</t>
  </si>
  <si>
    <t>Ambolofoty P7</t>
  </si>
  <si>
    <t>GS7311</t>
  </si>
  <si>
    <t>Samotilahy</t>
  </si>
  <si>
    <t>Andaboly</t>
  </si>
  <si>
    <t>Ankilofolo P1</t>
  </si>
  <si>
    <t>Ankilofolo P2</t>
  </si>
  <si>
    <t>GS7567</t>
  </si>
  <si>
    <t>Anketrake Andranogadra</t>
  </si>
  <si>
    <t>Ankatsaky</t>
  </si>
  <si>
    <t>Belemboky Androvakely</t>
  </si>
  <si>
    <t>GS10657</t>
  </si>
  <si>
    <t>Ankilimarovahatse</t>
  </si>
  <si>
    <t>Antanamikodoy</t>
  </si>
  <si>
    <t>GS10658</t>
  </si>
  <si>
    <t>Antobe</t>
  </si>
  <si>
    <t>Ankoronga Angara</t>
  </si>
  <si>
    <t>GS10659</t>
  </si>
  <si>
    <t>Miary Ville</t>
  </si>
  <si>
    <t>Miary Ankoronga</t>
  </si>
  <si>
    <t>GS10783</t>
  </si>
  <si>
    <t>Mandrosoa</t>
  </si>
  <si>
    <t>Mandrosoa Antaikoaki</t>
  </si>
  <si>
    <t>Ankotsahobihia</t>
  </si>
  <si>
    <t>GS10784</t>
  </si>
  <si>
    <t>Maromiandra</t>
  </si>
  <si>
    <t>Maromiandra Antevamena</t>
  </si>
  <si>
    <t>Tab "Ers"</t>
  </si>
  <si>
    <t>GS IDs of Projects</t>
  </si>
  <si>
    <t>WP Name</t>
  </si>
  <si>
    <t xml:space="preserve">No.of people </t>
  </si>
  <si>
    <t xml:space="preserve">Capped value operational days </t>
  </si>
  <si>
    <t>18/11/2018-31/12/2018</t>
  </si>
  <si>
    <t>01/01/2023-17/11/2023</t>
  </si>
  <si>
    <t>26/11/2018-31/12/2018</t>
  </si>
  <si>
    <t>01/01/2023-25/11/2023</t>
  </si>
  <si>
    <t>2020 (01/09/2020-31/12/2020)</t>
  </si>
  <si>
    <t>2025 (01/01/2025-31/08/2025)</t>
  </si>
  <si>
    <t>2019 (22/09-31/12)</t>
  </si>
  <si>
    <t>2024 (1/01-21/09)</t>
  </si>
  <si>
    <t>2019 (23/11-31/12)</t>
  </si>
  <si>
    <t>2024 (1/01-22/11)</t>
  </si>
  <si>
    <t>2019 (22/09/2019-31/12/2020)</t>
  </si>
  <si>
    <t>2020 (01/09-31/12)</t>
  </si>
  <si>
    <t>2025 (1/01-31/08)</t>
  </si>
  <si>
    <t>Remarks on increase in achieved ERs from estimated value in approved PDD</t>
  </si>
  <si>
    <t xml:space="preserve">Annual average </t>
  </si>
  <si>
    <t xml:space="preserve">GS IDs </t>
  </si>
  <si>
    <t>GS IDs</t>
  </si>
  <si>
    <t xml:space="preserve">WCFT made in 2023 resulted as 8.2 litre/person/day. (it has been chosen the lower limit value instead the average, according to the 95/10 rule). This value has been capped to 7 litres in line with the page 48 of the applied methodology. </t>
  </si>
  <si>
    <t xml:space="preserve">
WCFT made in 2023. Please refer to  "WCFT Report2023"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</si>
</sst>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0000"/>
    <numFmt numFmtId="165" formatCode="####.00"/>
    <numFmt numFmtId="166" formatCode="0.0\ %"/>
    <numFmt numFmtId="167" formatCode="0.0000"/>
    <numFmt numFmtId="168" formatCode="0.000"/>
    <numFmt numFmtId="169" formatCode="#,##0;&quot;(&quot;#,##0&quot;)&quot;"/>
    <numFmt numFmtId="170" formatCode="#,##0.0;&quot;(&quot;#,##0.0&quot;)&quot;"/>
    <numFmt numFmtId="171" formatCode="#,##0.00;&quot;(&quot;#,##0.00&quot;)&quot;"/>
    <numFmt numFmtId="172" formatCode="hh&quot;:&quot;mm"/>
    <numFmt numFmtId="173" formatCode="0.0"/>
    <numFmt numFmtId="174" formatCode="0.000000"/>
    <numFmt numFmtId="175" formatCode="_-* #,##0_-;\-* #,##0_-;_-* &quot;-&quot;??_-;_-@_-"/>
  </numFmts>
  <fonts count="5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bscript"/>
      <sz val="11"/>
      <name val="Calibri"/>
      <family val="2"/>
      <scheme val="minor"/>
    </font>
    <font>
      <u/>
      <sz val="11"/>
      <color theme="10"/>
      <name val="Calibri"/>
      <family val="2"/>
    </font>
    <font>
      <b/>
      <i/>
      <sz val="11"/>
      <color theme="1"/>
      <name val="Calibri"/>
      <family val="2"/>
      <scheme val="minor"/>
    </font>
    <font>
      <sz val="11.5"/>
      <color theme="1"/>
      <name val="Cambria"/>
      <family val="1"/>
    </font>
    <font>
      <sz val="8"/>
      <color theme="1"/>
      <name val="Cambria"/>
      <family val="1"/>
    </font>
    <font>
      <b/>
      <sz val="11.5"/>
      <color rgb="FF000000"/>
      <name val="Calibri"/>
      <family val="2"/>
      <scheme val="minor"/>
    </font>
    <font>
      <sz val="11.5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vertAlign val="subscript"/>
      <sz val="11.5"/>
      <color rgb="FF000000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vertAlign val="subscript"/>
      <sz val="11.5"/>
      <color rgb="FF000000"/>
      <name val="Calibri"/>
      <family val="2"/>
      <scheme val="minor"/>
    </font>
    <font>
      <b/>
      <sz val="12"/>
      <color theme="1"/>
      <name val="Calibri"/>
      <family val="2"/>
    </font>
    <font>
      <b/>
      <vertAlign val="subscript"/>
      <sz val="12"/>
      <color theme="1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vertAlign val="subscript"/>
      <sz val="12"/>
      <color theme="1"/>
      <name val="Calibri"/>
      <family val="2"/>
      <scheme val="minor"/>
    </font>
    <font>
      <sz val="8"/>
      <name val="Calibri (Body)"/>
    </font>
    <font>
      <sz val="11"/>
      <color theme="1"/>
      <name val="Avenir Book"/>
      <family val="2"/>
    </font>
    <font>
      <vertAlign val="subscript"/>
      <sz val="11"/>
      <color theme="1"/>
      <name val="Avenir Book"/>
      <family val="2"/>
    </font>
    <font>
      <sz val="7"/>
      <name val="Calibri"/>
      <family val="2"/>
      <scheme val="minor"/>
    </font>
    <font>
      <vertAlign val="subscript"/>
      <sz val="9"/>
      <color theme="1"/>
      <name val="Calibri"/>
      <family val="2"/>
      <scheme val="minor"/>
    </font>
    <font>
      <sz val="11"/>
      <color rgb="FF1F1C1B"/>
      <name val="Arial"/>
      <family val="2"/>
    </font>
    <font>
      <b/>
      <sz val="11"/>
      <color rgb="FF1F1C1B"/>
      <name val="Arial"/>
      <family val="2"/>
    </font>
    <font>
      <b/>
      <sz val="10"/>
      <color rgb="FF1F1C1B"/>
      <name val="Arial"/>
      <family val="2"/>
    </font>
    <font>
      <b/>
      <i/>
      <sz val="11"/>
      <color rgb="FF1F1C1B"/>
      <name val="Arial"/>
      <family val="2"/>
    </font>
    <font>
      <b/>
      <sz val="12"/>
      <color rgb="FF1F1C1B"/>
      <name val="Arial"/>
      <family val="2"/>
    </font>
    <font>
      <sz val="10"/>
      <color rgb="FF1F1C1B"/>
      <name val="Arial"/>
      <family val="2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</font>
    <font>
      <b/>
      <i/>
      <sz val="11"/>
      <color rgb="FFFF0000"/>
      <name val="Calibri"/>
      <family val="2"/>
      <scheme val="minor"/>
    </font>
    <font>
      <sz val="11"/>
      <color rgb="FF4D4D4C"/>
      <name val="Verdana"/>
      <family val="2"/>
    </font>
    <font>
      <b/>
      <sz val="11"/>
      <color rgb="FF4D4D4C"/>
      <name val="Verdana"/>
      <family val="2"/>
    </font>
    <font>
      <sz val="8"/>
      <name val="Calibri"/>
      <family val="2"/>
      <scheme val="minor"/>
    </font>
    <font>
      <b/>
      <sz val="11"/>
      <color rgb="FF4D4D4C"/>
      <name val="Calibri Light"/>
      <family val="2"/>
    </font>
    <font>
      <sz val="11"/>
      <color rgb="FF4D4D4C"/>
      <name val="Calibri Light"/>
      <family val="2"/>
    </font>
    <font>
      <sz val="11"/>
      <color theme="1"/>
      <name val="Calibri Light"/>
      <family val="2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00CCFF"/>
      </patternFill>
    </fill>
    <fill>
      <patternFill patternType="solid">
        <fgColor rgb="FFCCCCCC"/>
        <bgColor rgb="FFCCCCCC"/>
      </patternFill>
    </fill>
    <fill>
      <patternFill patternType="solid">
        <fgColor theme="4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rgb="FF00CCFF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rgb="FFCCCCCC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CCCC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31" fillId="0" borderId="0">
      <alignment vertical="center"/>
    </xf>
    <xf numFmtId="43" fontId="38" fillId="0" borderId="0" applyFont="0" applyFill="0" applyBorder="0" applyAlignment="0" applyProtection="0"/>
  </cellStyleXfs>
  <cellXfs count="258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wrapText="1"/>
    </xf>
    <xf numFmtId="0" fontId="7" fillId="0" borderId="0" xfId="0" applyFont="1"/>
    <xf numFmtId="0" fontId="6" fillId="0" borderId="0" xfId="2" applyFont="1" applyAlignment="1" applyProtection="1"/>
    <xf numFmtId="0" fontId="9" fillId="0" borderId="0" xfId="2" applyAlignment="1" applyProtection="1"/>
    <xf numFmtId="0" fontId="0" fillId="0" borderId="2" xfId="0" applyBorder="1"/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wrapText="1"/>
    </xf>
    <xf numFmtId="0" fontId="11" fillId="0" borderId="0" xfId="0" applyFont="1"/>
    <xf numFmtId="0" fontId="0" fillId="0" borderId="1" xfId="0" applyBorder="1"/>
    <xf numFmtId="0" fontId="14" fillId="0" borderId="0" xfId="0" applyFont="1"/>
    <xf numFmtId="0" fontId="13" fillId="0" borderId="2" xfId="0" applyFont="1" applyBorder="1"/>
    <xf numFmtId="0" fontId="4" fillId="2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5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/>
    </xf>
    <xf numFmtId="3" fontId="0" fillId="0" borderId="0" xfId="0" applyNumberFormat="1"/>
    <xf numFmtId="0" fontId="7" fillId="2" borderId="4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wrapText="1"/>
    </xf>
    <xf numFmtId="0" fontId="0" fillId="3" borderId="0" xfId="0" applyFill="1"/>
    <xf numFmtId="0" fontId="0" fillId="3" borderId="1" xfId="0" applyFill="1" applyBorder="1"/>
    <xf numFmtId="165" fontId="22" fillId="0" borderId="1" xfId="3" applyNumberFormat="1" applyFont="1" applyBorder="1" applyAlignment="1">
      <alignment horizontal="right" vertical="top"/>
    </xf>
    <xf numFmtId="164" fontId="0" fillId="3" borderId="1" xfId="0" applyNumberFormat="1" applyFill="1" applyBorder="1"/>
    <xf numFmtId="3" fontId="0" fillId="0" borderId="1" xfId="0" applyNumberFormat="1" applyBorder="1"/>
    <xf numFmtId="4" fontId="0" fillId="3" borderId="1" xfId="0" applyNumberFormat="1" applyFill="1" applyBorder="1"/>
    <xf numFmtId="0" fontId="0" fillId="3" borderId="7" xfId="0" applyFill="1" applyBorder="1"/>
    <xf numFmtId="0" fontId="0" fillId="3" borderId="6" xfId="0" applyFill="1" applyBorder="1"/>
    <xf numFmtId="0" fontId="0" fillId="3" borderId="13" xfId="0" applyFill="1" applyBorder="1" applyAlignment="1">
      <alignment horizontal="center"/>
    </xf>
    <xf numFmtId="4" fontId="0" fillId="3" borderId="7" xfId="0" applyNumberFormat="1" applyFill="1" applyBorder="1"/>
    <xf numFmtId="4" fontId="0" fillId="3" borderId="6" xfId="0" applyNumberFormat="1" applyFill="1" applyBorder="1"/>
    <xf numFmtId="4" fontId="0" fillId="3" borderId="14" xfId="0" applyNumberFormat="1" applyFill="1" applyBorder="1" applyAlignment="1">
      <alignment horizontal="center"/>
    </xf>
    <xf numFmtId="2" fontId="0" fillId="0" borderId="1" xfId="0" applyNumberFormat="1" applyBorder="1"/>
    <xf numFmtId="164" fontId="0" fillId="0" borderId="0" xfId="0" applyNumberFormat="1"/>
    <xf numFmtId="166" fontId="5" fillId="0" borderId="1" xfId="0" applyNumberFormat="1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2" fontId="5" fillId="0" borderId="1" xfId="0" applyNumberFormat="1" applyFont="1" applyBorder="1"/>
    <xf numFmtId="167" fontId="0" fillId="0" borderId="0" xfId="0" applyNumberFormat="1"/>
    <xf numFmtId="168" fontId="0" fillId="0" borderId="0" xfId="0" applyNumberFormat="1"/>
    <xf numFmtId="3" fontId="0" fillId="0" borderId="0" xfId="0" applyNumberFormat="1" applyAlignment="1">
      <alignment horizontal="left"/>
    </xf>
    <xf numFmtId="0" fontId="0" fillId="0" borderId="1" xfId="0" applyBorder="1" applyAlignment="1">
      <alignment horizontal="left" wrapText="1"/>
    </xf>
    <xf numFmtId="0" fontId="17" fillId="0" borderId="1" xfId="0" applyFont="1" applyBorder="1" applyAlignment="1">
      <alignment horizontal="left" wrapText="1"/>
    </xf>
    <xf numFmtId="0" fontId="0" fillId="4" borderId="1" xfId="0" applyFill="1" applyBorder="1"/>
    <xf numFmtId="0" fontId="0" fillId="4" borderId="23" xfId="0" applyFill="1" applyBorder="1"/>
    <xf numFmtId="0" fontId="27" fillId="4" borderId="0" xfId="0" applyFont="1" applyFill="1" applyAlignment="1">
      <alignment horizontal="justify" vertical="center"/>
    </xf>
    <xf numFmtId="0" fontId="0" fillId="4" borderId="0" xfId="0" applyFill="1"/>
    <xf numFmtId="3" fontId="5" fillId="4" borderId="1" xfId="0" applyNumberFormat="1" applyFont="1" applyFill="1" applyBorder="1" applyAlignment="1">
      <alignment horizontal="left"/>
    </xf>
    <xf numFmtId="0" fontId="27" fillId="0" borderId="0" xfId="0" applyFont="1" applyAlignment="1">
      <alignment horizontal="justify" vertical="center"/>
    </xf>
    <xf numFmtId="3" fontId="0" fillId="0" borderId="20" xfId="0" applyNumberFormat="1" applyBorder="1"/>
    <xf numFmtId="0" fontId="31" fillId="0" borderId="0" xfId="4">
      <alignment vertical="center"/>
    </xf>
    <xf numFmtId="0" fontId="32" fillId="0" borderId="0" xfId="4" applyFont="1">
      <alignment vertical="center"/>
    </xf>
    <xf numFmtId="2" fontId="32" fillId="0" borderId="0" xfId="4" applyNumberFormat="1" applyFont="1">
      <alignment vertical="center"/>
    </xf>
    <xf numFmtId="0" fontId="33" fillId="0" borderId="0" xfId="4" applyFont="1" applyAlignment="1">
      <alignment vertical="center" wrapText="1"/>
    </xf>
    <xf numFmtId="0" fontId="33" fillId="0" borderId="0" xfId="4" applyFont="1" applyAlignment="1">
      <alignment horizontal="center" vertical="center"/>
    </xf>
    <xf numFmtId="0" fontId="33" fillId="6" borderId="36" xfId="4" applyFont="1" applyFill="1" applyBorder="1" applyAlignment="1">
      <alignment horizontal="center" vertical="center" wrapText="1"/>
    </xf>
    <xf numFmtId="0" fontId="33" fillId="0" borderId="0" xfId="4" applyFont="1" applyAlignment="1">
      <alignment horizontal="center" vertical="center" wrapText="1"/>
    </xf>
    <xf numFmtId="0" fontId="33" fillId="6" borderId="37" xfId="4" applyFont="1" applyFill="1" applyBorder="1" applyAlignment="1">
      <alignment horizontal="center" vertical="center" wrapText="1"/>
    </xf>
    <xf numFmtId="0" fontId="33" fillId="0" borderId="37" xfId="4" applyFont="1" applyBorder="1" applyAlignment="1">
      <alignment horizontal="center" vertical="center" wrapText="1"/>
    </xf>
    <xf numFmtId="169" fontId="33" fillId="6" borderId="39" xfId="4" applyNumberFormat="1" applyFont="1" applyFill="1" applyBorder="1">
      <alignment vertical="center"/>
    </xf>
    <xf numFmtId="170" fontId="33" fillId="6" borderId="39" xfId="4" applyNumberFormat="1" applyFont="1" applyFill="1" applyBorder="1">
      <alignment vertical="center"/>
    </xf>
    <xf numFmtId="169" fontId="33" fillId="6" borderId="40" xfId="4" applyNumberFormat="1" applyFont="1" applyFill="1" applyBorder="1">
      <alignment vertical="center"/>
    </xf>
    <xf numFmtId="171" fontId="33" fillId="0" borderId="0" xfId="4" applyNumberFormat="1" applyFont="1">
      <alignment vertical="center"/>
    </xf>
    <xf numFmtId="1" fontId="31" fillId="6" borderId="35" xfId="4" applyNumberFormat="1" applyFill="1" applyBorder="1">
      <alignment vertical="center"/>
    </xf>
    <xf numFmtId="172" fontId="31" fillId="6" borderId="35" xfId="4" applyNumberFormat="1" applyFill="1" applyBorder="1" applyAlignment="1">
      <alignment horizontal="center" vertical="center"/>
    </xf>
    <xf numFmtId="2" fontId="31" fillId="6" borderId="35" xfId="4" applyNumberFormat="1" applyFill="1" applyBorder="1">
      <alignment vertical="center"/>
    </xf>
    <xf numFmtId="1" fontId="31" fillId="0" borderId="35" xfId="4" applyNumberFormat="1" applyBorder="1">
      <alignment vertical="center"/>
    </xf>
    <xf numFmtId="2" fontId="31" fillId="0" borderId="35" xfId="4" applyNumberFormat="1" applyBorder="1">
      <alignment vertical="center"/>
    </xf>
    <xf numFmtId="169" fontId="34" fillId="0" borderId="0" xfId="4" applyNumberFormat="1" applyFont="1">
      <alignment vertical="center"/>
    </xf>
    <xf numFmtId="2" fontId="34" fillId="0" borderId="0" xfId="4" applyNumberFormat="1" applyFont="1">
      <alignment vertical="center"/>
    </xf>
    <xf numFmtId="173" fontId="31" fillId="0" borderId="0" xfId="4" applyNumberFormat="1">
      <alignment vertical="center"/>
    </xf>
    <xf numFmtId="0" fontId="33" fillId="6" borderId="35" xfId="4" applyFont="1" applyFill="1" applyBorder="1" applyAlignment="1">
      <alignment horizontal="center" vertical="center"/>
    </xf>
    <xf numFmtId="0" fontId="36" fillId="6" borderId="35" xfId="4" applyFont="1" applyFill="1" applyBorder="1" applyAlignment="1">
      <alignment horizontal="right" vertical="center"/>
    </xf>
    <xf numFmtId="2" fontId="36" fillId="6" borderId="35" xfId="4" applyNumberFormat="1" applyFont="1" applyFill="1" applyBorder="1" applyAlignment="1">
      <alignment horizontal="right" vertical="center"/>
    </xf>
    <xf numFmtId="2" fontId="31" fillId="6" borderId="35" xfId="4" applyNumberFormat="1" applyFill="1" applyBorder="1" applyAlignment="1">
      <alignment horizontal="right" vertical="center"/>
    </xf>
    <xf numFmtId="0" fontId="31" fillId="6" borderId="35" xfId="4" applyFill="1" applyBorder="1" applyAlignment="1">
      <alignment horizontal="right" vertical="center"/>
    </xf>
    <xf numFmtId="1" fontId="31" fillId="6" borderId="35" xfId="4" applyNumberFormat="1" applyFill="1" applyBorder="1" applyAlignment="1">
      <alignment horizontal="right" vertical="center"/>
    </xf>
    <xf numFmtId="2" fontId="33" fillId="8" borderId="0" xfId="4" applyNumberFormat="1" applyFont="1" applyFill="1">
      <alignment vertical="center"/>
    </xf>
    <xf numFmtId="1" fontId="32" fillId="0" borderId="0" xfId="4" applyNumberFormat="1" applyFont="1">
      <alignment vertical="center"/>
    </xf>
    <xf numFmtId="0" fontId="33" fillId="0" borderId="0" xfId="4" applyFont="1">
      <alignment vertical="center"/>
    </xf>
    <xf numFmtId="0" fontId="31" fillId="0" borderId="35" xfId="4" applyBorder="1">
      <alignment vertical="center"/>
    </xf>
    <xf numFmtId="0" fontId="31" fillId="0" borderId="35" xfId="4" applyBorder="1" applyAlignment="1">
      <alignment horizontal="right" vertical="center"/>
    </xf>
    <xf numFmtId="0" fontId="33" fillId="0" borderId="35" xfId="4" applyFont="1" applyBorder="1">
      <alignment vertical="center"/>
    </xf>
    <xf numFmtId="1" fontId="32" fillId="0" borderId="35" xfId="4" applyNumberFormat="1" applyFont="1" applyBorder="1">
      <alignment vertical="center"/>
    </xf>
    <xf numFmtId="1" fontId="31" fillId="0" borderId="0" xfId="4" applyNumberFormat="1">
      <alignment vertical="center"/>
    </xf>
    <xf numFmtId="0" fontId="33" fillId="9" borderId="0" xfId="4" applyFont="1" applyFill="1" applyAlignment="1">
      <alignment vertical="center" wrapText="1"/>
    </xf>
    <xf numFmtId="1" fontId="36" fillId="6" borderId="35" xfId="4" applyNumberFormat="1" applyFont="1" applyFill="1" applyBorder="1" applyAlignment="1">
      <alignment horizontal="right" vertical="center"/>
    </xf>
    <xf numFmtId="9" fontId="36" fillId="6" borderId="35" xfId="4" applyNumberFormat="1" applyFont="1" applyFill="1" applyBorder="1" applyAlignment="1">
      <alignment horizontal="right" vertical="center"/>
    </xf>
    <xf numFmtId="0" fontId="31" fillId="10" borderId="20" xfId="4" applyFill="1" applyBorder="1">
      <alignment vertical="center"/>
    </xf>
    <xf numFmtId="1" fontId="31" fillId="11" borderId="35" xfId="4" applyNumberFormat="1" applyFill="1" applyBorder="1">
      <alignment vertical="center"/>
    </xf>
    <xf numFmtId="0" fontId="31" fillId="12" borderId="19" xfId="4" applyFill="1" applyBorder="1">
      <alignment vertical="center"/>
    </xf>
    <xf numFmtId="1" fontId="31" fillId="13" borderId="35" xfId="4" applyNumberFormat="1" applyFill="1" applyBorder="1">
      <alignment vertical="center"/>
    </xf>
    <xf numFmtId="0" fontId="7" fillId="2" borderId="1" xfId="0" applyFont="1" applyFill="1" applyBorder="1" applyAlignment="1">
      <alignment horizontal="left" wrapText="1"/>
    </xf>
    <xf numFmtId="0" fontId="5" fillId="0" borderId="1" xfId="2" applyFont="1" applyFill="1" applyBorder="1" applyAlignment="1" applyProtection="1"/>
    <xf numFmtId="168" fontId="5" fillId="0" borderId="1" xfId="0" applyNumberFormat="1" applyFont="1" applyBorder="1"/>
    <xf numFmtId="0" fontId="37" fillId="0" borderId="0" xfId="0" applyFont="1"/>
    <xf numFmtId="174" fontId="0" fillId="0" borderId="1" xfId="0" applyNumberFormat="1" applyBorder="1"/>
    <xf numFmtId="0" fontId="0" fillId="0" borderId="16" xfId="0" applyBorder="1" applyAlignment="1">
      <alignment horizontal="left"/>
    </xf>
    <xf numFmtId="0" fontId="0" fillId="0" borderId="52" xfId="0" applyBorder="1" applyAlignment="1">
      <alignment horizontal="left"/>
    </xf>
    <xf numFmtId="3" fontId="0" fillId="0" borderId="21" xfId="0" applyNumberFormat="1" applyBorder="1"/>
    <xf numFmtId="3" fontId="0" fillId="0" borderId="22" xfId="0" applyNumberFormat="1" applyBorder="1"/>
    <xf numFmtId="1" fontId="0" fillId="0" borderId="0" xfId="0" applyNumberFormat="1"/>
    <xf numFmtId="0" fontId="7" fillId="2" borderId="0" xfId="0" applyFont="1" applyFill="1" applyAlignment="1">
      <alignment horizontal="left"/>
    </xf>
    <xf numFmtId="0" fontId="7" fillId="2" borderId="9" xfId="0" applyFont="1" applyFill="1" applyBorder="1" applyAlignment="1">
      <alignment horizontal="left"/>
    </xf>
    <xf numFmtId="3" fontId="0" fillId="0" borderId="17" xfId="0" applyNumberFormat="1" applyBorder="1"/>
    <xf numFmtId="3" fontId="0" fillId="0" borderId="18" xfId="0" applyNumberFormat="1" applyBorder="1"/>
    <xf numFmtId="0" fontId="0" fillId="0" borderId="53" xfId="0" applyBorder="1" applyAlignment="1">
      <alignment horizontal="left"/>
    </xf>
    <xf numFmtId="3" fontId="0" fillId="0" borderId="54" xfId="0" applyNumberFormat="1" applyBorder="1"/>
    <xf numFmtId="3" fontId="0" fillId="0" borderId="19" xfId="0" applyNumberFormat="1" applyBorder="1"/>
    <xf numFmtId="0" fontId="7" fillId="2" borderId="3" xfId="0" applyFont="1" applyFill="1" applyBorder="1"/>
    <xf numFmtId="3" fontId="0" fillId="0" borderId="11" xfId="0" applyNumberFormat="1" applyBorder="1"/>
    <xf numFmtId="3" fontId="0" fillId="0" borderId="12" xfId="0" applyNumberFormat="1" applyBorder="1"/>
    <xf numFmtId="0" fontId="39" fillId="0" borderId="10" xfId="0" applyFont="1" applyBorder="1" applyAlignment="1">
      <alignment vertical="top" wrapText="1"/>
    </xf>
    <xf numFmtId="0" fontId="0" fillId="0" borderId="1" xfId="0" applyBorder="1" applyAlignment="1">
      <alignment horizontal="left"/>
    </xf>
    <xf numFmtId="175" fontId="0" fillId="0" borderId="6" xfId="5" applyNumberFormat="1" applyFont="1" applyBorder="1"/>
    <xf numFmtId="0" fontId="37" fillId="0" borderId="5" xfId="0" applyFont="1" applyBorder="1"/>
    <xf numFmtId="0" fontId="7" fillId="2" borderId="5" xfId="0" applyFont="1" applyFill="1" applyBorder="1"/>
    <xf numFmtId="0" fontId="2" fillId="0" borderId="15" xfId="0" applyFont="1" applyBorder="1"/>
    <xf numFmtId="0" fontId="33" fillId="6" borderId="35" xfId="4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9" fillId="0" borderId="0" xfId="2" applyFill="1" applyAlignment="1" applyProtection="1"/>
    <xf numFmtId="0" fontId="5" fillId="0" borderId="7" xfId="0" applyFont="1" applyBorder="1"/>
    <xf numFmtId="0" fontId="0" fillId="0" borderId="7" xfId="0" applyBorder="1" applyAlignment="1">
      <alignment wrapText="1"/>
    </xf>
    <xf numFmtId="0" fontId="0" fillId="0" borderId="7" xfId="0" applyBorder="1"/>
    <xf numFmtId="0" fontId="5" fillId="0" borderId="7" xfId="0" applyFont="1" applyBorder="1" applyAlignment="1">
      <alignment wrapText="1"/>
    </xf>
    <xf numFmtId="3" fontId="5" fillId="0" borderId="0" xfId="0" applyNumberFormat="1" applyFont="1"/>
    <xf numFmtId="0" fontId="0" fillId="0" borderId="58" xfId="0" applyBorder="1" applyAlignment="1">
      <alignment horizontal="left"/>
    </xf>
    <xf numFmtId="3" fontId="0" fillId="0" borderId="58" xfId="0" applyNumberFormat="1" applyBorder="1" applyAlignment="1">
      <alignment horizontal="left"/>
    </xf>
    <xf numFmtId="0" fontId="0" fillId="0" borderId="58" xfId="0" applyBorder="1"/>
    <xf numFmtId="1" fontId="0" fillId="0" borderId="58" xfId="0" applyNumberFormat="1" applyBorder="1"/>
    <xf numFmtId="3" fontId="0" fillId="0" borderId="58" xfId="0" applyNumberFormat="1" applyBorder="1"/>
    <xf numFmtId="3" fontId="5" fillId="0" borderId="59" xfId="0" applyNumberFormat="1" applyFont="1" applyBorder="1"/>
    <xf numFmtId="0" fontId="0" fillId="0" borderId="2" xfId="0" applyBorder="1" applyAlignment="1">
      <alignment horizontal="left"/>
    </xf>
    <xf numFmtId="3" fontId="0" fillId="0" borderId="2" xfId="0" applyNumberFormat="1" applyBorder="1" applyAlignment="1">
      <alignment horizontal="left"/>
    </xf>
    <xf numFmtId="1" fontId="0" fillId="0" borderId="2" xfId="0" applyNumberFormat="1" applyBorder="1"/>
    <xf numFmtId="3" fontId="0" fillId="0" borderId="2" xfId="0" applyNumberFormat="1" applyBorder="1"/>
    <xf numFmtId="1" fontId="7" fillId="0" borderId="1" xfId="0" applyNumberFormat="1" applyFont="1" applyBorder="1"/>
    <xf numFmtId="3" fontId="0" fillId="0" borderId="1" xfId="0" applyNumberFormat="1" applyBorder="1" applyAlignment="1">
      <alignment horizontal="right" wrapText="1"/>
    </xf>
    <xf numFmtId="0" fontId="42" fillId="0" borderId="0" xfId="0" applyFont="1" applyAlignment="1">
      <alignment vertical="center" wrapText="1"/>
    </xf>
    <xf numFmtId="0" fontId="41" fillId="0" borderId="0" xfId="0" applyFont="1" applyAlignment="1">
      <alignment horizontal="justify" vertical="center" wrapText="1"/>
    </xf>
    <xf numFmtId="14" fontId="41" fillId="0" borderId="0" xfId="0" applyNumberFormat="1" applyFont="1" applyAlignment="1">
      <alignment horizontal="justify" vertical="center" wrapText="1"/>
    </xf>
    <xf numFmtId="14" fontId="41" fillId="0" borderId="0" xfId="0" applyNumberFormat="1" applyFont="1" applyAlignment="1">
      <alignment vertical="center" wrapText="1"/>
    </xf>
    <xf numFmtId="3" fontId="41" fillId="0" borderId="0" xfId="0" applyNumberFormat="1" applyFont="1" applyAlignment="1">
      <alignment horizontal="justify" vertical="center" wrapText="1"/>
    </xf>
    <xf numFmtId="0" fontId="41" fillId="0" borderId="0" xfId="0" applyFont="1" applyAlignment="1">
      <alignment vertical="center" wrapText="1"/>
    </xf>
    <xf numFmtId="3" fontId="41" fillId="0" borderId="0" xfId="0" applyNumberFormat="1" applyFont="1" applyAlignment="1">
      <alignment vertical="center" wrapText="1"/>
    </xf>
    <xf numFmtId="0" fontId="45" fillId="0" borderId="0" xfId="0" applyFont="1" applyAlignment="1">
      <alignment horizontal="left" vertical="center" wrapText="1"/>
    </xf>
    <xf numFmtId="0" fontId="44" fillId="0" borderId="0" xfId="0" applyFont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7" fillId="2" borderId="1" xfId="0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vertical="top" wrapText="1"/>
    </xf>
    <xf numFmtId="0" fontId="45" fillId="0" borderId="57" xfId="0" applyFont="1" applyBorder="1" applyAlignment="1">
      <alignment horizontal="left" vertical="center" wrapText="1"/>
    </xf>
    <xf numFmtId="0" fontId="45" fillId="0" borderId="58" xfId="0" applyFont="1" applyBorder="1" applyAlignment="1">
      <alignment horizontal="center" vertical="center" wrapText="1"/>
    </xf>
    <xf numFmtId="0" fontId="45" fillId="0" borderId="59" xfId="0" applyFont="1" applyBorder="1" applyAlignment="1">
      <alignment horizontal="center" vertical="center" wrapText="1"/>
    </xf>
    <xf numFmtId="0" fontId="45" fillId="0" borderId="60" xfId="0" applyFont="1" applyBorder="1" applyAlignment="1">
      <alignment horizontal="left" vertical="center" wrapText="1"/>
    </xf>
    <xf numFmtId="0" fontId="45" fillId="0" borderId="61" xfId="0" applyFont="1" applyBorder="1" applyAlignment="1">
      <alignment horizontal="center" vertical="center" wrapText="1"/>
    </xf>
    <xf numFmtId="0" fontId="45" fillId="0" borderId="62" xfId="0" applyFont="1" applyBorder="1" applyAlignment="1">
      <alignment horizontal="left" vertical="center" wrapText="1"/>
    </xf>
    <xf numFmtId="0" fontId="45" fillId="0" borderId="2" xfId="0" applyFont="1" applyBorder="1" applyAlignment="1">
      <alignment horizontal="center" vertical="center" wrapText="1"/>
    </xf>
    <xf numFmtId="0" fontId="45" fillId="0" borderId="63" xfId="0" applyFont="1" applyBorder="1" applyAlignment="1">
      <alignment horizontal="center" vertical="center" wrapText="1"/>
    </xf>
    <xf numFmtId="0" fontId="46" fillId="0" borderId="58" xfId="0" applyFont="1" applyBorder="1" applyAlignment="1">
      <alignment horizontal="center"/>
    </xf>
    <xf numFmtId="0" fontId="46" fillId="0" borderId="59" xfId="0" applyFont="1" applyBorder="1" applyAlignment="1">
      <alignment horizontal="center"/>
    </xf>
    <xf numFmtId="0" fontId="46" fillId="0" borderId="2" xfId="0" applyFont="1" applyBorder="1" applyAlignment="1">
      <alignment horizontal="center"/>
    </xf>
    <xf numFmtId="0" fontId="46" fillId="0" borderId="63" xfId="0" applyFont="1" applyBorder="1" applyAlignment="1">
      <alignment horizontal="center"/>
    </xf>
    <xf numFmtId="0" fontId="46" fillId="0" borderId="61" xfId="0" applyFont="1" applyBorder="1" applyAlignment="1">
      <alignment horizontal="center"/>
    </xf>
    <xf numFmtId="0" fontId="7" fillId="2" borderId="21" xfId="0" applyFont="1" applyFill="1" applyBorder="1" applyAlignment="1">
      <alignment horizontal="left"/>
    </xf>
    <xf numFmtId="0" fontId="7" fillId="2" borderId="22" xfId="0" applyFont="1" applyFill="1" applyBorder="1" applyAlignment="1">
      <alignment horizontal="left"/>
    </xf>
    <xf numFmtId="3" fontId="0" fillId="0" borderId="9" xfId="0" applyNumberFormat="1" applyBorder="1"/>
    <xf numFmtId="0" fontId="2" fillId="0" borderId="10" xfId="0" applyFont="1" applyBorder="1"/>
    <xf numFmtId="0" fontId="0" fillId="0" borderId="5" xfId="0" applyBorder="1" applyAlignment="1">
      <alignment horizontal="left"/>
    </xf>
    <xf numFmtId="0" fontId="0" fillId="0" borderId="64" xfId="0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16" borderId="1" xfId="0" applyFont="1" applyFill="1" applyBorder="1"/>
    <xf numFmtId="3" fontId="0" fillId="16" borderId="1" xfId="0" applyNumberFormat="1" applyFill="1" applyBorder="1"/>
    <xf numFmtId="1" fontId="7" fillId="0" borderId="6" xfId="0" applyNumberFormat="1" applyFont="1" applyBorder="1"/>
    <xf numFmtId="3" fontId="0" fillId="0" borderId="6" xfId="0" applyNumberFormat="1" applyBorder="1"/>
    <xf numFmtId="1" fontId="7" fillId="0" borderId="7" xfId="0" applyNumberFormat="1" applyFont="1" applyBorder="1"/>
    <xf numFmtId="175" fontId="0" fillId="0" borderId="7" xfId="5" applyNumberFormat="1" applyFont="1" applyBorder="1"/>
    <xf numFmtId="0" fontId="7" fillId="15" borderId="56" xfId="0" applyFont="1" applyFill="1" applyBorder="1" applyAlignment="1">
      <alignment vertical="center" wrapText="1"/>
    </xf>
    <xf numFmtId="0" fontId="7" fillId="16" borderId="13" xfId="0" applyFont="1" applyFill="1" applyBorder="1"/>
    <xf numFmtId="0" fontId="7" fillId="14" borderId="13" xfId="0" applyFont="1" applyFill="1" applyBorder="1"/>
    <xf numFmtId="175" fontId="0" fillId="14" borderId="55" xfId="0" applyNumberFormat="1" applyFill="1" applyBorder="1"/>
    <xf numFmtId="175" fontId="0" fillId="14" borderId="14" xfId="0" applyNumberFormat="1" applyFill="1" applyBorder="1"/>
    <xf numFmtId="0" fontId="7" fillId="0" borderId="1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7" fillId="2" borderId="15" xfId="0" applyFont="1" applyFill="1" applyBorder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3" fontId="0" fillId="4" borderId="1" xfId="0" applyNumberFormat="1" applyFill="1" applyBorder="1"/>
    <xf numFmtId="0" fontId="0" fillId="0" borderId="24" xfId="0" applyBorder="1" applyAlignment="1">
      <alignment horizontal="left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5" fillId="4" borderId="6" xfId="0" applyFont="1" applyFill="1" applyBorder="1"/>
    <xf numFmtId="0" fontId="5" fillId="0" borderId="6" xfId="0" applyFont="1" applyBorder="1" applyAlignment="1">
      <alignment horizontal="left" wrapText="1"/>
    </xf>
    <xf numFmtId="0" fontId="5" fillId="0" borderId="6" xfId="0" applyFont="1" applyBorder="1"/>
    <xf numFmtId="175" fontId="0" fillId="0" borderId="0" xfId="5" applyNumberFormat="1" applyFont="1"/>
    <xf numFmtId="43" fontId="0" fillId="0" borderId="0" xfId="0" applyNumberFormat="1"/>
    <xf numFmtId="0" fontId="7" fillId="2" borderId="56" xfId="0" applyFont="1" applyFill="1" applyBorder="1" applyAlignment="1">
      <alignment horizontal="left"/>
    </xf>
    <xf numFmtId="0" fontId="0" fillId="2" borderId="56" xfId="0" applyFill="1" applyBorder="1"/>
    <xf numFmtId="0" fontId="10" fillId="2" borderId="56" xfId="0" applyFont="1" applyFill="1" applyBorder="1" applyAlignment="1">
      <alignment vertical="center" wrapText="1"/>
    </xf>
    <xf numFmtId="3" fontId="5" fillId="0" borderId="61" xfId="0" applyNumberFormat="1" applyFont="1" applyBorder="1"/>
    <xf numFmtId="3" fontId="5" fillId="0" borderId="63" xfId="0" applyNumberFormat="1" applyFont="1" applyBorder="1"/>
    <xf numFmtId="3" fontId="7" fillId="16" borderId="55" xfId="0" applyNumberFormat="1" applyFont="1" applyFill="1" applyBorder="1"/>
    <xf numFmtId="3" fontId="7" fillId="16" borderId="14" xfId="0" applyNumberFormat="1" applyFont="1" applyFill="1" applyBorder="1"/>
    <xf numFmtId="0" fontId="7" fillId="15" borderId="1" xfId="0" applyFont="1" applyFill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center"/>
    </xf>
    <xf numFmtId="0" fontId="7" fillId="0" borderId="60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56" xfId="0" applyFont="1" applyFill="1" applyBorder="1" applyAlignment="1">
      <alignment horizontal="left" vertical="center"/>
    </xf>
    <xf numFmtId="0" fontId="49" fillId="0" borderId="0" xfId="0" applyFont="1" applyAlignment="1">
      <alignment horizontal="center"/>
    </xf>
    <xf numFmtId="0" fontId="47" fillId="0" borderId="10" xfId="0" applyFont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0" borderId="12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0" fillId="14" borderId="64" xfId="0" applyFont="1" applyFill="1" applyBorder="1" applyAlignment="1">
      <alignment horizontal="center" vertical="center" wrapText="1"/>
    </xf>
    <xf numFmtId="0" fontId="40" fillId="14" borderId="2" xfId="0" applyFont="1" applyFill="1" applyBorder="1" applyAlignment="1">
      <alignment horizontal="center" vertical="center" wrapText="1"/>
    </xf>
    <xf numFmtId="0" fontId="40" fillId="14" borderId="0" xfId="0" applyFont="1" applyFill="1" applyAlignment="1">
      <alignment horizontal="center" vertical="center" wrapText="1"/>
    </xf>
    <xf numFmtId="0" fontId="48" fillId="0" borderId="10" xfId="0" applyFont="1" applyBorder="1" applyAlignment="1">
      <alignment horizontal="center"/>
    </xf>
    <xf numFmtId="0" fontId="48" fillId="0" borderId="11" xfId="0" applyFont="1" applyBorder="1" applyAlignment="1">
      <alignment horizontal="center"/>
    </xf>
    <xf numFmtId="0" fontId="48" fillId="0" borderId="12" xfId="0" applyFont="1" applyBorder="1" applyAlignment="1">
      <alignment horizontal="center"/>
    </xf>
    <xf numFmtId="0" fontId="49" fillId="0" borderId="6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3" fillId="6" borderId="34" xfId="4" applyFont="1" applyFill="1" applyBorder="1" applyAlignment="1">
      <alignment horizontal="center" vertical="center" wrapText="1"/>
    </xf>
    <xf numFmtId="0" fontId="33" fillId="6" borderId="35" xfId="4" applyFont="1" applyFill="1" applyBorder="1" applyAlignment="1">
      <alignment horizontal="center" vertical="center" wrapText="1"/>
    </xf>
    <xf numFmtId="169" fontId="33" fillId="6" borderId="38" xfId="4" applyNumberFormat="1" applyFont="1" applyFill="1" applyBorder="1" applyAlignment="1">
      <alignment horizontal="left" vertical="center"/>
    </xf>
    <xf numFmtId="169" fontId="33" fillId="6" borderId="39" xfId="4" applyNumberFormat="1" applyFont="1" applyFill="1" applyBorder="1" applyAlignment="1">
      <alignment horizontal="left" vertical="center"/>
    </xf>
    <xf numFmtId="0" fontId="31" fillId="7" borderId="41" xfId="4" applyFill="1" applyBorder="1" applyAlignment="1">
      <alignment horizontal="center" vertical="center"/>
    </xf>
    <xf numFmtId="0" fontId="35" fillId="6" borderId="42" xfId="4" applyFont="1" applyFill="1" applyBorder="1" applyAlignment="1">
      <alignment horizontal="center" vertical="center"/>
    </xf>
    <xf numFmtId="0" fontId="35" fillId="6" borderId="43" xfId="4" applyFont="1" applyFill="1" applyBorder="1" applyAlignment="1">
      <alignment horizontal="center" vertical="center"/>
    </xf>
    <xf numFmtId="0" fontId="35" fillId="6" borderId="37" xfId="4" applyFont="1" applyFill="1" applyBorder="1" applyAlignment="1">
      <alignment horizontal="center" vertical="center"/>
    </xf>
    <xf numFmtId="0" fontId="33" fillId="8" borderId="44" xfId="4" applyFont="1" applyFill="1" applyBorder="1" applyAlignment="1">
      <alignment horizontal="left" vertical="center"/>
    </xf>
    <xf numFmtId="0" fontId="31" fillId="10" borderId="45" xfId="4" applyFill="1" applyBorder="1" applyAlignment="1">
      <alignment horizontal="center" vertical="center"/>
    </xf>
    <xf numFmtId="0" fontId="31" fillId="10" borderId="23" xfId="4" applyFill="1" applyBorder="1" applyAlignment="1">
      <alignment horizontal="center" vertical="center"/>
    </xf>
    <xf numFmtId="0" fontId="31" fillId="10" borderId="7" xfId="4" applyFill="1" applyBorder="1" applyAlignment="1">
      <alignment horizontal="center" vertical="center"/>
    </xf>
    <xf numFmtId="0" fontId="31" fillId="12" borderId="46" xfId="4" applyFill="1" applyBorder="1" applyAlignment="1">
      <alignment horizontal="center" vertical="center"/>
    </xf>
    <xf numFmtId="0" fontId="31" fillId="12" borderId="47" xfId="4" applyFill="1" applyBorder="1" applyAlignment="1">
      <alignment horizontal="center" vertical="center"/>
    </xf>
    <xf numFmtId="0" fontId="31" fillId="12" borderId="48" xfId="4" applyFill="1" applyBorder="1" applyAlignment="1">
      <alignment horizontal="center" vertical="center"/>
    </xf>
    <xf numFmtId="0" fontId="31" fillId="0" borderId="49" xfId="4" applyBorder="1" applyAlignment="1">
      <alignment horizontal="center" vertical="center"/>
    </xf>
    <xf numFmtId="0" fontId="31" fillId="0" borderId="50" xfId="4" applyBorder="1" applyAlignment="1">
      <alignment horizontal="center" vertical="center"/>
    </xf>
    <xf numFmtId="0" fontId="31" fillId="0" borderId="51" xfId="4" applyBorder="1" applyAlignment="1">
      <alignment horizontal="center" vertical="center"/>
    </xf>
    <xf numFmtId="0" fontId="33" fillId="0" borderId="35" xfId="4" applyFont="1" applyBorder="1" applyAlignment="1">
      <alignment horizontal="center" vertical="center" wrapText="1"/>
    </xf>
    <xf numFmtId="0" fontId="33" fillId="5" borderId="10" xfId="4" applyFont="1" applyFill="1" applyBorder="1" applyAlignment="1">
      <alignment horizontal="center" vertical="center" wrapText="1"/>
    </xf>
    <xf numFmtId="0" fontId="33" fillId="5" borderId="11" xfId="4" applyFont="1" applyFill="1" applyBorder="1" applyAlignment="1">
      <alignment horizontal="center" vertical="center" wrapText="1"/>
    </xf>
    <xf numFmtId="0" fontId="33" fillId="5" borderId="12" xfId="4" applyFont="1" applyFill="1" applyBorder="1" applyAlignment="1">
      <alignment horizontal="center" vertical="center" wrapText="1"/>
    </xf>
    <xf numFmtId="0" fontId="33" fillId="5" borderId="26" xfId="4" applyFont="1" applyFill="1" applyBorder="1" applyAlignment="1">
      <alignment horizontal="center" vertical="center" wrapText="1"/>
    </xf>
    <xf numFmtId="0" fontId="33" fillId="5" borderId="27" xfId="4" applyFont="1" applyFill="1" applyBorder="1" applyAlignment="1">
      <alignment horizontal="center" vertical="center" wrapText="1"/>
    </xf>
    <xf numFmtId="0" fontId="33" fillId="5" borderId="28" xfId="4" applyFont="1" applyFill="1" applyBorder="1" applyAlignment="1">
      <alignment horizontal="center" vertical="center" wrapText="1"/>
    </xf>
    <xf numFmtId="0" fontId="31" fillId="0" borderId="0" xfId="4">
      <alignment vertical="center"/>
    </xf>
    <xf numFmtId="0" fontId="33" fillId="6" borderId="29" xfId="4" applyFont="1" applyFill="1" applyBorder="1" applyAlignment="1">
      <alignment horizontal="center" vertical="center" wrapText="1"/>
    </xf>
    <xf numFmtId="0" fontId="33" fillId="6" borderId="30" xfId="4" applyFont="1" applyFill="1" applyBorder="1" applyAlignment="1">
      <alignment horizontal="center" vertical="center" wrapText="1"/>
    </xf>
    <xf numFmtId="0" fontId="33" fillId="6" borderId="31" xfId="4" applyFont="1" applyFill="1" applyBorder="1" applyAlignment="1">
      <alignment horizontal="center" vertical="center" wrapText="1"/>
    </xf>
    <xf numFmtId="0" fontId="33" fillId="6" borderId="32" xfId="4" applyFont="1" applyFill="1" applyBorder="1" applyAlignment="1">
      <alignment horizontal="center" vertical="center" wrapText="1"/>
    </xf>
    <xf numFmtId="0" fontId="33" fillId="6" borderId="33" xfId="4" applyFont="1" applyFill="1" applyBorder="1" applyAlignment="1">
      <alignment horizontal="center" vertical="center" wrapText="1"/>
    </xf>
    <xf numFmtId="0" fontId="33" fillId="5" borderId="0" xfId="4" applyFont="1" applyFill="1" applyAlignment="1">
      <alignment horizontal="center" vertical="center" wrapText="1"/>
    </xf>
  </cellXfs>
  <cellStyles count="6">
    <cellStyle name="Comma" xfId="5" builtinId="3"/>
    <cellStyle name="Hyperlink" xfId="2" builtinId="8"/>
    <cellStyle name="Normal" xfId="0" builtinId="0"/>
    <cellStyle name="Normal 2" xfId="4" xr:uid="{D01E864E-63AA-435F-8AD3-A35BBFB62CA4}"/>
    <cellStyle name="Normal_Results 90% avoid outliners" xfId="3" xr:uid="{00000000-0005-0000-0000-000001000000}"/>
    <cellStyle name="Normale 2" xfId="1" xr:uid="{00000000-0005-0000-0000-000003000000}"/>
  </cellStyles>
  <dxfs count="7">
    <dxf>
      <font>
        <b val="0"/>
        <i val="0"/>
        <strike val="0"/>
        <u val="none"/>
        <color rgb="FF1F1C1B"/>
        <family val="2"/>
      </font>
      <fill>
        <patternFill patternType="solid">
          <fgColor rgb="FF00FF00"/>
          <bgColor rgb="FF00FF00"/>
        </patternFill>
      </fill>
    </dxf>
    <dxf>
      <font>
        <color rgb="FF1F1C1B"/>
        <family val="2"/>
      </font>
      <fill>
        <patternFill patternType="solid">
          <fgColor rgb="FF00FF00"/>
          <bgColor rgb="FF00FF00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u val="none"/>
        <color rgb="FF1F1C1B"/>
        <family val="2"/>
      </font>
      <fill>
        <patternFill patternType="solid">
          <fgColor rgb="FF00FF00"/>
          <bgColor rgb="FF00FF00"/>
        </patternFill>
      </fill>
    </dxf>
    <dxf>
      <font>
        <color rgb="FF1F1C1B"/>
        <family val="2"/>
      </font>
      <fill>
        <patternFill patternType="solid">
          <fgColor rgb="FF00FF00"/>
          <bgColor rgb="FF00FF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91117478510205"/>
          <c:y val="7.7381177284392699E-2"/>
          <c:w val="0.82664756446991405"/>
          <c:h val="0.71726398944379399"/>
        </c:manualLayout>
      </c:layout>
      <c:scatterChart>
        <c:scatterStyle val="smoothMarker"/>
        <c:varyColors val="0"/>
        <c:ser>
          <c:idx val="0"/>
          <c:order val="0"/>
          <c:tx>
            <c:v>Fuel consumption/hh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xVal>
            <c:numRef>
              <c:f>'[1]Thermal Output'!$C$6:$L$6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'[1]Thermal Output'!$C$7:$L$7</c:f>
              <c:numCache>
                <c:formatCode>General</c:formatCode>
                <c:ptCount val="10"/>
                <c:pt idx="0">
                  <c:v>4.2038030023640669</c:v>
                </c:pt>
                <c:pt idx="1">
                  <c:v>2.1019015011820334</c:v>
                </c:pt>
                <c:pt idx="2">
                  <c:v>1.4012676674546889</c:v>
                </c:pt>
                <c:pt idx="3">
                  <c:v>1.0509507505910167</c:v>
                </c:pt>
                <c:pt idx="4">
                  <c:v>0.84076060047281342</c:v>
                </c:pt>
                <c:pt idx="5">
                  <c:v>0.70063383372734445</c:v>
                </c:pt>
                <c:pt idx="6">
                  <c:v>0.60054328605200957</c:v>
                </c:pt>
                <c:pt idx="7">
                  <c:v>0.52547537529550836</c:v>
                </c:pt>
                <c:pt idx="8">
                  <c:v>0.46708922248489632</c:v>
                </c:pt>
                <c:pt idx="9">
                  <c:v>0.42038030023640671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FDC-4DCB-B73E-4E5DB4F7B905}"/>
            </c:ext>
          </c:extLst>
        </c:ser>
        <c:ser>
          <c:idx val="1"/>
          <c:order val="1"/>
          <c:tx>
            <c:v>Power output/stove (one stove/hh)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xVal>
            <c:numRef>
              <c:f>'[1]Thermal Output'!$C$6:$L$6</c:f>
              <c:numCache>
                <c:formatCode>General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numCache>
            </c:numRef>
          </c:xVal>
          <c:yVal>
            <c:numRef>
              <c:f>'[1]Thermal Output'!$C$9:$L$9</c:f>
              <c:numCache>
                <c:formatCode>General</c:formatCode>
                <c:ptCount val="10"/>
                <c:pt idx="0">
                  <c:v>1.7782086700000002</c:v>
                </c:pt>
                <c:pt idx="1">
                  <c:v>0.88910433500000008</c:v>
                </c:pt>
                <c:pt idx="2">
                  <c:v>0.59273622333333342</c:v>
                </c:pt>
                <c:pt idx="3">
                  <c:v>0.44455216750000004</c:v>
                </c:pt>
                <c:pt idx="4">
                  <c:v>0.35564173400000004</c:v>
                </c:pt>
                <c:pt idx="5">
                  <c:v>0.29636811166666671</c:v>
                </c:pt>
                <c:pt idx="6">
                  <c:v>0.25402981000000002</c:v>
                </c:pt>
                <c:pt idx="7">
                  <c:v>0.22227608375000002</c:v>
                </c:pt>
                <c:pt idx="8">
                  <c:v>0.19757874111111112</c:v>
                </c:pt>
                <c:pt idx="9">
                  <c:v>0.17782086700000002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2FDC-4DCB-B73E-4E5DB4F7B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68800"/>
        <c:axId val="85103744"/>
      </c:scatterChart>
      <c:valAx>
        <c:axId val="85068800"/>
        <c:scaling>
          <c:orientation val="minMax"/>
          <c:max val="11"/>
        </c:scaling>
        <c:delete val="0"/>
        <c:axPos val="b"/>
        <c:title>
          <c:tx>
            <c:rich>
              <a:bodyPr/>
              <a:lstStyle/>
              <a:p>
                <a:pPr>
                  <a:defRPr lang="it-IT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Estimated daily use of stove (hours)</a:t>
                </a:r>
              </a:p>
            </c:rich>
          </c:tx>
          <c:layout>
            <c:manualLayout>
              <c:xMode val="edge"/>
              <c:yMode val="edge"/>
              <c:x val="0.36962750716332415"/>
              <c:y val="0.8869072615923007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it-IT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IT"/>
          </a:p>
        </c:txPr>
        <c:crossAx val="85103744"/>
        <c:crosses val="autoZero"/>
        <c:crossBetween val="midCat"/>
        <c:majorUnit val="1"/>
      </c:valAx>
      <c:valAx>
        <c:axId val="851037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lang="it-IT"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Power (kW)</a:t>
                </a:r>
              </a:p>
            </c:rich>
          </c:tx>
          <c:layout>
            <c:manualLayout>
              <c:xMode val="edge"/>
              <c:yMode val="edge"/>
              <c:x val="2.2922636103151803E-2"/>
              <c:y val="0.32142950881139914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lang="it-IT"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IT"/>
          </a:p>
        </c:txPr>
        <c:crossAx val="85068800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277936962750716"/>
          <c:y val="0.14583364579427607"/>
          <c:w val="0.29917828138519231"/>
          <c:h val="0.1550051698083190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it-IT"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IT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IT"/>
    </a:p>
  </c:txPr>
  <c:printSettings>
    <c:headerFooter alignWithMargins="0"/>
    <c:pageMargins b="1" l="0.75000000000000833" r="0.75000000000000833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15</xdr:row>
      <xdr:rowOff>123825</xdr:rowOff>
    </xdr:from>
    <xdr:to>
      <xdr:col>6</xdr:col>
      <xdr:colOff>400050</xdr:colOff>
      <xdr:row>35</xdr:row>
      <xdr:rowOff>85725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arbonsink.sharepoint.com/Users/CarbonSink/Dropbox/CarbonSinkGroup_2011/CLIENTI/cooking%20stove/cooking%20stove/GS%20VPA%202-3/Final%20version%20PDD/GS%204611_%20Ex%20Ante%20Calculations_ver03_29-03-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ral data"/>
      <sheetName val="Baseline"/>
      <sheetName val="Project"/>
      <sheetName val="ERs"/>
      <sheetName val="Thermal Output"/>
    </sheetNames>
    <sheetDataSet>
      <sheetData sheetId="0"/>
      <sheetData sheetId="1"/>
      <sheetData sheetId="2"/>
      <sheetData sheetId="3"/>
      <sheetData sheetId="4">
        <row r="6">
          <cell r="C6">
            <v>1</v>
          </cell>
          <cell r="D6">
            <v>2</v>
          </cell>
          <cell r="E6">
            <v>3</v>
          </cell>
          <cell r="F6">
            <v>4</v>
          </cell>
          <cell r="G6">
            <v>5</v>
          </cell>
          <cell r="H6">
            <v>6</v>
          </cell>
          <cell r="I6">
            <v>7</v>
          </cell>
          <cell r="J6">
            <v>8</v>
          </cell>
          <cell r="K6">
            <v>9</v>
          </cell>
          <cell r="L6">
            <v>10</v>
          </cell>
        </row>
        <row r="7">
          <cell r="C7">
            <v>4.2038030023640669</v>
          </cell>
          <cell r="D7">
            <v>2.1019015011820334</v>
          </cell>
          <cell r="E7">
            <v>1.4012676674546889</v>
          </cell>
          <cell r="F7">
            <v>1.0509507505910167</v>
          </cell>
          <cell r="G7">
            <v>0.84076060047281342</v>
          </cell>
          <cell r="H7">
            <v>0.70063383372734445</v>
          </cell>
          <cell r="I7">
            <v>0.60054328605200957</v>
          </cell>
          <cell r="J7">
            <v>0.52547537529550836</v>
          </cell>
          <cell r="K7">
            <v>0.46708922248489632</v>
          </cell>
          <cell r="L7">
            <v>0.42038030023640671</v>
          </cell>
        </row>
        <row r="9">
          <cell r="C9">
            <v>1.7782086700000002</v>
          </cell>
          <cell r="D9">
            <v>0.88910433500000008</v>
          </cell>
          <cell r="E9">
            <v>0.59273622333333342</v>
          </cell>
          <cell r="F9">
            <v>0.44455216750000004</v>
          </cell>
          <cell r="G9">
            <v>0.35564173400000004</v>
          </cell>
          <cell r="H9">
            <v>0.29636811166666671</v>
          </cell>
          <cell r="I9">
            <v>0.25402981000000002</v>
          </cell>
          <cell r="J9">
            <v>0.22227608375000002</v>
          </cell>
          <cell r="K9">
            <v>0.19757874111111112</v>
          </cell>
          <cell r="L9">
            <v>0.17782086700000002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pcc-nggip.iges.or.jp/public/2006gl/pdf/2_Volume2/V2_2_Ch2_Stationary_Combustion.pdf" TargetMode="External"/><Relationship Id="rId3" Type="http://schemas.openxmlformats.org/officeDocument/2006/relationships/hyperlink" Target="http://cdm.unfccc.int/DNA/fNRB/index.html" TargetMode="External"/><Relationship Id="rId7" Type="http://schemas.openxmlformats.org/officeDocument/2006/relationships/hyperlink" Target="http://www.ipcc-nggip.iges.or.jp/public/2006gl/pdf/2_Volume2/V2_2_Ch2_Stationary_Combustion.pdf" TargetMode="External"/><Relationship Id="rId2" Type="http://schemas.openxmlformats.org/officeDocument/2006/relationships/hyperlink" Target="http://www.ipcc-nggip.iges.or.jp/public/2006gl/pdf/2_Volume2/V2_2_Ch2_Stationary_Combustion.pdf" TargetMode="External"/><Relationship Id="rId1" Type="http://schemas.openxmlformats.org/officeDocument/2006/relationships/hyperlink" Target="http://www.ipcc-nggip.iges.or.jp/public/gl/guidelin/ch1ref3.pdf" TargetMode="External"/><Relationship Id="rId6" Type="http://schemas.openxmlformats.org/officeDocument/2006/relationships/hyperlink" Target="http://www.ipcc-nggip.iges.or.jp/public/2006gl/pdf/2_Volume2/V2_2_Ch2_Stationary_Combustion.pdf" TargetMode="External"/><Relationship Id="rId5" Type="http://schemas.openxmlformats.org/officeDocument/2006/relationships/hyperlink" Target="http://www.ipcc-nggip.iges.or.jp/public/2006gl/pdf/2_Volume2/V2_2_Ch2_Stationary_Combustion.pdf" TargetMode="External"/><Relationship Id="rId4" Type="http://schemas.openxmlformats.org/officeDocument/2006/relationships/hyperlink" Target="http://www.ipcc-nggip.iges.or.jp/public/gl/guidelin/ch1ref3.pdf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G42"/>
  <sheetViews>
    <sheetView tabSelected="1" zoomScale="110" zoomScaleNormal="110" workbookViewId="0">
      <selection activeCell="F7" sqref="F7"/>
    </sheetView>
  </sheetViews>
  <sheetFormatPr baseColWidth="10" defaultColWidth="8.83203125" defaultRowHeight="15" x14ac:dyDescent="0.2"/>
  <cols>
    <col min="1" max="1" width="15" customWidth="1"/>
    <col min="2" max="2" width="17" customWidth="1"/>
    <col min="3" max="3" width="17.1640625" customWidth="1"/>
    <col min="4" max="4" width="72.5" customWidth="1"/>
    <col min="5" max="5" width="20.83203125" customWidth="1"/>
    <col min="6" max="6" width="84.83203125" customWidth="1"/>
  </cols>
  <sheetData>
    <row r="3" spans="1:7" ht="32" x14ac:dyDescent="0.2">
      <c r="A3" s="13" t="s">
        <v>1</v>
      </c>
      <c r="B3" s="14" t="s">
        <v>2</v>
      </c>
      <c r="C3" s="14" t="s">
        <v>3</v>
      </c>
      <c r="D3" s="13" t="s">
        <v>4</v>
      </c>
      <c r="E3" s="13" t="s">
        <v>5</v>
      </c>
      <c r="F3" s="13" t="s">
        <v>6</v>
      </c>
    </row>
    <row r="4" spans="1:7" ht="72" customHeight="1" x14ac:dyDescent="0.25">
      <c r="A4" s="8" t="s">
        <v>7</v>
      </c>
      <c r="B4" s="38">
        <v>0.14899999999999999</v>
      </c>
      <c r="C4" s="38" t="s">
        <v>8</v>
      </c>
      <c r="D4" s="2" t="s">
        <v>9</v>
      </c>
      <c r="E4" s="10" t="s">
        <v>10</v>
      </c>
      <c r="F4" s="123" t="s">
        <v>11</v>
      </c>
    </row>
    <row r="5" spans="1:7" ht="36" customHeight="1" x14ac:dyDescent="0.25">
      <c r="A5" s="8" t="s">
        <v>12</v>
      </c>
      <c r="B5" s="38">
        <v>0.02</v>
      </c>
      <c r="C5" s="38" t="s">
        <v>8</v>
      </c>
      <c r="D5" s="2" t="s">
        <v>13</v>
      </c>
      <c r="E5" s="10" t="s">
        <v>10</v>
      </c>
      <c r="F5" s="123" t="s">
        <v>11</v>
      </c>
    </row>
    <row r="6" spans="1:7" ht="36" customHeight="1" x14ac:dyDescent="0.25">
      <c r="A6" s="8" t="s">
        <v>14</v>
      </c>
      <c r="B6" s="139" t="s">
        <v>252</v>
      </c>
      <c r="C6" s="10" t="s">
        <v>15</v>
      </c>
      <c r="D6" s="15" t="s">
        <v>16</v>
      </c>
      <c r="E6" s="10" t="s">
        <v>17</v>
      </c>
      <c r="F6" s="124" t="s">
        <v>18</v>
      </c>
    </row>
    <row r="7" spans="1:7" ht="54.75" customHeight="1" x14ac:dyDescent="0.2">
      <c r="A7" s="8" t="s">
        <v>19</v>
      </c>
      <c r="B7" s="98">
        <f>(B26*B29+B27*B31)/1000</f>
        <v>4.7299999999999995E-4</v>
      </c>
      <c r="C7" s="10" t="s">
        <v>20</v>
      </c>
      <c r="D7" s="15" t="s">
        <v>21</v>
      </c>
      <c r="E7" s="15" t="s">
        <v>22</v>
      </c>
      <c r="F7" s="125" t="s">
        <v>23</v>
      </c>
    </row>
    <row r="8" spans="1:7" ht="54.75" customHeight="1" x14ac:dyDescent="0.2">
      <c r="A8" s="8" t="s">
        <v>24</v>
      </c>
      <c r="B8" s="98">
        <f>(B26*B29+B27*B31)/1000</f>
        <v>4.7299999999999995E-4</v>
      </c>
      <c r="C8" s="10" t="s">
        <v>20</v>
      </c>
      <c r="D8" s="15" t="s">
        <v>25</v>
      </c>
      <c r="E8" s="15" t="s">
        <v>22</v>
      </c>
      <c r="F8" s="125" t="s">
        <v>23</v>
      </c>
    </row>
    <row r="9" spans="1:7" ht="62.25" customHeight="1" x14ac:dyDescent="0.25">
      <c r="A9" s="44" t="s">
        <v>26</v>
      </c>
      <c r="B9" s="10">
        <v>7</v>
      </c>
      <c r="C9" s="10" t="s">
        <v>27</v>
      </c>
      <c r="D9" s="15" t="s">
        <v>28</v>
      </c>
      <c r="E9" s="10" t="s">
        <v>17</v>
      </c>
      <c r="F9" s="126" t="s">
        <v>274</v>
      </c>
    </row>
    <row r="10" spans="1:7" ht="54.75" customHeight="1" x14ac:dyDescent="0.25">
      <c r="A10" s="43" t="s">
        <v>29</v>
      </c>
      <c r="B10" s="38">
        <v>0</v>
      </c>
      <c r="C10" s="38" t="s">
        <v>27</v>
      </c>
      <c r="D10" s="2" t="s">
        <v>30</v>
      </c>
      <c r="E10" s="10" t="s">
        <v>17</v>
      </c>
      <c r="F10" s="126" t="s">
        <v>275</v>
      </c>
    </row>
    <row r="11" spans="1:7" ht="54.75" customHeight="1" x14ac:dyDescent="0.25">
      <c r="A11" s="44" t="s">
        <v>31</v>
      </c>
      <c r="B11" s="10">
        <v>0</v>
      </c>
      <c r="C11" s="10" t="s">
        <v>27</v>
      </c>
      <c r="D11" s="15" t="s">
        <v>32</v>
      </c>
      <c r="E11" s="10" t="s">
        <v>17</v>
      </c>
      <c r="F11" s="126" t="str">
        <f>+F10</f>
        <v xml:space="preserve">
WCFT made in 2023. Please refer to  "WCFT Report2023"</v>
      </c>
    </row>
    <row r="12" spans="1:7" ht="54.75" customHeight="1" x14ac:dyDescent="0.25">
      <c r="A12" s="37" t="s">
        <v>33</v>
      </c>
      <c r="B12" s="10">
        <v>0.72</v>
      </c>
      <c r="C12" s="10" t="s">
        <v>34</v>
      </c>
      <c r="D12" s="15" t="s">
        <v>35</v>
      </c>
      <c r="E12" s="15" t="s">
        <v>36</v>
      </c>
      <c r="F12" s="124" t="s">
        <v>37</v>
      </c>
      <c r="G12" s="5" t="s">
        <v>38</v>
      </c>
    </row>
    <row r="13" spans="1:7" ht="54.75" customHeight="1" x14ac:dyDescent="0.25">
      <c r="A13" s="8" t="s">
        <v>39</v>
      </c>
      <c r="B13" s="10">
        <v>112</v>
      </c>
      <c r="C13" s="10" t="s">
        <v>40</v>
      </c>
      <c r="D13" s="15" t="s">
        <v>41</v>
      </c>
      <c r="E13" s="10" t="s">
        <v>10</v>
      </c>
      <c r="F13" s="125" t="s">
        <v>42</v>
      </c>
      <c r="G13" s="5" t="s">
        <v>43</v>
      </c>
    </row>
    <row r="14" spans="1:7" ht="54.75" customHeight="1" x14ac:dyDescent="0.25">
      <c r="A14" s="8" t="s">
        <v>44</v>
      </c>
      <c r="B14" s="10">
        <v>8.6920000000000002</v>
      </c>
      <c r="C14" s="10" t="s">
        <v>40</v>
      </c>
      <c r="D14" s="15" t="s">
        <v>45</v>
      </c>
      <c r="E14" s="10" t="s">
        <v>10</v>
      </c>
      <c r="F14" s="125" t="s">
        <v>42</v>
      </c>
      <c r="G14" s="5" t="s">
        <v>43</v>
      </c>
    </row>
    <row r="15" spans="1:7" ht="54.75" customHeight="1" x14ac:dyDescent="0.25">
      <c r="A15" s="8" t="s">
        <v>213</v>
      </c>
      <c r="B15" s="10">
        <f>(300/1000*28)+(4/1000*265)</f>
        <v>9.4600000000000009</v>
      </c>
      <c r="C15" s="10" t="s">
        <v>40</v>
      </c>
      <c r="D15" s="15" t="s">
        <v>45</v>
      </c>
      <c r="E15" s="10" t="s">
        <v>10</v>
      </c>
      <c r="F15" s="121" t="s">
        <v>214</v>
      </c>
      <c r="G15" s="122" t="s">
        <v>43</v>
      </c>
    </row>
    <row r="16" spans="1:7" ht="54.75" customHeight="1" x14ac:dyDescent="0.25">
      <c r="A16" s="8" t="s">
        <v>46</v>
      </c>
      <c r="B16" s="10">
        <v>112</v>
      </c>
      <c r="C16" s="10" t="s">
        <v>40</v>
      </c>
      <c r="D16" s="15" t="s">
        <v>45</v>
      </c>
      <c r="E16" s="10" t="s">
        <v>10</v>
      </c>
      <c r="F16" s="125" t="s">
        <v>42</v>
      </c>
      <c r="G16" s="4" t="s">
        <v>43</v>
      </c>
    </row>
    <row r="17" spans="1:7" ht="54.75" customHeight="1" x14ac:dyDescent="0.25">
      <c r="A17" s="8" t="s">
        <v>47</v>
      </c>
      <c r="B17" s="10">
        <v>8.6920000000000002</v>
      </c>
      <c r="C17" s="10" t="s">
        <v>40</v>
      </c>
      <c r="D17" s="15" t="s">
        <v>48</v>
      </c>
      <c r="E17" s="10" t="s">
        <v>10</v>
      </c>
      <c r="F17" s="125" t="s">
        <v>42</v>
      </c>
      <c r="G17" s="5" t="s">
        <v>43</v>
      </c>
    </row>
    <row r="18" spans="1:7" ht="54.75" customHeight="1" x14ac:dyDescent="0.25">
      <c r="A18" s="8" t="s">
        <v>49</v>
      </c>
      <c r="B18" s="10">
        <v>1.5599999999999999E-2</v>
      </c>
      <c r="C18" s="10" t="s">
        <v>50</v>
      </c>
      <c r="D18" s="10" t="s">
        <v>51</v>
      </c>
      <c r="E18" s="10" t="s">
        <v>10</v>
      </c>
      <c r="F18" s="125" t="s">
        <v>42</v>
      </c>
      <c r="G18" s="1" t="s">
        <v>52</v>
      </c>
    </row>
    <row r="19" spans="1:7" ht="54.75" customHeight="1" x14ac:dyDescent="0.25">
      <c r="A19" s="8" t="s">
        <v>53</v>
      </c>
      <c r="B19" s="10">
        <v>1.5599999999999999E-2</v>
      </c>
      <c r="C19" s="10" t="s">
        <v>50</v>
      </c>
      <c r="D19" s="10" t="s">
        <v>54</v>
      </c>
      <c r="E19" s="10" t="s">
        <v>10</v>
      </c>
      <c r="F19" s="125" t="s">
        <v>42</v>
      </c>
      <c r="G19" s="1" t="s">
        <v>52</v>
      </c>
    </row>
    <row r="20" spans="1:7" ht="33" x14ac:dyDescent="0.25">
      <c r="A20" s="8" t="s">
        <v>55</v>
      </c>
      <c r="B20" s="10">
        <v>0.95</v>
      </c>
      <c r="C20" s="10" t="s">
        <v>8</v>
      </c>
      <c r="D20" s="15" t="s">
        <v>56</v>
      </c>
      <c r="E20" s="10" t="s">
        <v>17</v>
      </c>
      <c r="F20" s="123" t="s">
        <v>217</v>
      </c>
    </row>
    <row r="21" spans="1:7" ht="18" x14ac:dyDescent="0.25">
      <c r="A21" s="8" t="s">
        <v>57</v>
      </c>
      <c r="B21" s="10">
        <v>0</v>
      </c>
      <c r="C21" s="10" t="s">
        <v>58</v>
      </c>
      <c r="D21" s="15" t="s">
        <v>59</v>
      </c>
      <c r="E21" s="10" t="s">
        <v>17</v>
      </c>
      <c r="F21" s="123" t="s">
        <v>218</v>
      </c>
    </row>
    <row r="22" spans="1:7" ht="16" x14ac:dyDescent="0.2">
      <c r="A22" s="38" t="s">
        <v>60</v>
      </c>
      <c r="B22" s="139" t="s">
        <v>252</v>
      </c>
      <c r="C22" s="45" t="s">
        <v>15</v>
      </c>
      <c r="D22" s="46" t="s">
        <v>61</v>
      </c>
      <c r="E22" s="10" t="s">
        <v>17</v>
      </c>
      <c r="F22" s="15" t="s">
        <v>18</v>
      </c>
    </row>
    <row r="23" spans="1:7" x14ac:dyDescent="0.2">
      <c r="A23" s="16"/>
      <c r="D23" s="17"/>
    </row>
    <row r="24" spans="1:7" x14ac:dyDescent="0.2">
      <c r="A24" s="18" t="s">
        <v>62</v>
      </c>
      <c r="D24" s="17"/>
    </row>
    <row r="25" spans="1:7" ht="32" x14ac:dyDescent="0.2">
      <c r="A25" s="13" t="s">
        <v>1</v>
      </c>
      <c r="B25" s="14" t="s">
        <v>2</v>
      </c>
      <c r="C25" s="14" t="s">
        <v>3</v>
      </c>
      <c r="D25" s="13" t="s">
        <v>4</v>
      </c>
      <c r="E25" s="13" t="s">
        <v>5</v>
      </c>
      <c r="F25" s="13" t="s">
        <v>6</v>
      </c>
    </row>
    <row r="26" spans="1:7" ht="48" x14ac:dyDescent="0.2">
      <c r="A26" s="2" t="s">
        <v>63</v>
      </c>
      <c r="B26" s="39">
        <v>0.27</v>
      </c>
      <c r="C26" s="10" t="s">
        <v>8</v>
      </c>
      <c r="D26" s="15" t="s">
        <v>64</v>
      </c>
      <c r="E26" s="15" t="s">
        <v>22</v>
      </c>
      <c r="F26" s="123" t="s">
        <v>216</v>
      </c>
    </row>
    <row r="27" spans="1:7" ht="48" x14ac:dyDescent="0.2">
      <c r="A27" s="2" t="s">
        <v>65</v>
      </c>
      <c r="B27" s="39">
        <f>1-B26</f>
        <v>0.73</v>
      </c>
      <c r="C27" s="10" t="s">
        <v>8</v>
      </c>
      <c r="D27" s="15" t="s">
        <v>66</v>
      </c>
      <c r="E27" s="15" t="s">
        <v>22</v>
      </c>
      <c r="F27" s="123" t="s">
        <v>216</v>
      </c>
    </row>
    <row r="28" spans="1:7" ht="32" x14ac:dyDescent="0.2">
      <c r="A28" s="8" t="s">
        <v>67</v>
      </c>
      <c r="B28" s="38">
        <v>4</v>
      </c>
      <c r="C28" s="8" t="s">
        <v>68</v>
      </c>
      <c r="D28" s="8" t="s">
        <v>69</v>
      </c>
      <c r="E28" s="10" t="s">
        <v>10</v>
      </c>
      <c r="F28" s="95" t="s">
        <v>70</v>
      </c>
      <c r="G28" s="5" t="s">
        <v>71</v>
      </c>
    </row>
    <row r="29" spans="1:7" ht="33" x14ac:dyDescent="0.25">
      <c r="A29" s="8" t="s">
        <v>72</v>
      </c>
      <c r="B29" s="39">
        <v>0.4</v>
      </c>
      <c r="C29" s="10" t="s">
        <v>73</v>
      </c>
      <c r="D29" s="15" t="s">
        <v>74</v>
      </c>
      <c r="E29" s="10" t="s">
        <v>10</v>
      </c>
      <c r="F29" s="10" t="s">
        <v>75</v>
      </c>
    </row>
    <row r="30" spans="1:7" ht="32" x14ac:dyDescent="0.2">
      <c r="A30" s="8" t="s">
        <v>76</v>
      </c>
      <c r="B30" s="96">
        <v>0.125</v>
      </c>
      <c r="C30" s="10" t="s">
        <v>73</v>
      </c>
      <c r="D30" s="15" t="s">
        <v>77</v>
      </c>
      <c r="E30" s="10" t="s">
        <v>10</v>
      </c>
      <c r="F30" s="10" t="s">
        <v>215</v>
      </c>
    </row>
    <row r="31" spans="1:7" ht="36" x14ac:dyDescent="0.25">
      <c r="A31" s="8" t="s">
        <v>78</v>
      </c>
      <c r="B31" s="38">
        <f>B28*B30</f>
        <v>0.5</v>
      </c>
      <c r="C31" s="10" t="s">
        <v>73</v>
      </c>
      <c r="D31" s="15" t="s">
        <v>79</v>
      </c>
      <c r="E31" s="10" t="s">
        <v>10</v>
      </c>
      <c r="F31" s="10" t="s">
        <v>80</v>
      </c>
    </row>
    <row r="36" spans="2:4" x14ac:dyDescent="0.2">
      <c r="D36" s="41"/>
    </row>
    <row r="37" spans="2:4" x14ac:dyDescent="0.2">
      <c r="D37" s="41"/>
    </row>
    <row r="38" spans="2:4" x14ac:dyDescent="0.2">
      <c r="D38" s="40"/>
    </row>
    <row r="39" spans="2:4" x14ac:dyDescent="0.2">
      <c r="D39" s="41"/>
    </row>
    <row r="40" spans="2:4" x14ac:dyDescent="0.2">
      <c r="D40" s="41"/>
    </row>
    <row r="41" spans="2:4" x14ac:dyDescent="0.2">
      <c r="D41" s="41"/>
    </row>
    <row r="42" spans="2:4" x14ac:dyDescent="0.2">
      <c r="B42" s="35"/>
      <c r="D42" s="40"/>
    </row>
  </sheetData>
  <hyperlinks>
    <hyperlink ref="F28" r:id="rId1" display="http://www.ipcc-nggip.iges.or.jp/public/gl/guidelin/ch1ref3.pdf" xr:uid="{00000000-0004-0000-0000-000000000000}"/>
    <hyperlink ref="G13" r:id="rId2" xr:uid="{00000000-0004-0000-0000-000001000000}"/>
    <hyperlink ref="G12" r:id="rId3" xr:uid="{00000000-0004-0000-0000-000002000000}"/>
    <hyperlink ref="G28" r:id="rId4" xr:uid="{00000000-0004-0000-0000-000003000000}"/>
    <hyperlink ref="G14" r:id="rId5" xr:uid="{00000000-0004-0000-0000-000004000000}"/>
    <hyperlink ref="G17" r:id="rId6" xr:uid="{00000000-0004-0000-0000-000006000000}"/>
    <hyperlink ref="G16" r:id="rId7" xr:uid="{00000000-0004-0000-0000-000005000000}"/>
    <hyperlink ref="G15" r:id="rId8" xr:uid="{64CF31BD-A06E-45C9-BAE1-7B40C71733C9}"/>
  </hyperlinks>
  <pageMargins left="0.7" right="0.7" top="0.75" bottom="0.75" header="0.3" footer="0.3"/>
  <pageSetup paperSize="9"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X71"/>
  <sheetViews>
    <sheetView zoomScale="120" zoomScaleNormal="120" workbookViewId="0">
      <selection activeCell="P31" sqref="P31:P32"/>
    </sheetView>
  </sheetViews>
  <sheetFormatPr baseColWidth="10" defaultColWidth="8.83203125" defaultRowHeight="15" x14ac:dyDescent="0.2"/>
  <cols>
    <col min="1" max="1" width="19.5" customWidth="1"/>
    <col min="2" max="2" width="18.5" bestFit="1" customWidth="1"/>
    <col min="3" max="3" width="13.5" bestFit="1" customWidth="1"/>
    <col min="4" max="4" width="10.5" bestFit="1" customWidth="1"/>
    <col min="5" max="5" width="15.6640625" bestFit="1" customWidth="1"/>
    <col min="6" max="6" width="15.5" customWidth="1"/>
    <col min="7" max="7" width="9.83203125" bestFit="1" customWidth="1"/>
    <col min="8" max="8" width="10" bestFit="1" customWidth="1"/>
    <col min="9" max="9" width="12.6640625" bestFit="1" customWidth="1"/>
    <col min="11" max="11" width="13" customWidth="1"/>
    <col min="15" max="15" width="14.83203125" customWidth="1"/>
    <col min="16" max="16" width="12.33203125" customWidth="1"/>
    <col min="17" max="17" width="14" customWidth="1"/>
    <col min="18" max="18" width="12.1640625" customWidth="1"/>
    <col min="22" max="22" width="13.6640625" customWidth="1"/>
  </cols>
  <sheetData>
    <row r="2" spans="1:24" ht="16" x14ac:dyDescent="0.2">
      <c r="A2" s="12" t="s">
        <v>81</v>
      </c>
      <c r="B2" s="12"/>
      <c r="C2" s="12"/>
      <c r="D2" s="12"/>
      <c r="E2" s="12"/>
      <c r="F2" s="6"/>
      <c r="G2" s="6"/>
      <c r="H2" s="6"/>
      <c r="I2" s="6"/>
      <c r="J2" s="6"/>
    </row>
    <row r="3" spans="1:24" ht="16" x14ac:dyDescent="0.2">
      <c r="A3" s="3" t="s">
        <v>82</v>
      </c>
      <c r="B3" s="3"/>
      <c r="C3" s="3"/>
      <c r="D3" s="3"/>
      <c r="E3" s="3"/>
      <c r="F3" s="11" t="s">
        <v>83</v>
      </c>
    </row>
    <row r="4" spans="1:24" x14ac:dyDescent="0.2">
      <c r="P4" s="17"/>
      <c r="Q4" s="17"/>
      <c r="R4" s="17"/>
    </row>
    <row r="5" spans="1:24" ht="16" x14ac:dyDescent="0.2">
      <c r="A5" s="12" t="s">
        <v>84</v>
      </c>
      <c r="B5" s="12"/>
      <c r="C5" s="12"/>
      <c r="D5" s="12"/>
      <c r="E5" s="12"/>
      <c r="F5" s="6"/>
      <c r="G5" s="6"/>
      <c r="H5" s="6"/>
      <c r="I5" s="6"/>
      <c r="J5" s="6"/>
    </row>
    <row r="6" spans="1:24" ht="16" x14ac:dyDescent="0.2">
      <c r="A6" s="3" t="s">
        <v>85</v>
      </c>
      <c r="B6" s="3"/>
      <c r="C6" s="3"/>
      <c r="D6" s="3"/>
      <c r="E6" s="3"/>
      <c r="F6" s="9" t="s">
        <v>86</v>
      </c>
    </row>
    <row r="8" spans="1:24" ht="18" x14ac:dyDescent="0.25">
      <c r="A8" s="12" t="s">
        <v>87</v>
      </c>
      <c r="B8" s="12"/>
      <c r="C8" s="12"/>
      <c r="D8" s="12"/>
      <c r="E8" s="12"/>
      <c r="F8" s="6"/>
      <c r="G8" s="6"/>
      <c r="H8" s="6"/>
      <c r="I8" s="6"/>
      <c r="J8" s="6"/>
      <c r="K8" s="19">
        <f ca="1">+G16+G26</f>
        <v>652680</v>
      </c>
    </row>
    <row r="9" spans="1:24" ht="18" x14ac:dyDescent="0.25">
      <c r="A9" s="3" t="s">
        <v>88</v>
      </c>
      <c r="B9" s="3"/>
      <c r="C9" s="3"/>
      <c r="D9" s="3"/>
      <c r="E9" s="3"/>
      <c r="F9" s="11" t="s">
        <v>89</v>
      </c>
      <c r="K9" s="19">
        <f ca="1">+G17+G27</f>
        <v>526128</v>
      </c>
    </row>
    <row r="10" spans="1:24" ht="18" x14ac:dyDescent="0.25">
      <c r="A10" s="3" t="s">
        <v>90</v>
      </c>
      <c r="B10" s="3"/>
      <c r="C10" s="3"/>
      <c r="D10" s="3"/>
      <c r="E10" s="3"/>
      <c r="F10" s="11" t="s">
        <v>91</v>
      </c>
    </row>
    <row r="11" spans="1:24" ht="16" x14ac:dyDescent="0.2">
      <c r="A11" s="3" t="s">
        <v>92</v>
      </c>
      <c r="B11" s="3"/>
      <c r="C11" s="3"/>
      <c r="D11" s="3"/>
      <c r="E11" s="3"/>
      <c r="F11" s="11" t="s">
        <v>93</v>
      </c>
    </row>
    <row r="14" spans="1:24" ht="57.5" customHeight="1" x14ac:dyDescent="0.2">
      <c r="A14" s="211" t="s">
        <v>94</v>
      </c>
      <c r="B14" s="152" t="s">
        <v>253</v>
      </c>
      <c r="C14" s="153" t="s">
        <v>95</v>
      </c>
      <c r="D14" s="153" t="s">
        <v>96</v>
      </c>
      <c r="E14" s="153" t="s">
        <v>256</v>
      </c>
      <c r="F14" s="154" t="s">
        <v>97</v>
      </c>
      <c r="G14" s="151" t="s">
        <v>98</v>
      </c>
      <c r="H14" s="151" t="s">
        <v>82</v>
      </c>
      <c r="I14" s="151" t="s">
        <v>85</v>
      </c>
      <c r="J14" s="151" t="s">
        <v>88</v>
      </c>
      <c r="K14" s="151" t="s">
        <v>90</v>
      </c>
      <c r="L14" s="151" t="s">
        <v>92</v>
      </c>
      <c r="O14" s="190" t="s">
        <v>272</v>
      </c>
      <c r="P14" s="207" t="s">
        <v>104</v>
      </c>
      <c r="Q14" s="207"/>
      <c r="R14" s="207" t="s">
        <v>105</v>
      </c>
      <c r="S14" s="207"/>
      <c r="T14" s="207" t="s">
        <v>107</v>
      </c>
      <c r="U14" s="207"/>
      <c r="V14" s="15"/>
    </row>
    <row r="15" spans="1:24" ht="41.25" customHeight="1" x14ac:dyDescent="0.2">
      <c r="A15" s="212"/>
      <c r="B15" s="200"/>
      <c r="C15" s="200"/>
      <c r="D15" s="200"/>
      <c r="E15" s="200"/>
      <c r="F15" s="201"/>
      <c r="G15" s="200"/>
      <c r="H15" s="202" t="s">
        <v>99</v>
      </c>
      <c r="I15" s="202" t="s">
        <v>99</v>
      </c>
      <c r="J15" s="202" t="s">
        <v>100</v>
      </c>
      <c r="K15" s="202" t="s">
        <v>100</v>
      </c>
      <c r="L15" s="202" t="s">
        <v>100</v>
      </c>
      <c r="O15" s="10"/>
      <c r="P15" s="138">
        <v>2022</v>
      </c>
      <c r="Q15" s="138">
        <v>2023</v>
      </c>
      <c r="R15" s="138">
        <v>2022</v>
      </c>
      <c r="S15" s="138">
        <v>2023</v>
      </c>
      <c r="T15" s="138">
        <v>2022</v>
      </c>
      <c r="U15" s="138">
        <v>2023</v>
      </c>
      <c r="V15" s="175" t="s">
        <v>116</v>
      </c>
    </row>
    <row r="16" spans="1:24" x14ac:dyDescent="0.2">
      <c r="A16" s="208" t="s">
        <v>219</v>
      </c>
      <c r="B16" s="128" t="s">
        <v>221</v>
      </c>
      <c r="C16" s="129">
        <f ca="1">SUMIF($B$40:$F$71, B16,$C$40:$C$71)</f>
        <v>1500</v>
      </c>
      <c r="D16" s="129">
        <v>123</v>
      </c>
      <c r="E16" s="130">
        <v>0.98</v>
      </c>
      <c r="F16" s="131">
        <f>+D16*E16</f>
        <v>120.53999999999999</v>
      </c>
      <c r="G16" s="132">
        <f ca="1">C16*F16</f>
        <v>180810</v>
      </c>
      <c r="H16" s="132">
        <f ca="1">(1-'General data'!$B$4)*(1-'General data'!$B$5)*G16*'General data'!$B$7*('General data'!$B$9+'General data'!$B$10)</f>
        <v>499.27205970179995</v>
      </c>
      <c r="I16" s="132">
        <f ca="1">(1-'General data'!$B$5)*G16*'General data'!$B$8*('General data'!$B$10+'General data'!$B$11)</f>
        <v>0</v>
      </c>
      <c r="J16" s="132">
        <f ca="1">ROUNDDOWN(H16*(('General data'!$B$12*'General data'!$B$13)+'General data'!$B$15)*'General data'!$B$18,0)</f>
        <v>701</v>
      </c>
      <c r="K16" s="132">
        <f ca="1">I16*(('General data'!$B$12*'General data'!$B$16)+'General data'!$B$17)*'General data'!$B$19</f>
        <v>0</v>
      </c>
      <c r="L16" s="133">
        <f ca="1">ROUNDDOWN((J16-K16)*'General data'!$B$20-'General data'!$B$21, 0)</f>
        <v>665</v>
      </c>
      <c r="O16" s="174" t="s">
        <v>221</v>
      </c>
      <c r="P16" s="26">
        <f ca="1">+K16</f>
        <v>0</v>
      </c>
      <c r="Q16" s="26">
        <f ca="1">+K26</f>
        <v>0</v>
      </c>
      <c r="R16" s="26">
        <f ca="1">+J16</f>
        <v>701</v>
      </c>
      <c r="S16" s="26">
        <f ca="1">+J26</f>
        <v>1831</v>
      </c>
      <c r="T16" s="26">
        <f t="shared" ref="T16:T24" ca="1" si="0">+L16</f>
        <v>665</v>
      </c>
      <c r="U16" s="26">
        <f t="shared" ref="U16:U24" ca="1" si="1">+L26</f>
        <v>1739</v>
      </c>
      <c r="V16" s="176">
        <f ca="1">SUM(T16:U16)</f>
        <v>2404</v>
      </c>
      <c r="X16" s="19"/>
    </row>
    <row r="17" spans="1:24" x14ac:dyDescent="0.2">
      <c r="A17" s="209"/>
      <c r="B17" s="7" t="s">
        <v>227</v>
      </c>
      <c r="C17" s="42">
        <f t="shared" ref="C17:C24" ca="1" si="2">SUMIF($B$40:$F$71, B17,$C$40:$C$71)</f>
        <v>1200</v>
      </c>
      <c r="D17" s="42">
        <v>123</v>
      </c>
      <c r="E17">
        <v>0.97</v>
      </c>
      <c r="F17" s="103">
        <f t="shared" ref="F17" si="3">+D17*E17</f>
        <v>119.31</v>
      </c>
      <c r="G17" s="19">
        <f ca="1">C17*F17</f>
        <v>143172</v>
      </c>
      <c r="H17" s="19">
        <f ca="1">(1-'General data'!$B$4)*(1-'General data'!$B$5)*G17*'General data'!$B$7*('General data'!$B$9+'General data'!$B$10)</f>
        <v>395.34195747815994</v>
      </c>
      <c r="I17" s="19">
        <f ca="1">(1-'General data'!$B$5)*G17*'General data'!$B$8*('General data'!$B$10+'General data'!$B$11)</f>
        <v>0</v>
      </c>
      <c r="J17" s="19">
        <f ca="1">ROUNDDOWN(H17*(('General data'!$B$12*'General data'!$B$13)+'General data'!$B$15)*'General data'!$B$18,0)</f>
        <v>555</v>
      </c>
      <c r="K17" s="19">
        <f ca="1">I17*(('General data'!$B$12*'General data'!$B$16)+'General data'!$B$17)*'General data'!$B$19</f>
        <v>0</v>
      </c>
      <c r="L17" s="203">
        <f ca="1">ROUNDDOWN((J17-K17)*'General data'!$B$20-'General data'!$B$21, 0)</f>
        <v>527</v>
      </c>
      <c r="N17" s="7"/>
      <c r="O17" s="174" t="s">
        <v>227</v>
      </c>
      <c r="P17" s="26">
        <f t="shared" ref="P17:P23" ca="1" si="4">+K17</f>
        <v>0</v>
      </c>
      <c r="Q17" s="26">
        <f t="shared" ref="Q17:Q24" ca="1" si="5">+K27</f>
        <v>0</v>
      </c>
      <c r="R17" s="26">
        <f t="shared" ref="R17:R24" ca="1" si="6">+J17</f>
        <v>555</v>
      </c>
      <c r="S17" s="26">
        <f t="shared" ref="S17:S24" ca="1" si="7">+J27</f>
        <v>1486</v>
      </c>
      <c r="T17" s="26">
        <f t="shared" ca="1" si="0"/>
        <v>527</v>
      </c>
      <c r="U17" s="26">
        <f t="shared" ca="1" si="1"/>
        <v>1411</v>
      </c>
      <c r="V17" s="176">
        <f t="shared" ref="V17:V24" ca="1" si="8">SUM(T17:U17)</f>
        <v>1938</v>
      </c>
      <c r="X17" s="19"/>
    </row>
    <row r="18" spans="1:24" x14ac:dyDescent="0.2">
      <c r="A18" s="209"/>
      <c r="B18" s="7" t="s">
        <v>232</v>
      </c>
      <c r="C18" s="42">
        <f t="shared" ca="1" si="2"/>
        <v>6003</v>
      </c>
      <c r="D18" s="42">
        <v>123</v>
      </c>
      <c r="E18">
        <v>0.96</v>
      </c>
      <c r="F18" s="103">
        <f>+D18*E18</f>
        <v>118.08</v>
      </c>
      <c r="G18" s="19">
        <f t="shared" ref="G18:G34" ca="1" si="9">C18*F18</f>
        <v>708834.24</v>
      </c>
      <c r="H18" s="19">
        <f ca="1">(1-'General data'!$B$4)*(1-'General data'!$B$5)*G18*'General data'!$B$7*('General data'!$B$9+'General data'!$B$10)</f>
        <v>1957.3095016423867</v>
      </c>
      <c r="I18" s="19">
        <f ca="1">(1-'General data'!$B$5)*G18*'General data'!$B$8*('General data'!$B$10+'General data'!$B$11)</f>
        <v>0</v>
      </c>
      <c r="J18" s="19">
        <f ca="1">ROUNDDOWN(H18*(('General data'!$B$12*'General data'!$B$13)+'General data'!$B$15)*'General data'!$B$18,0)</f>
        <v>2751</v>
      </c>
      <c r="K18" s="19">
        <f ca="1">I18*(('General data'!$B$12*'General data'!$B$16)+'General data'!$B$17)*'General data'!$B$19</f>
        <v>0</v>
      </c>
      <c r="L18" s="203">
        <f ca="1">ROUNDDOWN((J18-K18)*'General data'!$B$20-'General data'!$B$21, 0)</f>
        <v>2613</v>
      </c>
      <c r="N18" s="7"/>
      <c r="O18" s="174" t="s">
        <v>232</v>
      </c>
      <c r="P18" s="26">
        <f t="shared" ca="1" si="4"/>
        <v>0</v>
      </c>
      <c r="Q18" s="26">
        <f t="shared" ca="1" si="5"/>
        <v>0</v>
      </c>
      <c r="R18" s="26">
        <f t="shared" ca="1" si="6"/>
        <v>2751</v>
      </c>
      <c r="S18" s="26">
        <f t="shared" ca="1" si="7"/>
        <v>5412</v>
      </c>
      <c r="T18" s="26">
        <f t="shared" ca="1" si="0"/>
        <v>2613</v>
      </c>
      <c r="U18" s="26">
        <f t="shared" ca="1" si="1"/>
        <v>5141</v>
      </c>
      <c r="V18" s="176">
        <f t="shared" ca="1" si="8"/>
        <v>7754</v>
      </c>
      <c r="X18" s="19"/>
    </row>
    <row r="19" spans="1:24" x14ac:dyDescent="0.2">
      <c r="A19" s="209"/>
      <c r="B19" s="7" t="s">
        <v>0</v>
      </c>
      <c r="C19" s="42">
        <f t="shared" ca="1" si="2"/>
        <v>6050</v>
      </c>
      <c r="D19" s="42">
        <v>123</v>
      </c>
      <c r="E19">
        <v>0.96</v>
      </c>
      <c r="F19" s="103">
        <f t="shared" ref="F19:F34" si="10">+D19*E19</f>
        <v>118.08</v>
      </c>
      <c r="G19" s="19">
        <f t="shared" ca="1" si="9"/>
        <v>714384</v>
      </c>
      <c r="H19" s="19">
        <f ca="1">(1-'General data'!$B$4)*(1-'General data'!$B$5)*G19*'General data'!$B$7*('General data'!$B$9+'General data'!$B$10)</f>
        <v>1972.6340971075197</v>
      </c>
      <c r="I19" s="19">
        <f ca="1">(1-'General data'!$B$5)*G19*'General data'!$B$8*('General data'!$B$10+'General data'!$B$11)</f>
        <v>0</v>
      </c>
      <c r="J19" s="19">
        <f ca="1">ROUNDDOWN(H19*(('General data'!$B$12*'General data'!$B$13)+'General data'!$B$15)*'General data'!$B$18,0)</f>
        <v>2772</v>
      </c>
      <c r="K19" s="19">
        <f ca="1">I19*(('General data'!$B$12*'General data'!$B$16)+'General data'!$B$17)*'General data'!$B$19</f>
        <v>0</v>
      </c>
      <c r="L19" s="203">
        <f ca="1">ROUNDDOWN((J19-K19)*'General data'!$B$20-'General data'!$B$21, 0)</f>
        <v>2633</v>
      </c>
      <c r="N19" s="7"/>
      <c r="O19" s="174" t="s">
        <v>0</v>
      </c>
      <c r="P19" s="26">
        <f t="shared" ca="1" si="4"/>
        <v>0</v>
      </c>
      <c r="Q19" s="26">
        <f t="shared" ca="1" si="5"/>
        <v>0</v>
      </c>
      <c r="R19" s="26">
        <f t="shared" ca="1" si="6"/>
        <v>2772</v>
      </c>
      <c r="S19" s="26">
        <f t="shared" ca="1" si="7"/>
        <v>5455</v>
      </c>
      <c r="T19" s="26">
        <f t="shared" ca="1" si="0"/>
        <v>2633</v>
      </c>
      <c r="U19" s="26">
        <f t="shared" ca="1" si="1"/>
        <v>5182</v>
      </c>
      <c r="V19" s="176">
        <f t="shared" ca="1" si="8"/>
        <v>7815</v>
      </c>
      <c r="X19" s="19"/>
    </row>
    <row r="20" spans="1:24" x14ac:dyDescent="0.2">
      <c r="A20" s="209"/>
      <c r="B20" s="7" t="s">
        <v>236</v>
      </c>
      <c r="C20" s="42">
        <f t="shared" ca="1" si="2"/>
        <v>6017</v>
      </c>
      <c r="D20" s="42">
        <v>123</v>
      </c>
      <c r="E20">
        <v>0.96</v>
      </c>
      <c r="F20" s="103">
        <f t="shared" si="10"/>
        <v>118.08</v>
      </c>
      <c r="G20" s="19">
        <f t="shared" ca="1" si="9"/>
        <v>710487.36</v>
      </c>
      <c r="H20" s="19">
        <f ca="1">(1-'General data'!$B$4)*(1-'General data'!$B$5)*G20*'General data'!$B$7*('General data'!$B$9+'General data'!$B$10)</f>
        <v>1961.8742747596602</v>
      </c>
      <c r="I20" s="19">
        <f ca="1">(1-'General data'!$B$5)*G20*'General data'!$B$8*('General data'!$B$10+'General data'!$B$11)</f>
        <v>0</v>
      </c>
      <c r="J20" s="19">
        <f ca="1">ROUNDDOWN(H20*(('General data'!$B$12*'General data'!$B$13)+'General data'!$B$15)*'General data'!$B$18,0)</f>
        <v>2757</v>
      </c>
      <c r="K20" s="19">
        <f ca="1">I20*(('General data'!$B$12*'General data'!$B$16)+'General data'!$B$17)*'General data'!$B$19</f>
        <v>0</v>
      </c>
      <c r="L20" s="203">
        <f ca="1">ROUNDDOWN((J20-K20)*'General data'!$B$20-'General data'!$B$21, 0)</f>
        <v>2619</v>
      </c>
      <c r="N20" s="7"/>
      <c r="O20" s="174" t="s">
        <v>236</v>
      </c>
      <c r="P20" s="26">
        <f t="shared" ca="1" si="4"/>
        <v>0</v>
      </c>
      <c r="Q20" s="26">
        <f t="shared" ca="1" si="5"/>
        <v>0</v>
      </c>
      <c r="R20" s="26">
        <f t="shared" ca="1" si="6"/>
        <v>2757</v>
      </c>
      <c r="S20" s="26">
        <f t="shared" ca="1" si="7"/>
        <v>5425</v>
      </c>
      <c r="T20" s="26">
        <f t="shared" ca="1" si="0"/>
        <v>2619</v>
      </c>
      <c r="U20" s="26">
        <f t="shared" ca="1" si="1"/>
        <v>5153</v>
      </c>
      <c r="V20" s="176">
        <f t="shared" ca="1" si="8"/>
        <v>7772</v>
      </c>
      <c r="X20" s="19"/>
    </row>
    <row r="21" spans="1:24" x14ac:dyDescent="0.2">
      <c r="A21" s="209"/>
      <c r="B21" s="7" t="s">
        <v>239</v>
      </c>
      <c r="C21" s="42">
        <f t="shared" ca="1" si="2"/>
        <v>5108</v>
      </c>
      <c r="D21" s="42">
        <v>123</v>
      </c>
      <c r="E21">
        <v>0.95</v>
      </c>
      <c r="F21" s="103">
        <f t="shared" si="10"/>
        <v>116.85</v>
      </c>
      <c r="G21" s="19">
        <f t="shared" ca="1" si="9"/>
        <v>596869.79999999993</v>
      </c>
      <c r="H21" s="19">
        <f ca="1">(1-'General data'!$B$4)*(1-'General data'!$B$5)*G21*'General data'!$B$7*('General data'!$B$9+'General data'!$B$10)</f>
        <v>1648.1412223870436</v>
      </c>
      <c r="I21" s="19">
        <f ca="1">(1-'General data'!$B$5)*G21*'General data'!$B$8*('General data'!$B$10+'General data'!$B$11)</f>
        <v>0</v>
      </c>
      <c r="J21" s="19">
        <f ca="1">ROUNDDOWN(H21*(('General data'!$B$12*'General data'!$B$13)+'General data'!$B$15)*'General data'!$B$18,0)</f>
        <v>2316</v>
      </c>
      <c r="K21" s="19">
        <f ca="1">I21*(('General data'!$B$12*'General data'!$B$16)+'General data'!$B$17)*'General data'!$B$19</f>
        <v>0</v>
      </c>
      <c r="L21" s="203">
        <f ca="1">ROUNDDOWN((J21-K21)*'General data'!$B$20-'General data'!$B$21, 0)</f>
        <v>2200</v>
      </c>
      <c r="N21" s="7"/>
      <c r="O21" s="174" t="s">
        <v>239</v>
      </c>
      <c r="P21" s="26">
        <f t="shared" ca="1" si="4"/>
        <v>0</v>
      </c>
      <c r="Q21" s="26">
        <f t="shared" ca="1" si="5"/>
        <v>0</v>
      </c>
      <c r="R21" s="26">
        <f t="shared" ca="1" si="6"/>
        <v>2316</v>
      </c>
      <c r="S21" s="26">
        <f t="shared" ca="1" si="7"/>
        <v>4557</v>
      </c>
      <c r="T21" s="26">
        <f t="shared" ca="1" si="0"/>
        <v>2200</v>
      </c>
      <c r="U21" s="26">
        <f t="shared" ca="1" si="1"/>
        <v>4329</v>
      </c>
      <c r="V21" s="176">
        <f t="shared" ca="1" si="8"/>
        <v>6529</v>
      </c>
      <c r="X21" s="19"/>
    </row>
    <row r="22" spans="1:24" x14ac:dyDescent="0.2">
      <c r="A22" s="209"/>
      <c r="B22" s="7" t="s">
        <v>242</v>
      </c>
      <c r="C22" s="42">
        <f t="shared" ca="1" si="2"/>
        <v>6009</v>
      </c>
      <c r="D22" s="42">
        <v>123</v>
      </c>
      <c r="E22">
        <v>0.96</v>
      </c>
      <c r="F22" s="103">
        <f t="shared" si="10"/>
        <v>118.08</v>
      </c>
      <c r="G22" s="19">
        <f t="shared" ca="1" si="9"/>
        <v>709542.72</v>
      </c>
      <c r="H22" s="19">
        <f ca="1">(1-'General data'!$B$4)*(1-'General data'!$B$5)*G22*'General data'!$B$7*('General data'!$B$9+'General data'!$B$10)</f>
        <v>1959.265832978361</v>
      </c>
      <c r="I22" s="19">
        <f ca="1">(1-'General data'!$B$5)*G22*'General data'!$B$8*('General data'!$B$10+'General data'!$B$11)</f>
        <v>0</v>
      </c>
      <c r="J22" s="19">
        <f ca="1">ROUNDDOWN(H22*(('General data'!$B$12*'General data'!$B$13)+'General data'!$B$15)*'General data'!$B$18,0)</f>
        <v>2753</v>
      </c>
      <c r="K22" s="19">
        <f ca="1">I22*(('General data'!$B$12*'General data'!$B$16)+'General data'!$B$17)*'General data'!$B$19</f>
        <v>0</v>
      </c>
      <c r="L22" s="203">
        <f ca="1">ROUNDDOWN((J22-K22)*'General data'!$B$20-'General data'!$B$21, 0)</f>
        <v>2615</v>
      </c>
      <c r="N22" s="7"/>
      <c r="O22" s="174" t="s">
        <v>242</v>
      </c>
      <c r="P22" s="26">
        <f t="shared" ca="1" si="4"/>
        <v>0</v>
      </c>
      <c r="Q22" s="26">
        <f t="shared" ca="1" si="5"/>
        <v>0</v>
      </c>
      <c r="R22" s="26">
        <f t="shared" ca="1" si="6"/>
        <v>2753</v>
      </c>
      <c r="S22" s="26">
        <f t="shared" ca="1" si="7"/>
        <v>5418</v>
      </c>
      <c r="T22" s="26">
        <f t="shared" ca="1" si="0"/>
        <v>2615</v>
      </c>
      <c r="U22" s="26">
        <f t="shared" ca="1" si="1"/>
        <v>5147</v>
      </c>
      <c r="V22" s="176">
        <f t="shared" ca="1" si="8"/>
        <v>7762</v>
      </c>
      <c r="X22" s="19"/>
    </row>
    <row r="23" spans="1:24" x14ac:dyDescent="0.2">
      <c r="A23" s="209"/>
      <c r="B23" s="7" t="s">
        <v>245</v>
      </c>
      <c r="C23" s="42">
        <f t="shared" ca="1" si="2"/>
        <v>6787</v>
      </c>
      <c r="D23" s="42">
        <v>123</v>
      </c>
      <c r="E23">
        <v>0.94</v>
      </c>
      <c r="F23" s="103">
        <f t="shared" si="10"/>
        <v>115.61999999999999</v>
      </c>
      <c r="G23" s="19">
        <f t="shared" ca="1" si="9"/>
        <v>784712.94</v>
      </c>
      <c r="H23" s="19">
        <f ca="1">(1-'General data'!$B$4)*(1-'General data'!$B$5)*G23*'General data'!$B$7*('General data'!$B$9+'General data'!$B$10)</f>
        <v>2166.8339462886725</v>
      </c>
      <c r="I23" s="19">
        <f ca="1">(1-'General data'!$B$5)*G23*'General data'!$B$8*('General data'!$B$10+'General data'!$B$11)</f>
        <v>0</v>
      </c>
      <c r="J23" s="19">
        <f ca="1">ROUNDDOWN(H23*(('General data'!$B$12*'General data'!$B$13)+'General data'!$B$15)*'General data'!$B$18,0)</f>
        <v>3045</v>
      </c>
      <c r="K23" s="19">
        <f ca="1">I23*(('General data'!$B$12*'General data'!$B$16)+'General data'!$B$17)*'General data'!$B$19</f>
        <v>0</v>
      </c>
      <c r="L23" s="203">
        <f ca="1">ROUNDDOWN((J23-K23)*'General data'!$B$20-'General data'!$B$21, 0)</f>
        <v>2892</v>
      </c>
      <c r="N23" s="7"/>
      <c r="O23" s="174" t="s">
        <v>245</v>
      </c>
      <c r="P23" s="26">
        <f t="shared" ca="1" si="4"/>
        <v>0</v>
      </c>
      <c r="Q23" s="26">
        <f t="shared" ca="1" si="5"/>
        <v>0</v>
      </c>
      <c r="R23" s="26">
        <f t="shared" ca="1" si="6"/>
        <v>3045</v>
      </c>
      <c r="S23" s="26">
        <f t="shared" ca="1" si="7"/>
        <v>5992</v>
      </c>
      <c r="T23" s="26">
        <f t="shared" ca="1" si="0"/>
        <v>2892</v>
      </c>
      <c r="U23" s="26">
        <f t="shared" ca="1" si="1"/>
        <v>5692</v>
      </c>
      <c r="V23" s="176">
        <f t="shared" ca="1" si="8"/>
        <v>8584</v>
      </c>
      <c r="X23" s="19"/>
    </row>
    <row r="24" spans="1:24" x14ac:dyDescent="0.2">
      <c r="A24" s="210"/>
      <c r="B24" s="134" t="s">
        <v>249</v>
      </c>
      <c r="C24" s="135">
        <f t="shared" ca="1" si="2"/>
        <v>6073</v>
      </c>
      <c r="D24" s="135">
        <v>123</v>
      </c>
      <c r="E24" s="6">
        <v>0.95</v>
      </c>
      <c r="F24" s="136">
        <f t="shared" si="10"/>
        <v>116.85</v>
      </c>
      <c r="G24" s="137">
        <f t="shared" ca="1" si="9"/>
        <v>709630.04999999993</v>
      </c>
      <c r="H24" s="137">
        <f ca="1">(1-'General data'!$B$4)*(1-'General data'!$B$5)*G24*'General data'!$B$7*('General data'!$B$9+'General data'!$B$10)</f>
        <v>1959.5069779867886</v>
      </c>
      <c r="I24" s="137">
        <f ca="1">(1-'General data'!$B$5)*G24*'General data'!$B$8*('General data'!$B$10+'General data'!$B$11)</f>
        <v>0</v>
      </c>
      <c r="J24" s="137">
        <f ca="1">ROUNDDOWN(H24*(('General data'!$B$12*'General data'!$B$13)+'General data'!$B$15)*'General data'!$B$18,0)</f>
        <v>2754</v>
      </c>
      <c r="K24" s="137">
        <f ca="1">I24*(('General data'!$B$12*'General data'!$B$16)+'General data'!$B$17)*'General data'!$B$19</f>
        <v>0</v>
      </c>
      <c r="L24" s="204">
        <f ca="1">ROUNDDOWN((J24-K24)*'General data'!$B$20-'General data'!$B$21, 0)</f>
        <v>2616</v>
      </c>
      <c r="N24" s="7"/>
      <c r="O24" s="174" t="s">
        <v>249</v>
      </c>
      <c r="P24" s="26">
        <f ca="1">+K24</f>
        <v>0</v>
      </c>
      <c r="Q24" s="26">
        <f t="shared" ca="1" si="5"/>
        <v>0</v>
      </c>
      <c r="R24" s="26">
        <f t="shared" ca="1" si="6"/>
        <v>2754</v>
      </c>
      <c r="S24" s="26">
        <f t="shared" ca="1" si="7"/>
        <v>5418</v>
      </c>
      <c r="T24" s="26">
        <f t="shared" ca="1" si="0"/>
        <v>2616</v>
      </c>
      <c r="U24" s="26">
        <f t="shared" ca="1" si="1"/>
        <v>5147</v>
      </c>
      <c r="V24" s="176">
        <f t="shared" ca="1" si="8"/>
        <v>7763</v>
      </c>
      <c r="X24" s="19"/>
    </row>
    <row r="25" spans="1:24" x14ac:dyDescent="0.2">
      <c r="A25" s="7"/>
      <c r="B25" s="7"/>
      <c r="C25" s="42"/>
      <c r="D25" s="42"/>
      <c r="F25" s="103"/>
      <c r="G25" s="19"/>
      <c r="H25" s="19"/>
      <c r="I25" s="19"/>
      <c r="J25" s="19">
        <f>ROUNDDOWN(H25*(('General data'!$B$12*'General data'!$B$13)+'General data'!$B$15)*'General data'!$B$18,0)</f>
        <v>0</v>
      </c>
      <c r="K25" s="19"/>
      <c r="L25" s="203">
        <f>ROUNDDOWN((J25-K25)*'General data'!$B$20-'General data'!$B$21, 0)</f>
        <v>0</v>
      </c>
      <c r="O25" s="103"/>
    </row>
    <row r="26" spans="1:24" x14ac:dyDescent="0.2">
      <c r="A26" s="208" t="s">
        <v>220</v>
      </c>
      <c r="B26" s="128" t="s">
        <v>221</v>
      </c>
      <c r="C26" s="129">
        <f ca="1">+C16</f>
        <v>1500</v>
      </c>
      <c r="D26" s="129">
        <v>321</v>
      </c>
      <c r="E26" s="130">
        <f>+E16</f>
        <v>0.98</v>
      </c>
      <c r="F26" s="131">
        <f t="shared" si="10"/>
        <v>314.58</v>
      </c>
      <c r="G26" s="132">
        <f t="shared" ca="1" si="9"/>
        <v>471870</v>
      </c>
      <c r="H26" s="132">
        <f ca="1">(1-'General data'!$B$4)*(1-'General data'!$B$5)*G26*'General data'!$B$7*('General data'!$B$9+'General data'!$B$10)</f>
        <v>1302.9783021485996</v>
      </c>
      <c r="I26" s="132">
        <f ca="1">(1-'General data'!$B$5)*G26*'General data'!$B$8*('General data'!$B$10+'General data'!$B$11)</f>
        <v>0</v>
      </c>
      <c r="J26" s="132">
        <f ca="1">ROUNDDOWN(H26*(('General data'!$B$12*'General data'!$B$13)+'General data'!$B$15)*'General data'!$B$18,0)</f>
        <v>1831</v>
      </c>
      <c r="K26" s="132">
        <f ca="1">I26*(('General data'!$B$12*'General data'!$B$16)+'General data'!$B$17)*'General data'!$B$19</f>
        <v>0</v>
      </c>
      <c r="L26" s="133">
        <f ca="1">ROUNDDOWN((J26-K26)*'General data'!$B$20-'General data'!$B$21, 0)</f>
        <v>1739</v>
      </c>
      <c r="O26" s="103"/>
      <c r="V26" s="19"/>
    </row>
    <row r="27" spans="1:24" x14ac:dyDescent="0.2">
      <c r="A27" s="209"/>
      <c r="B27" s="7" t="s">
        <v>227</v>
      </c>
      <c r="C27" s="42">
        <f t="shared" ref="C27:C34" ca="1" si="11">+C17</f>
        <v>1200</v>
      </c>
      <c r="D27" s="42">
        <v>329</v>
      </c>
      <c r="E27">
        <f t="shared" ref="E27:E34" si="12">+E17</f>
        <v>0.97</v>
      </c>
      <c r="F27" s="103">
        <f t="shared" si="10"/>
        <v>319.13</v>
      </c>
      <c r="G27" s="19">
        <f t="shared" ca="1" si="9"/>
        <v>382956</v>
      </c>
      <c r="H27" s="19">
        <f ca="1">(1-'General data'!$B$4)*(1-'General data'!$B$5)*G27*'General data'!$B$7*('General data'!$B$9+'General data'!$B$10)</f>
        <v>1057.4593821976798</v>
      </c>
      <c r="I27" s="19">
        <f ca="1">(1-'General data'!$B$5)*G27*'General data'!$B$8*('General data'!$B$10+'General data'!$B$11)</f>
        <v>0</v>
      </c>
      <c r="J27" s="19">
        <f ca="1">ROUNDDOWN(H27*(('General data'!$B$12*'General data'!$B$13)+'General data'!$B$15)*'General data'!$B$18,0)</f>
        <v>1486</v>
      </c>
      <c r="K27" s="19">
        <f ca="1">I27*(('General data'!$B$12*'General data'!$B$16)+'General data'!$B$17)*'General data'!$B$19</f>
        <v>0</v>
      </c>
      <c r="L27" s="203">
        <f ca="1">ROUNDDOWN((J27-K27)*'General data'!$B$20-'General data'!$B$21, 0)</f>
        <v>1411</v>
      </c>
      <c r="O27" s="103"/>
      <c r="P27" s="19"/>
    </row>
    <row r="28" spans="1:24" x14ac:dyDescent="0.2">
      <c r="A28" s="209"/>
      <c r="B28" s="7" t="s">
        <v>232</v>
      </c>
      <c r="C28" s="42">
        <f t="shared" ca="1" si="11"/>
        <v>6003</v>
      </c>
      <c r="D28" s="42">
        <v>242</v>
      </c>
      <c r="E28">
        <f t="shared" si="12"/>
        <v>0.96</v>
      </c>
      <c r="F28" s="103">
        <f t="shared" si="10"/>
        <v>232.32</v>
      </c>
      <c r="G28" s="19">
        <f t="shared" ca="1" si="9"/>
        <v>1394616.96</v>
      </c>
      <c r="H28" s="19">
        <f ca="1">(1-'General data'!$B$4)*(1-'General data'!$B$5)*G28*'General data'!$B$7*('General data'!$B$9+'General data'!$B$10)</f>
        <v>3850.9666617679482</v>
      </c>
      <c r="I28" s="19">
        <f ca="1">(1-'General data'!$B$5)*G28*'General data'!$B$8*('General data'!$B$10+'General data'!$B$11)</f>
        <v>0</v>
      </c>
      <c r="J28" s="19">
        <f ca="1">ROUNDDOWN(H28*(('General data'!$B$12*'General data'!$B$13)+'General data'!$B$15)*'General data'!$B$18,0)</f>
        <v>5412</v>
      </c>
      <c r="K28" s="19">
        <f ca="1">I28*(('General data'!$B$12*'General data'!$B$16)+'General data'!$B$17)*'General data'!$B$19</f>
        <v>0</v>
      </c>
      <c r="L28" s="203">
        <f ca="1">ROUNDDOWN((J28-K28)*'General data'!$B$20-'General data'!$B$21, 0)</f>
        <v>5141</v>
      </c>
      <c r="O28" s="103"/>
    </row>
    <row r="29" spans="1:24" x14ac:dyDescent="0.2">
      <c r="A29" s="209"/>
      <c r="B29" s="7" t="s">
        <v>0</v>
      </c>
      <c r="C29" s="42">
        <f t="shared" ca="1" si="11"/>
        <v>6050</v>
      </c>
      <c r="D29" s="42">
        <v>242</v>
      </c>
      <c r="E29">
        <f t="shared" si="12"/>
        <v>0.96</v>
      </c>
      <c r="F29" s="103">
        <f t="shared" si="10"/>
        <v>232.32</v>
      </c>
      <c r="G29" s="19">
        <f t="shared" ca="1" si="9"/>
        <v>1405536</v>
      </c>
      <c r="H29" s="19">
        <f ca="1">(1-'General data'!$B$4)*(1-'General data'!$B$5)*G29*'General data'!$B$7*('General data'!$B$9+'General data'!$B$10)</f>
        <v>3881.117491870079</v>
      </c>
      <c r="I29" s="19">
        <f ca="1">(1-'General data'!$B$5)*G29*'General data'!$B$8*('General data'!$B$10+'General data'!$B$11)</f>
        <v>0</v>
      </c>
      <c r="J29" s="19">
        <f ca="1">ROUNDDOWN(H29*(('General data'!$B$12*'General data'!$B$13)+'General data'!$B$15)*'General data'!$B$18,0)</f>
        <v>5455</v>
      </c>
      <c r="K29" s="19">
        <f ca="1">I29*(('General data'!$B$12*'General data'!$B$16)+'General data'!$B$17)*'General data'!$B$19</f>
        <v>0</v>
      </c>
      <c r="L29" s="203">
        <f ca="1">ROUNDDOWN((J29-K29)*'General data'!$B$20-'General data'!$B$21, 0)</f>
        <v>5182</v>
      </c>
      <c r="O29" s="103"/>
      <c r="V29" s="198"/>
    </row>
    <row r="30" spans="1:24" x14ac:dyDescent="0.2">
      <c r="A30" s="209"/>
      <c r="B30" s="7" t="s">
        <v>236</v>
      </c>
      <c r="C30" s="42">
        <f t="shared" ca="1" si="11"/>
        <v>6017</v>
      </c>
      <c r="D30" s="42">
        <v>242</v>
      </c>
      <c r="E30">
        <f t="shared" si="12"/>
        <v>0.96</v>
      </c>
      <c r="F30" s="103">
        <f t="shared" si="10"/>
        <v>232.32</v>
      </c>
      <c r="G30" s="19">
        <f t="shared" ca="1" si="9"/>
        <v>1397869.44</v>
      </c>
      <c r="H30" s="19">
        <f ca="1">(1-'General data'!$B$4)*(1-'General data'!$B$5)*G30*'General data'!$B$7*('General data'!$B$9+'General data'!$B$10)</f>
        <v>3859.9477600962427</v>
      </c>
      <c r="I30" s="19">
        <f ca="1">(1-'General data'!$B$5)*G30*'General data'!$B$8*('General data'!$B$10+'General data'!$B$11)</f>
        <v>0</v>
      </c>
      <c r="J30" s="19">
        <f ca="1">ROUNDDOWN(H30*(('General data'!$B$12*'General data'!$B$13)+'General data'!$B$15)*'General data'!$B$18,0)</f>
        <v>5425</v>
      </c>
      <c r="K30" s="19">
        <f ca="1">I30*(('General data'!$B$12*'General data'!$B$16)+'General data'!$B$17)*'General data'!$B$19</f>
        <v>0</v>
      </c>
      <c r="L30" s="203">
        <f ca="1">ROUNDDOWN((J30-K30)*'General data'!$B$20-'General data'!$B$21, 0)</f>
        <v>5153</v>
      </c>
      <c r="O30" s="103"/>
    </row>
    <row r="31" spans="1:24" x14ac:dyDescent="0.2">
      <c r="A31" s="209"/>
      <c r="B31" s="7" t="s">
        <v>239</v>
      </c>
      <c r="C31" s="42">
        <f t="shared" ca="1" si="11"/>
        <v>5108</v>
      </c>
      <c r="D31" s="42">
        <v>242</v>
      </c>
      <c r="E31">
        <f t="shared" si="12"/>
        <v>0.95</v>
      </c>
      <c r="F31" s="103">
        <f t="shared" si="10"/>
        <v>229.89999999999998</v>
      </c>
      <c r="G31" s="19">
        <f t="shared" ca="1" si="9"/>
        <v>1174329.2</v>
      </c>
      <c r="H31" s="19">
        <f ca="1">(1-'General data'!$B$4)*(1-'General data'!$B$5)*G31*'General data'!$B$7*('General data'!$B$9+'General data'!$B$10)</f>
        <v>3242.6843562411755</v>
      </c>
      <c r="I31" s="19">
        <f ca="1">(1-'General data'!$B$5)*G31*'General data'!$B$8*('General data'!$B$10+'General data'!$B$11)</f>
        <v>0</v>
      </c>
      <c r="J31" s="19">
        <f ca="1">ROUNDDOWN(H31*(('General data'!$B$12*'General data'!$B$13)+'General data'!$B$15)*'General data'!$B$18,0)</f>
        <v>4557</v>
      </c>
      <c r="K31" s="19">
        <f ca="1">I31*(('General data'!$B$12*'General data'!$B$16)+'General data'!$B$17)*'General data'!$B$19</f>
        <v>0</v>
      </c>
      <c r="L31" s="203">
        <f ca="1">ROUNDDOWN((J31-K31)*'General data'!$B$20-'General data'!$B$21, 0)</f>
        <v>4329</v>
      </c>
      <c r="O31" s="103"/>
      <c r="Q31" s="19"/>
    </row>
    <row r="32" spans="1:24" x14ac:dyDescent="0.2">
      <c r="A32" s="209"/>
      <c r="B32" s="7" t="s">
        <v>242</v>
      </c>
      <c r="C32" s="42">
        <f t="shared" ca="1" si="11"/>
        <v>6009</v>
      </c>
      <c r="D32" s="42">
        <v>242</v>
      </c>
      <c r="E32">
        <f t="shared" si="12"/>
        <v>0.96</v>
      </c>
      <c r="F32" s="103">
        <f t="shared" si="10"/>
        <v>232.32</v>
      </c>
      <c r="G32" s="19">
        <f t="shared" ca="1" si="9"/>
        <v>1396010.88</v>
      </c>
      <c r="H32" s="19">
        <f ca="1">(1-'General data'!$B$4)*(1-'General data'!$B$5)*G32*'General data'!$B$7*('General data'!$B$9+'General data'!$B$10)</f>
        <v>3854.8157039086454</v>
      </c>
      <c r="I32" s="19">
        <f ca="1">(1-'General data'!$B$5)*G32*'General data'!$B$8*('General data'!$B$10+'General data'!$B$11)</f>
        <v>0</v>
      </c>
      <c r="J32" s="19">
        <f ca="1">ROUNDDOWN(H32*(('General data'!$B$12*'General data'!$B$13)+'General data'!$B$15)*'General data'!$B$18,0)</f>
        <v>5418</v>
      </c>
      <c r="K32" s="19">
        <f ca="1">I32*(('General data'!$B$12*'General data'!$B$16)+'General data'!$B$17)*'General data'!$B$19</f>
        <v>0</v>
      </c>
      <c r="L32" s="203">
        <f ca="1">ROUNDDOWN((J32-K32)*'General data'!$B$20-'General data'!$B$21, 0)</f>
        <v>5147</v>
      </c>
      <c r="O32" s="103"/>
      <c r="Q32" s="19"/>
    </row>
    <row r="33" spans="1:22" x14ac:dyDescent="0.2">
      <c r="A33" s="209"/>
      <c r="B33" s="7" t="s">
        <v>245</v>
      </c>
      <c r="C33" s="42">
        <f t="shared" ca="1" si="11"/>
        <v>6787</v>
      </c>
      <c r="D33" s="42">
        <v>242</v>
      </c>
      <c r="E33">
        <f t="shared" si="12"/>
        <v>0.94</v>
      </c>
      <c r="F33" s="103">
        <f t="shared" si="10"/>
        <v>227.48</v>
      </c>
      <c r="G33" s="19">
        <f t="shared" ca="1" si="9"/>
        <v>1543906.76</v>
      </c>
      <c r="H33" s="19">
        <f ca="1">(1-'General data'!$B$4)*(1-'General data'!$B$5)*G33*'General data'!$B$7*('General data'!$B$9+'General data'!$B$10)</f>
        <v>4263.2017479825918</v>
      </c>
      <c r="I33" s="19">
        <f ca="1">(1-'General data'!$B$5)*G33*'General data'!$B$8*('General data'!$B$10+'General data'!$B$11)</f>
        <v>0</v>
      </c>
      <c r="J33" s="19">
        <f ca="1">ROUNDDOWN(H33*(('General data'!$B$12*'General data'!$B$13)+'General data'!$B$15)*'General data'!$B$18,0)</f>
        <v>5992</v>
      </c>
      <c r="K33" s="19">
        <f ca="1">I33*(('General data'!$B$12*'General data'!$B$16)+'General data'!$B$17)*'General data'!$B$19</f>
        <v>0</v>
      </c>
      <c r="L33" s="203">
        <f ca="1">ROUNDDOWN((J33-K33)*'General data'!$B$20-'General data'!$B$21, 0)</f>
        <v>5692</v>
      </c>
      <c r="O33" s="103"/>
      <c r="Q33" s="19"/>
    </row>
    <row r="34" spans="1:22" x14ac:dyDescent="0.2">
      <c r="A34" s="210"/>
      <c r="B34" s="134" t="s">
        <v>249</v>
      </c>
      <c r="C34" s="135">
        <f ca="1">+C24</f>
        <v>6073</v>
      </c>
      <c r="D34" s="135">
        <v>242</v>
      </c>
      <c r="E34" s="6">
        <f t="shared" si="12"/>
        <v>0.95</v>
      </c>
      <c r="F34" s="136">
        <f t="shared" si="10"/>
        <v>229.89999999999998</v>
      </c>
      <c r="G34" s="137">
        <f t="shared" ca="1" si="9"/>
        <v>1396182.7</v>
      </c>
      <c r="H34" s="137">
        <f ca="1">(1-'General data'!$B$4)*(1-'General data'!$B$5)*G34*'General data'!$B$7*('General data'!$B$9+'General data'!$B$10)</f>
        <v>3855.2901518114049</v>
      </c>
      <c r="I34" s="137">
        <f ca="1">(1-'General data'!$B$5)*G34*'General data'!$B$8*('General data'!$B$10+'General data'!$B$11)</f>
        <v>0</v>
      </c>
      <c r="J34" s="137">
        <f ca="1">ROUNDDOWN(H34*(('General data'!$B$12*'General data'!$B$13)+'General data'!$B$15)*'General data'!$B$18,0)</f>
        <v>5418</v>
      </c>
      <c r="K34" s="137">
        <f ca="1">I34*(('General data'!$B$12*'General data'!$B$16)+'General data'!$B$17)*'General data'!$B$19</f>
        <v>0</v>
      </c>
      <c r="L34" s="204">
        <f ca="1">ROUNDDOWN((J34-K34)*'General data'!$B$20-'General data'!$B$21, 0)</f>
        <v>5147</v>
      </c>
      <c r="O34" s="103"/>
      <c r="Q34" s="19"/>
      <c r="V34" s="199"/>
    </row>
    <row r="35" spans="1:22" x14ac:dyDescent="0.2">
      <c r="A35" s="7"/>
      <c r="B35" s="7"/>
      <c r="C35" s="42"/>
      <c r="D35" s="42"/>
      <c r="F35" s="103"/>
      <c r="G35" s="19"/>
      <c r="H35" s="19"/>
      <c r="I35" s="19"/>
      <c r="J35" s="19"/>
      <c r="K35" s="19"/>
      <c r="L35" s="127"/>
      <c r="O35" s="103"/>
      <c r="Q35" s="19"/>
      <c r="V35" s="19"/>
    </row>
    <row r="36" spans="1:22" x14ac:dyDescent="0.2">
      <c r="A36" s="7"/>
      <c r="B36" s="7"/>
      <c r="C36" s="127"/>
      <c r="D36" s="42"/>
      <c r="E36" s="42"/>
      <c r="F36" s="103"/>
      <c r="G36" s="19"/>
      <c r="H36" s="19"/>
      <c r="I36" s="19"/>
      <c r="J36" s="19"/>
      <c r="K36" s="19"/>
      <c r="L36" s="127"/>
      <c r="P36" s="19"/>
      <c r="Q36" s="19"/>
    </row>
    <row r="37" spans="1:22" x14ac:dyDescent="0.2">
      <c r="G37" s="19"/>
      <c r="Q37" s="19"/>
    </row>
    <row r="38" spans="1:22" x14ac:dyDescent="0.2">
      <c r="C38" s="148"/>
      <c r="G38" s="19"/>
      <c r="N38" s="7"/>
      <c r="Q38" s="19"/>
    </row>
    <row r="39" spans="1:22" ht="16" x14ac:dyDescent="0.2">
      <c r="A39" s="148" t="s">
        <v>254</v>
      </c>
      <c r="B39" s="148" t="s">
        <v>253</v>
      </c>
      <c r="C39" s="148" t="s">
        <v>255</v>
      </c>
      <c r="D39" s="140"/>
      <c r="E39" s="140"/>
      <c r="F39" s="140"/>
      <c r="G39" s="19"/>
      <c r="Q39" s="19"/>
    </row>
    <row r="40" spans="1:22" ht="16" x14ac:dyDescent="0.2">
      <c r="A40" s="155" t="s">
        <v>222</v>
      </c>
      <c r="B40" s="156" t="s">
        <v>221</v>
      </c>
      <c r="C40" s="157">
        <v>300</v>
      </c>
      <c r="D40" s="142"/>
      <c r="E40" s="141"/>
      <c r="G40" s="19"/>
    </row>
    <row r="41" spans="1:22" ht="16" x14ac:dyDescent="0.2">
      <c r="A41" s="158" t="s">
        <v>223</v>
      </c>
      <c r="B41" s="149" t="s">
        <v>221</v>
      </c>
      <c r="C41" s="159">
        <v>300</v>
      </c>
      <c r="D41" s="142"/>
      <c r="E41" s="141"/>
      <c r="G41" s="19"/>
      <c r="N41" s="7"/>
    </row>
    <row r="42" spans="1:22" ht="16" x14ac:dyDescent="0.2">
      <c r="A42" s="158" t="s">
        <v>224</v>
      </c>
      <c r="B42" s="149" t="s">
        <v>221</v>
      </c>
      <c r="C42" s="159">
        <v>300</v>
      </c>
      <c r="D42" s="142"/>
      <c r="E42" s="141"/>
      <c r="G42" s="19"/>
    </row>
    <row r="43" spans="1:22" ht="16" x14ac:dyDescent="0.2">
      <c r="A43" s="158" t="s">
        <v>225</v>
      </c>
      <c r="B43" s="149" t="s">
        <v>221</v>
      </c>
      <c r="C43" s="159">
        <v>300</v>
      </c>
      <c r="D43" s="142"/>
      <c r="E43" s="141"/>
      <c r="G43" s="19"/>
      <c r="N43" s="7"/>
    </row>
    <row r="44" spans="1:22" ht="16" x14ac:dyDescent="0.2">
      <c r="A44" s="160" t="s">
        <v>226</v>
      </c>
      <c r="B44" s="161" t="s">
        <v>221</v>
      </c>
      <c r="C44" s="162">
        <v>300</v>
      </c>
      <c r="D44" s="142"/>
      <c r="E44" s="141"/>
      <c r="G44" s="19"/>
    </row>
    <row r="45" spans="1:22" x14ac:dyDescent="0.2">
      <c r="A45" s="147"/>
      <c r="B45" s="149"/>
      <c r="C45" s="150"/>
      <c r="D45" s="140"/>
      <c r="E45" s="140"/>
      <c r="F45" s="140"/>
      <c r="G45" s="19"/>
      <c r="N45" s="7"/>
    </row>
    <row r="46" spans="1:22" ht="16" x14ac:dyDescent="0.2">
      <c r="A46" s="155" t="s">
        <v>228</v>
      </c>
      <c r="B46" s="156" t="s">
        <v>227</v>
      </c>
      <c r="C46" s="157">
        <v>300</v>
      </c>
      <c r="D46" s="142"/>
      <c r="E46" s="141"/>
      <c r="G46" s="19"/>
    </row>
    <row r="47" spans="1:22" ht="16" x14ac:dyDescent="0.2">
      <c r="A47" s="158" t="s">
        <v>229</v>
      </c>
      <c r="B47" s="149" t="s">
        <v>227</v>
      </c>
      <c r="C47" s="159">
        <v>300</v>
      </c>
      <c r="D47" s="142"/>
      <c r="E47" s="141"/>
      <c r="G47" s="19"/>
      <c r="N47" s="7"/>
    </row>
    <row r="48" spans="1:22" ht="16" x14ac:dyDescent="0.2">
      <c r="A48" s="158" t="s">
        <v>230</v>
      </c>
      <c r="B48" s="149" t="s">
        <v>227</v>
      </c>
      <c r="C48" s="159">
        <v>300</v>
      </c>
      <c r="D48" s="142"/>
      <c r="E48" s="141"/>
    </row>
    <row r="49" spans="1:14" ht="16" x14ac:dyDescent="0.2">
      <c r="A49" s="160" t="s">
        <v>231</v>
      </c>
      <c r="B49" s="161" t="s">
        <v>227</v>
      </c>
      <c r="C49" s="162">
        <v>300</v>
      </c>
      <c r="D49" s="142"/>
      <c r="E49" s="141"/>
      <c r="N49" s="7"/>
    </row>
    <row r="50" spans="1:14" x14ac:dyDescent="0.2">
      <c r="A50" s="147"/>
      <c r="B50" s="149"/>
      <c r="C50" s="150"/>
      <c r="D50" s="140"/>
      <c r="E50" s="140"/>
      <c r="F50" s="140"/>
    </row>
    <row r="51" spans="1:14" ht="32" x14ac:dyDescent="0.2">
      <c r="A51" s="155" t="s">
        <v>233</v>
      </c>
      <c r="B51" s="163" t="s">
        <v>232</v>
      </c>
      <c r="C51" s="164">
        <v>3011</v>
      </c>
      <c r="D51" s="143"/>
      <c r="E51" s="141"/>
      <c r="F51" s="144"/>
    </row>
    <row r="52" spans="1:14" ht="16" x14ac:dyDescent="0.2">
      <c r="A52" s="160" t="s">
        <v>234</v>
      </c>
      <c r="B52" s="165" t="s">
        <v>232</v>
      </c>
      <c r="C52" s="166">
        <v>2992</v>
      </c>
      <c r="D52" s="142"/>
      <c r="E52" s="141"/>
      <c r="F52" s="144"/>
    </row>
    <row r="53" spans="1:14" x14ac:dyDescent="0.2">
      <c r="A53" s="147"/>
      <c r="B53" s="149"/>
      <c r="C53" s="150"/>
      <c r="D53" s="140"/>
      <c r="E53" s="140"/>
      <c r="F53" s="140"/>
    </row>
    <row r="54" spans="1:14" ht="16" x14ac:dyDescent="0.2">
      <c r="A54" s="155" t="s">
        <v>235</v>
      </c>
      <c r="B54" s="163" t="s">
        <v>0</v>
      </c>
      <c r="C54" s="164">
        <v>3025</v>
      </c>
      <c r="D54" s="142"/>
      <c r="E54" s="145"/>
      <c r="F54" s="146"/>
    </row>
    <row r="55" spans="1:14" ht="16" x14ac:dyDescent="0.2">
      <c r="A55" s="160" t="s">
        <v>102</v>
      </c>
      <c r="B55" s="165" t="s">
        <v>0</v>
      </c>
      <c r="C55" s="166">
        <v>3025</v>
      </c>
      <c r="D55" s="142"/>
      <c r="E55" s="145"/>
      <c r="F55" s="146"/>
    </row>
    <row r="56" spans="1:14" x14ac:dyDescent="0.2">
      <c r="A56" s="147"/>
      <c r="B56" s="149"/>
      <c r="C56" s="150"/>
      <c r="D56" s="140"/>
      <c r="E56" s="140"/>
      <c r="F56" s="140"/>
    </row>
    <row r="57" spans="1:14" ht="16" x14ac:dyDescent="0.2">
      <c r="A57" s="155" t="s">
        <v>237</v>
      </c>
      <c r="B57" s="163" t="s">
        <v>236</v>
      </c>
      <c r="C57" s="164">
        <v>2992</v>
      </c>
      <c r="D57" s="142"/>
      <c r="E57" s="145"/>
      <c r="F57" s="146"/>
    </row>
    <row r="58" spans="1:14" ht="16" x14ac:dyDescent="0.2">
      <c r="A58" s="160" t="s">
        <v>238</v>
      </c>
      <c r="B58" s="165" t="s">
        <v>236</v>
      </c>
      <c r="C58" s="166">
        <v>3025</v>
      </c>
      <c r="D58" s="142"/>
      <c r="E58" s="145"/>
      <c r="F58" s="146"/>
    </row>
    <row r="59" spans="1:14" x14ac:dyDescent="0.2">
      <c r="A59" s="147"/>
      <c r="B59" s="149"/>
      <c r="C59" s="150"/>
      <c r="D59" s="140"/>
      <c r="E59" s="140"/>
      <c r="F59" s="140"/>
    </row>
    <row r="60" spans="1:14" ht="16" x14ac:dyDescent="0.2">
      <c r="A60" s="155" t="s">
        <v>240</v>
      </c>
      <c r="B60" s="163" t="s">
        <v>239</v>
      </c>
      <c r="C60" s="164">
        <v>2082</v>
      </c>
      <c r="D60" s="142"/>
      <c r="E60" s="145"/>
      <c r="F60" s="146"/>
    </row>
    <row r="61" spans="1:14" ht="16" x14ac:dyDescent="0.2">
      <c r="A61" s="160" t="s">
        <v>241</v>
      </c>
      <c r="B61" s="165" t="s">
        <v>239</v>
      </c>
      <c r="C61" s="166">
        <v>3026</v>
      </c>
      <c r="D61" s="142"/>
      <c r="E61" s="145"/>
      <c r="F61" s="146"/>
    </row>
    <row r="62" spans="1:14" x14ac:dyDescent="0.2">
      <c r="A62" s="147"/>
      <c r="B62" s="149"/>
      <c r="C62" s="150"/>
      <c r="D62" s="140"/>
      <c r="E62" s="140"/>
      <c r="F62" s="140"/>
    </row>
    <row r="63" spans="1:14" ht="16" x14ac:dyDescent="0.2">
      <c r="A63" s="155" t="s">
        <v>243</v>
      </c>
      <c r="B63" s="163" t="s">
        <v>242</v>
      </c>
      <c r="C63" s="164">
        <v>3007</v>
      </c>
      <c r="D63" s="142"/>
      <c r="E63" s="145"/>
      <c r="F63" s="146"/>
    </row>
    <row r="64" spans="1:14" ht="16" x14ac:dyDescent="0.2">
      <c r="A64" s="160" t="s">
        <v>244</v>
      </c>
      <c r="B64" s="165" t="s">
        <v>242</v>
      </c>
      <c r="C64" s="166">
        <v>3002</v>
      </c>
      <c r="D64" s="142"/>
      <c r="E64" s="145"/>
      <c r="F64" s="146"/>
    </row>
    <row r="65" spans="1:6" x14ac:dyDescent="0.2">
      <c r="A65" s="147"/>
      <c r="B65" s="149"/>
      <c r="C65" s="150"/>
      <c r="D65" s="140"/>
      <c r="E65" s="140"/>
      <c r="F65" s="140"/>
    </row>
    <row r="66" spans="1:6" ht="16" x14ac:dyDescent="0.2">
      <c r="A66" s="155" t="s">
        <v>246</v>
      </c>
      <c r="B66" s="163" t="s">
        <v>245</v>
      </c>
      <c r="C66" s="164">
        <v>2362</v>
      </c>
      <c r="D66" s="143"/>
      <c r="E66" s="145"/>
      <c r="F66" s="146"/>
    </row>
    <row r="67" spans="1:6" ht="16" x14ac:dyDescent="0.2">
      <c r="A67" s="158" t="s">
        <v>247</v>
      </c>
      <c r="B67" s="150" t="s">
        <v>245</v>
      </c>
      <c r="C67" s="167">
        <v>2255</v>
      </c>
      <c r="D67" s="143"/>
      <c r="E67" s="145"/>
      <c r="F67" s="146"/>
    </row>
    <row r="68" spans="1:6" ht="16" x14ac:dyDescent="0.2">
      <c r="A68" s="160" t="s">
        <v>248</v>
      </c>
      <c r="B68" s="165" t="s">
        <v>245</v>
      </c>
      <c r="C68" s="166">
        <v>2170</v>
      </c>
      <c r="D68" s="142"/>
      <c r="E68" s="145"/>
      <c r="F68" s="146"/>
    </row>
    <row r="69" spans="1:6" x14ac:dyDescent="0.2">
      <c r="A69" s="147"/>
      <c r="B69" s="149"/>
      <c r="C69" s="150"/>
      <c r="D69" s="140"/>
      <c r="E69" s="140"/>
      <c r="F69" s="140"/>
    </row>
    <row r="70" spans="1:6" ht="16" x14ac:dyDescent="0.2">
      <c r="A70" s="155" t="s">
        <v>250</v>
      </c>
      <c r="B70" s="163" t="s">
        <v>249</v>
      </c>
      <c r="C70" s="164">
        <v>3092</v>
      </c>
      <c r="D70" s="142"/>
      <c r="E70" s="145"/>
      <c r="F70" s="146"/>
    </row>
    <row r="71" spans="1:6" ht="32" x14ac:dyDescent="0.2">
      <c r="A71" s="160" t="s">
        <v>251</v>
      </c>
      <c r="B71" s="165" t="s">
        <v>249</v>
      </c>
      <c r="C71" s="166">
        <v>2981</v>
      </c>
      <c r="D71" s="142"/>
      <c r="E71" s="145"/>
      <c r="F71" s="146"/>
    </row>
  </sheetData>
  <mergeCells count="6">
    <mergeCell ref="R14:S14"/>
    <mergeCell ref="T14:U14"/>
    <mergeCell ref="P14:Q14"/>
    <mergeCell ref="A16:A24"/>
    <mergeCell ref="A26:A34"/>
    <mergeCell ref="A14:A15"/>
  </mergeCells>
  <phoneticPr fontId="43" type="noConversion"/>
  <pageMargins left="0.7" right="0.7" top="0.75" bottom="0.75" header="0.3" footer="0.3"/>
  <pageSetup paperSize="9" orientation="portrait" r:id="rId1"/>
  <ignoredErrors>
    <ignoredError sqref="S16:S24 T16:T24" 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4:M146"/>
  <sheetViews>
    <sheetView zoomScale="120" zoomScaleNormal="120" workbookViewId="0">
      <selection activeCell="M32" sqref="M32"/>
    </sheetView>
  </sheetViews>
  <sheetFormatPr baseColWidth="10" defaultColWidth="8.83203125" defaultRowHeight="15" x14ac:dyDescent="0.2"/>
  <cols>
    <col min="1" max="1" width="26.83203125" customWidth="1"/>
    <col min="2" max="2" width="13.6640625" bestFit="1" customWidth="1"/>
    <col min="3" max="3" width="12.1640625" bestFit="1" customWidth="1"/>
    <col min="4" max="4" width="11.33203125" bestFit="1" customWidth="1"/>
    <col min="5" max="5" width="17" customWidth="1"/>
    <col min="6" max="6" width="5.83203125" bestFit="1" customWidth="1"/>
    <col min="8" max="8" width="5.83203125" bestFit="1" customWidth="1"/>
    <col min="9" max="9" width="14.5" bestFit="1" customWidth="1"/>
    <col min="10" max="10" width="12" customWidth="1"/>
    <col min="12" max="12" width="16" customWidth="1"/>
    <col min="13" max="13" width="65.83203125" bestFit="1" customWidth="1"/>
  </cols>
  <sheetData>
    <row r="4" spans="2:13" ht="16" thickBot="1" x14ac:dyDescent="0.25"/>
    <row r="5" spans="2:13" ht="22" thickBot="1" x14ac:dyDescent="0.3">
      <c r="B5" s="221" t="s">
        <v>110</v>
      </c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3"/>
    </row>
    <row r="6" spans="2:13" x14ac:dyDescent="0.2">
      <c r="C6" s="217"/>
      <c r="D6" s="217"/>
    </row>
    <row r="8" spans="2:13" ht="46.25" customHeight="1" thickBot="1" x14ac:dyDescent="0.25">
      <c r="B8" s="190" t="s">
        <v>272</v>
      </c>
      <c r="C8" s="207" t="s">
        <v>104</v>
      </c>
      <c r="D8" s="207"/>
      <c r="E8" s="207" t="s">
        <v>105</v>
      </c>
      <c r="F8" s="207"/>
      <c r="G8" s="207" t="s">
        <v>107</v>
      </c>
      <c r="H8" s="207"/>
      <c r="I8" s="181" t="s">
        <v>107</v>
      </c>
      <c r="J8" s="218" t="s">
        <v>111</v>
      </c>
      <c r="K8" s="219"/>
      <c r="L8" s="220"/>
      <c r="M8" s="186" t="s">
        <v>270</v>
      </c>
    </row>
    <row r="9" spans="2:13" x14ac:dyDescent="0.2">
      <c r="B9" s="10"/>
      <c r="C9" s="138">
        <v>2022</v>
      </c>
      <c r="D9" s="138">
        <v>2023</v>
      </c>
      <c r="E9" s="138">
        <v>2022</v>
      </c>
      <c r="F9" s="138">
        <v>2023</v>
      </c>
      <c r="G9" s="138">
        <v>2022</v>
      </c>
      <c r="H9" s="177">
        <v>2023</v>
      </c>
      <c r="I9" s="182" t="s">
        <v>116</v>
      </c>
      <c r="J9" s="179">
        <v>2022</v>
      </c>
      <c r="K9" s="177">
        <v>2023</v>
      </c>
      <c r="L9" s="183" t="s">
        <v>116</v>
      </c>
      <c r="M9" s="125"/>
    </row>
    <row r="10" spans="2:13" x14ac:dyDescent="0.2">
      <c r="B10" s="174" t="s">
        <v>221</v>
      </c>
      <c r="C10" s="26">
        <f ca="1">+ERs!P16</f>
        <v>0</v>
      </c>
      <c r="D10" s="26">
        <f ca="1">+ERs!Q16</f>
        <v>0</v>
      </c>
      <c r="E10" s="26">
        <f ca="1">+ERs!R16</f>
        <v>701</v>
      </c>
      <c r="F10" s="26">
        <f ca="1">+ERs!S16</f>
        <v>1831</v>
      </c>
      <c r="G10" s="26">
        <f ca="1">+ERs!T16</f>
        <v>665</v>
      </c>
      <c r="H10" s="178">
        <f ca="1">+ERs!U16</f>
        <v>1739</v>
      </c>
      <c r="I10" s="205">
        <f ca="1">SUM(G10:H10)</f>
        <v>2404</v>
      </c>
      <c r="J10" s="180">
        <f>E37/365*ERs!D16</f>
        <v>3250.7138760259722</v>
      </c>
      <c r="K10" s="116">
        <f>+(E38/(365-31-30+17))*ERs!D26</f>
        <v>8457.141791287082</v>
      </c>
      <c r="L10" s="184">
        <f>SUM(J10:K10)</f>
        <v>11707.855667313055</v>
      </c>
      <c r="M10" s="125" t="str">
        <f ca="1">IF(I10&gt;L10, "Real achieved Ers are higher than ERs as in the registred PDD", "No Remarks")</f>
        <v>No Remarks</v>
      </c>
    </row>
    <row r="11" spans="2:13" x14ac:dyDescent="0.2">
      <c r="B11" s="174" t="s">
        <v>227</v>
      </c>
      <c r="C11" s="26">
        <f ca="1">+ERs!P17</f>
        <v>0</v>
      </c>
      <c r="D11" s="26">
        <f ca="1">+ERs!Q17</f>
        <v>0</v>
      </c>
      <c r="E11" s="26">
        <f ca="1">+ERs!R17</f>
        <v>555</v>
      </c>
      <c r="F11" s="26">
        <f ca="1">+ERs!S17</f>
        <v>1486</v>
      </c>
      <c r="G11" s="26">
        <f ca="1">+ERs!T17</f>
        <v>527</v>
      </c>
      <c r="H11" s="178">
        <f ca="1">+ERs!U17</f>
        <v>1411</v>
      </c>
      <c r="I11" s="205">
        <f t="shared" ref="I11:I18" ca="1" si="0">SUM(G11:H11)</f>
        <v>1938</v>
      </c>
      <c r="J11" s="180">
        <f>E50/365*ERs!D17</f>
        <v>2600.5711008207777</v>
      </c>
      <c r="K11" s="116">
        <f>(E51/(365-31+5))*ERs!D27</f>
        <v>6730.2882373257507</v>
      </c>
      <c r="L11" s="184">
        <f>SUM(J11:K11)</f>
        <v>9330.8593381465289</v>
      </c>
      <c r="M11" s="125" t="str">
        <f t="shared" ref="M11:M18" ca="1" si="1">IF(I11&gt;L11, "Real achieved Ers are higher than ERs as in the registred PDD", "No Remarks")</f>
        <v>No Remarks</v>
      </c>
    </row>
    <row r="12" spans="2:13" x14ac:dyDescent="0.2">
      <c r="B12" s="174" t="s">
        <v>232</v>
      </c>
      <c r="C12" s="26">
        <f ca="1">+ERs!P18</f>
        <v>0</v>
      </c>
      <c r="D12" s="26">
        <f ca="1">+ERs!Q18</f>
        <v>0</v>
      </c>
      <c r="E12" s="26">
        <f ca="1">+ERs!R18</f>
        <v>2751</v>
      </c>
      <c r="F12" s="26">
        <f ca="1">+ERs!S18</f>
        <v>5412</v>
      </c>
      <c r="G12" s="26">
        <f ca="1">+ERs!T18</f>
        <v>2613</v>
      </c>
      <c r="H12" s="178">
        <f ca="1">+ERs!U18</f>
        <v>5141</v>
      </c>
      <c r="I12" s="205">
        <f t="shared" ca="1" si="0"/>
        <v>7754</v>
      </c>
      <c r="J12" s="180">
        <f>E61/365*ERs!D18</f>
        <v>2799.345205479452</v>
      </c>
      <c r="K12" s="116">
        <f>E62/365*ERs!D28</f>
        <v>5507.6547945205475</v>
      </c>
      <c r="L12" s="184">
        <f t="shared" ref="L12:L18" si="2">SUM(J12:K12)</f>
        <v>8307</v>
      </c>
      <c r="M12" s="125" t="str">
        <f t="shared" ca="1" si="1"/>
        <v>No Remarks</v>
      </c>
    </row>
    <row r="13" spans="2:13" x14ac:dyDescent="0.2">
      <c r="B13" s="174" t="s">
        <v>0</v>
      </c>
      <c r="C13" s="26">
        <f ca="1">+ERs!P19</f>
        <v>0</v>
      </c>
      <c r="D13" s="26">
        <f ca="1">+ERs!Q19</f>
        <v>0</v>
      </c>
      <c r="E13" s="26">
        <f ca="1">+ERs!R19</f>
        <v>2772</v>
      </c>
      <c r="F13" s="26">
        <f ca="1">+ERs!S19</f>
        <v>5455</v>
      </c>
      <c r="G13" s="26">
        <f ca="1">+ERs!T19</f>
        <v>2633</v>
      </c>
      <c r="H13" s="178">
        <f ca="1">+ERs!U19</f>
        <v>5182</v>
      </c>
      <c r="I13" s="205">
        <f t="shared" ca="1" si="0"/>
        <v>7815</v>
      </c>
      <c r="J13" s="180">
        <f>E75/365*ERs!D19</f>
        <v>2799.2604337347393</v>
      </c>
      <c r="K13" s="116">
        <f>E76/365*ERs!D29</f>
        <v>5507.4880078358292</v>
      </c>
      <c r="L13" s="184">
        <f t="shared" si="2"/>
        <v>8306.7484415705694</v>
      </c>
      <c r="M13" s="125" t="str">
        <f t="shared" ca="1" si="1"/>
        <v>No Remarks</v>
      </c>
    </row>
    <row r="14" spans="2:13" x14ac:dyDescent="0.2">
      <c r="B14" s="174" t="s">
        <v>236</v>
      </c>
      <c r="C14" s="26">
        <f ca="1">+ERs!P20</f>
        <v>0</v>
      </c>
      <c r="D14" s="26">
        <f ca="1">+ERs!Q20</f>
        <v>0</v>
      </c>
      <c r="E14" s="26">
        <f ca="1">+ERs!R20</f>
        <v>2757</v>
      </c>
      <c r="F14" s="26">
        <f ca="1">+ERs!S20</f>
        <v>5425</v>
      </c>
      <c r="G14" s="26">
        <f ca="1">+ERs!T20</f>
        <v>2619</v>
      </c>
      <c r="H14" s="178">
        <f ca="1">+ERs!U20</f>
        <v>5153</v>
      </c>
      <c r="I14" s="205">
        <f t="shared" ca="1" si="0"/>
        <v>7772</v>
      </c>
      <c r="J14" s="180">
        <f>E88/365*ERs!D20</f>
        <v>2799.2604337347393</v>
      </c>
      <c r="K14" s="116">
        <f>E89/365*ERs!D30</f>
        <v>5507.4880078358292</v>
      </c>
      <c r="L14" s="184">
        <f t="shared" si="2"/>
        <v>8306.7484415705694</v>
      </c>
      <c r="M14" s="125" t="str">
        <f t="shared" ca="1" si="1"/>
        <v>No Remarks</v>
      </c>
    </row>
    <row r="15" spans="2:13" x14ac:dyDescent="0.2">
      <c r="B15" s="174" t="s">
        <v>239</v>
      </c>
      <c r="C15" s="26">
        <f ca="1">+ERs!P21</f>
        <v>0</v>
      </c>
      <c r="D15" s="26">
        <f ca="1">+ERs!Q21</f>
        <v>0</v>
      </c>
      <c r="E15" s="26">
        <f ca="1">+ERs!R21</f>
        <v>2316</v>
      </c>
      <c r="F15" s="26">
        <f ca="1">+ERs!S21</f>
        <v>4557</v>
      </c>
      <c r="G15" s="26">
        <f ca="1">+ERs!T21</f>
        <v>2200</v>
      </c>
      <c r="H15" s="178">
        <f ca="1">+ERs!U21</f>
        <v>4329</v>
      </c>
      <c r="I15" s="205">
        <f t="shared" ca="1" si="0"/>
        <v>6529</v>
      </c>
      <c r="J15" s="180">
        <f>E102/365*ERs!D21</f>
        <v>2799.2604337347393</v>
      </c>
      <c r="K15" s="116">
        <f>E116/365*ERs!D31</f>
        <v>5507.4880078358292</v>
      </c>
      <c r="L15" s="184">
        <f t="shared" si="2"/>
        <v>8306.7484415705694</v>
      </c>
      <c r="M15" s="125" t="str">
        <f t="shared" ca="1" si="1"/>
        <v>No Remarks</v>
      </c>
    </row>
    <row r="16" spans="2:13" x14ac:dyDescent="0.2">
      <c r="B16" s="174" t="s">
        <v>242</v>
      </c>
      <c r="C16" s="26">
        <f ca="1">+ERs!P22</f>
        <v>0</v>
      </c>
      <c r="D16" s="26">
        <f ca="1">+ERs!Q22</f>
        <v>0</v>
      </c>
      <c r="E16" s="26">
        <f ca="1">+ERs!R22</f>
        <v>2753</v>
      </c>
      <c r="F16" s="26">
        <f ca="1">+ERs!S22</f>
        <v>5418</v>
      </c>
      <c r="G16" s="26">
        <f ca="1">+ERs!T22</f>
        <v>2615</v>
      </c>
      <c r="H16" s="178">
        <f ca="1">+ERs!U22</f>
        <v>5147</v>
      </c>
      <c r="I16" s="205">
        <f t="shared" ca="1" si="0"/>
        <v>7762</v>
      </c>
      <c r="J16" s="180">
        <f>E115/365*ERs!D22</f>
        <v>2799.2604337347393</v>
      </c>
      <c r="K16" s="116">
        <f>E116/365*ERs!D32</f>
        <v>5507.4880078358292</v>
      </c>
      <c r="L16" s="184">
        <f t="shared" si="2"/>
        <v>8306.7484415705694</v>
      </c>
      <c r="M16" s="125" t="str">
        <f t="shared" ca="1" si="1"/>
        <v>No Remarks</v>
      </c>
    </row>
    <row r="17" spans="1:13" x14ac:dyDescent="0.2">
      <c r="B17" s="174" t="s">
        <v>245</v>
      </c>
      <c r="C17" s="26">
        <f ca="1">+ERs!P23</f>
        <v>0</v>
      </c>
      <c r="D17" s="26">
        <f ca="1">+ERs!Q23</f>
        <v>0</v>
      </c>
      <c r="E17" s="26">
        <f ca="1">+ERs!R23</f>
        <v>3045</v>
      </c>
      <c r="F17" s="26">
        <f ca="1">+ERs!S23</f>
        <v>5992</v>
      </c>
      <c r="G17" s="26">
        <f ca="1">+ERs!T23</f>
        <v>2892</v>
      </c>
      <c r="H17" s="178">
        <f ca="1">+ERs!U23</f>
        <v>5692</v>
      </c>
      <c r="I17" s="205">
        <f t="shared" ca="1" si="0"/>
        <v>8584</v>
      </c>
      <c r="J17" s="180">
        <f>E128/365*ERs!D23</f>
        <v>2799.2604337347393</v>
      </c>
      <c r="K17" s="116">
        <f>E129/365*ERs!D33</f>
        <v>5507.4880078358292</v>
      </c>
      <c r="L17" s="184">
        <f t="shared" si="2"/>
        <v>8306.7484415705694</v>
      </c>
      <c r="M17" s="125" t="str">
        <f t="shared" ca="1" si="1"/>
        <v>Real achieved Ers are higher than ERs as in the registred PDD</v>
      </c>
    </row>
    <row r="18" spans="1:13" ht="16" thickBot="1" x14ac:dyDescent="0.25">
      <c r="B18" s="174" t="s">
        <v>249</v>
      </c>
      <c r="C18" s="26">
        <f ca="1">+ERs!P24</f>
        <v>0</v>
      </c>
      <c r="D18" s="26">
        <f ca="1">+ERs!Q24</f>
        <v>0</v>
      </c>
      <c r="E18" s="26">
        <f ca="1">+ERs!R24</f>
        <v>2754</v>
      </c>
      <c r="F18" s="26">
        <f ca="1">+ERs!S24</f>
        <v>5418</v>
      </c>
      <c r="G18" s="26">
        <f ca="1">+ERs!T24</f>
        <v>2616</v>
      </c>
      <c r="H18" s="178">
        <f ca="1">+ERs!U24</f>
        <v>5147</v>
      </c>
      <c r="I18" s="206">
        <f t="shared" ca="1" si="0"/>
        <v>7763</v>
      </c>
      <c r="J18" s="180">
        <f>E142/365*ERs!D24</f>
        <v>2799.2604337347393</v>
      </c>
      <c r="K18" s="116">
        <f>E142/365*ERs!D34</f>
        <v>5507.4880078358292</v>
      </c>
      <c r="L18" s="185">
        <f t="shared" si="2"/>
        <v>8306.7484415705694</v>
      </c>
      <c r="M18" s="125" t="str">
        <f t="shared" ca="1" si="1"/>
        <v>No Remarks</v>
      </c>
    </row>
    <row r="19" spans="1:13" x14ac:dyDescent="0.2">
      <c r="B19" s="103"/>
      <c r="I19" s="19"/>
    </row>
    <row r="20" spans="1:13" x14ac:dyDescent="0.2">
      <c r="B20" s="103"/>
      <c r="I20" s="19"/>
    </row>
    <row r="21" spans="1:13" x14ac:dyDescent="0.2">
      <c r="B21" s="187"/>
      <c r="C21" s="187"/>
      <c r="D21" s="187"/>
      <c r="E21" s="187"/>
    </row>
    <row r="22" spans="1:13" x14ac:dyDescent="0.2">
      <c r="A22" s="187"/>
      <c r="B22" s="187"/>
      <c r="C22" s="187"/>
      <c r="D22" s="187"/>
      <c r="E22" s="187"/>
    </row>
    <row r="23" spans="1:13" x14ac:dyDescent="0.2">
      <c r="A23" s="187"/>
      <c r="B23" s="187"/>
      <c r="C23" s="187"/>
      <c r="D23" s="187"/>
      <c r="E23" s="187"/>
    </row>
    <row r="24" spans="1:13" x14ac:dyDescent="0.2">
      <c r="A24" s="187"/>
      <c r="B24" s="187"/>
      <c r="C24" s="187"/>
      <c r="D24" s="187"/>
      <c r="E24" s="187"/>
    </row>
    <row r="25" spans="1:13" x14ac:dyDescent="0.2">
      <c r="A25" s="187"/>
      <c r="B25" s="187"/>
      <c r="C25" s="187"/>
      <c r="D25" s="187"/>
      <c r="E25" s="187"/>
    </row>
    <row r="26" spans="1:13" ht="16" thickBot="1" x14ac:dyDescent="0.25">
      <c r="A26" s="187"/>
      <c r="B26" s="187"/>
      <c r="C26" s="187"/>
      <c r="D26" s="187"/>
      <c r="E26" s="187"/>
    </row>
    <row r="27" spans="1:13" ht="20" thickBot="1" x14ac:dyDescent="0.25">
      <c r="A27" s="214" t="s">
        <v>112</v>
      </c>
      <c r="B27" s="215"/>
      <c r="C27" s="215"/>
      <c r="D27" s="215"/>
      <c r="E27" s="216"/>
    </row>
    <row r="29" spans="1:13" ht="19" x14ac:dyDescent="0.25">
      <c r="A29" s="224" t="s">
        <v>221</v>
      </c>
      <c r="B29" s="213"/>
      <c r="C29" s="213"/>
      <c r="D29" s="213"/>
      <c r="E29" s="213"/>
    </row>
    <row r="30" spans="1:13" ht="16" thickBot="1" x14ac:dyDescent="0.25">
      <c r="B30" s="97"/>
      <c r="C30" s="97"/>
    </row>
    <row r="31" spans="1:13" ht="48" x14ac:dyDescent="0.2">
      <c r="A31" s="111" t="s">
        <v>103</v>
      </c>
      <c r="B31" s="20" t="s">
        <v>104</v>
      </c>
      <c r="C31" s="20" t="s">
        <v>105</v>
      </c>
      <c r="D31" s="20" t="s">
        <v>106</v>
      </c>
      <c r="E31" s="21" t="s">
        <v>107</v>
      </c>
    </row>
    <row r="32" spans="1:13" ht="19" thickBot="1" x14ac:dyDescent="0.3">
      <c r="A32" s="188"/>
      <c r="B32" s="168" t="s">
        <v>108</v>
      </c>
      <c r="C32" s="168" t="s">
        <v>108</v>
      </c>
      <c r="D32" s="168" t="s">
        <v>108</v>
      </c>
      <c r="E32" s="169" t="s">
        <v>108</v>
      </c>
    </row>
    <row r="33" spans="1:5" x14ac:dyDescent="0.2">
      <c r="A33" s="172" t="s">
        <v>257</v>
      </c>
      <c r="B33" s="19">
        <v>396.42852146658197</v>
      </c>
      <c r="C33" s="19">
        <v>1585.7140858663281</v>
      </c>
      <c r="D33" s="19">
        <v>0</v>
      </c>
      <c r="E33" s="170">
        <v>1189.2855643997461</v>
      </c>
    </row>
    <row r="34" spans="1:5" x14ac:dyDescent="0.2">
      <c r="A34" s="172">
        <v>2019</v>
      </c>
      <c r="B34" s="19">
        <v>3215.4757852289422</v>
      </c>
      <c r="C34" s="19">
        <v>12861.903140915771</v>
      </c>
      <c r="D34" s="19">
        <v>0</v>
      </c>
      <c r="E34" s="170">
        <v>9646.4273556868284</v>
      </c>
    </row>
    <row r="35" spans="1:5" x14ac:dyDescent="0.2">
      <c r="A35" s="172">
        <v>2020</v>
      </c>
      <c r="B35" s="19">
        <v>3215.4757852289422</v>
      </c>
      <c r="C35" s="19">
        <v>12861.903140915771</v>
      </c>
      <c r="D35" s="19">
        <v>0</v>
      </c>
      <c r="E35" s="170">
        <v>9646.4273556868284</v>
      </c>
    </row>
    <row r="36" spans="1:5" x14ac:dyDescent="0.2">
      <c r="A36" s="172">
        <v>2021</v>
      </c>
      <c r="B36" s="19">
        <v>3215.4757852289422</v>
      </c>
      <c r="C36" s="19">
        <v>12861.903140915771</v>
      </c>
      <c r="D36" s="19">
        <v>0</v>
      </c>
      <c r="E36" s="170">
        <v>9646.4273556868284</v>
      </c>
    </row>
    <row r="37" spans="1:5" x14ac:dyDescent="0.2">
      <c r="A37" s="172">
        <v>2022</v>
      </c>
      <c r="B37" s="19">
        <v>3215.4757852289422</v>
      </c>
      <c r="C37" s="19">
        <v>12861.903140915771</v>
      </c>
      <c r="D37" s="19">
        <v>0</v>
      </c>
      <c r="E37" s="170">
        <v>9646.4273556868284</v>
      </c>
    </row>
    <row r="38" spans="1:5" ht="16" thickBot="1" x14ac:dyDescent="0.25">
      <c r="A38" s="173" t="s">
        <v>258</v>
      </c>
      <c r="B38" s="19">
        <v>2819.0472637623607</v>
      </c>
      <c r="C38" s="19">
        <v>11276.189055049443</v>
      </c>
      <c r="D38" s="19">
        <v>0</v>
      </c>
      <c r="E38" s="170">
        <v>8457.141791287082</v>
      </c>
    </row>
    <row r="39" spans="1:5" ht="19" thickBot="1" x14ac:dyDescent="0.3">
      <c r="A39" s="171" t="s">
        <v>109</v>
      </c>
      <c r="B39" s="112">
        <v>16077.378926144711</v>
      </c>
      <c r="C39" s="112">
        <v>64309.515704578851</v>
      </c>
      <c r="D39" s="112">
        <v>0</v>
      </c>
      <c r="E39" s="113">
        <v>48232.136778434142</v>
      </c>
    </row>
    <row r="40" spans="1:5" ht="18" thickBot="1" x14ac:dyDescent="0.25">
      <c r="A40" s="114" t="s">
        <v>271</v>
      </c>
      <c r="B40" s="112">
        <v>3215.4757852289422</v>
      </c>
      <c r="C40" s="112">
        <v>12861.903140915771</v>
      </c>
      <c r="D40" s="112">
        <v>0</v>
      </c>
      <c r="E40" s="113">
        <v>9646.4273556868284</v>
      </c>
    </row>
    <row r="42" spans="1:5" ht="19" x14ac:dyDescent="0.25">
      <c r="A42" s="213" t="s">
        <v>227</v>
      </c>
      <c r="B42" s="213"/>
      <c r="C42" s="213"/>
      <c r="D42" s="213"/>
      <c r="E42" s="213"/>
    </row>
    <row r="43" spans="1:5" ht="16" thickBot="1" x14ac:dyDescent="0.25">
      <c r="A43" s="189"/>
      <c r="B43" s="189"/>
      <c r="C43" s="189"/>
      <c r="D43" s="189"/>
      <c r="E43" s="189"/>
    </row>
    <row r="44" spans="1:5" ht="48" x14ac:dyDescent="0.2">
      <c r="A44" s="111" t="s">
        <v>103</v>
      </c>
      <c r="B44" s="20" t="s">
        <v>104</v>
      </c>
      <c r="C44" s="20" t="s">
        <v>105</v>
      </c>
      <c r="D44" s="20" t="s">
        <v>106</v>
      </c>
      <c r="E44" s="21" t="s">
        <v>107</v>
      </c>
    </row>
    <row r="45" spans="1:5" ht="16" thickBot="1" x14ac:dyDescent="0.25">
      <c r="A45" s="118"/>
      <c r="B45" s="104" t="s">
        <v>113</v>
      </c>
      <c r="C45" s="104" t="s">
        <v>113</v>
      </c>
      <c r="D45" s="104" t="s">
        <v>113</v>
      </c>
      <c r="E45" s="105" t="s">
        <v>113</v>
      </c>
    </row>
    <row r="46" spans="1:5" x14ac:dyDescent="0.2">
      <c r="A46" s="99" t="s">
        <v>259</v>
      </c>
      <c r="B46" s="106">
        <v>260.7618718980184</v>
      </c>
      <c r="C46" s="106">
        <v>1043.0474875920734</v>
      </c>
      <c r="D46" s="106">
        <v>0</v>
      </c>
      <c r="E46" s="107">
        <v>782.28561569405497</v>
      </c>
    </row>
    <row r="47" spans="1:5" x14ac:dyDescent="0.2">
      <c r="A47" s="108">
        <v>2019</v>
      </c>
      <c r="B47" s="26">
        <v>2572.3806281831539</v>
      </c>
      <c r="C47" s="26">
        <v>10289.522512732616</v>
      </c>
      <c r="D47" s="26">
        <v>0</v>
      </c>
      <c r="E47" s="51">
        <v>7717.1418845494618</v>
      </c>
    </row>
    <row r="48" spans="1:5" x14ac:dyDescent="0.2">
      <c r="A48" s="108">
        <v>2020</v>
      </c>
      <c r="B48" s="26">
        <v>2572.3806281831539</v>
      </c>
      <c r="C48" s="26">
        <v>10289.522512732616</v>
      </c>
      <c r="D48" s="26">
        <v>0</v>
      </c>
      <c r="E48" s="51">
        <v>7717.1418845494618</v>
      </c>
    </row>
    <row r="49" spans="1:5" x14ac:dyDescent="0.2">
      <c r="A49" s="108">
        <v>2021</v>
      </c>
      <c r="B49" s="26">
        <v>2572.3806281831539</v>
      </c>
      <c r="C49" s="26">
        <v>10289.522512732616</v>
      </c>
      <c r="D49" s="26">
        <v>0</v>
      </c>
      <c r="E49" s="51">
        <v>7717.1418845494618</v>
      </c>
    </row>
    <row r="50" spans="1:5" x14ac:dyDescent="0.2">
      <c r="A50" s="108">
        <v>2022</v>
      </c>
      <c r="B50" s="26">
        <v>2572.3806281831539</v>
      </c>
      <c r="C50" s="26">
        <v>10289.522512732616</v>
      </c>
      <c r="D50" s="26">
        <v>0</v>
      </c>
      <c r="E50" s="51">
        <v>7717.1418845494618</v>
      </c>
    </row>
    <row r="51" spans="1:5" ht="16" thickBot="1" x14ac:dyDescent="0.25">
      <c r="A51" s="100" t="s">
        <v>260</v>
      </c>
      <c r="B51" s="109">
        <v>2311.6187562851355</v>
      </c>
      <c r="C51" s="109">
        <v>9246.4750251405439</v>
      </c>
      <c r="D51" s="109">
        <v>0</v>
      </c>
      <c r="E51" s="110">
        <v>6934.8562688554084</v>
      </c>
    </row>
    <row r="52" spans="1:5" ht="17" thickBot="1" x14ac:dyDescent="0.25">
      <c r="A52" s="119" t="s">
        <v>116</v>
      </c>
      <c r="B52" s="101">
        <v>12861.903140915771</v>
      </c>
      <c r="C52" s="101">
        <v>51447.612563663082</v>
      </c>
      <c r="D52" s="101">
        <v>0</v>
      </c>
      <c r="E52" s="102">
        <v>38585.709422747314</v>
      </c>
    </row>
    <row r="53" spans="1:5" ht="18" thickBot="1" x14ac:dyDescent="0.25">
      <c r="A53" s="114" t="s">
        <v>271</v>
      </c>
      <c r="B53" s="112">
        <v>2572.3806281831539</v>
      </c>
      <c r="C53" s="112">
        <v>10289.522512732616</v>
      </c>
      <c r="D53" s="112">
        <v>0</v>
      </c>
      <c r="E53" s="113">
        <v>7717.1418845494627</v>
      </c>
    </row>
    <row r="55" spans="1:5" ht="19" x14ac:dyDescent="0.25">
      <c r="A55" s="213" t="s">
        <v>232</v>
      </c>
      <c r="B55" s="213"/>
      <c r="C55" s="213"/>
      <c r="D55" s="213"/>
      <c r="E55" s="213"/>
    </row>
    <row r="56" spans="1:5" ht="16" thickBot="1" x14ac:dyDescent="0.25"/>
    <row r="57" spans="1:5" ht="48" x14ac:dyDescent="0.2">
      <c r="A57" s="111" t="s">
        <v>103</v>
      </c>
      <c r="B57" s="20" t="s">
        <v>104</v>
      </c>
      <c r="C57" s="20" t="s">
        <v>105</v>
      </c>
      <c r="D57" s="20" t="s">
        <v>106</v>
      </c>
      <c r="E57" s="21" t="s">
        <v>107</v>
      </c>
    </row>
    <row r="58" spans="1:5" ht="16" thickBot="1" x14ac:dyDescent="0.25">
      <c r="A58" s="118"/>
      <c r="B58" s="104" t="s">
        <v>113</v>
      </c>
      <c r="C58" s="104" t="s">
        <v>113</v>
      </c>
      <c r="D58" s="104" t="s">
        <v>113</v>
      </c>
      <c r="E58" s="105" t="s">
        <v>113</v>
      </c>
    </row>
    <row r="59" spans="1:5" x14ac:dyDescent="0.2">
      <c r="A59" s="99" t="s">
        <v>261</v>
      </c>
      <c r="B59" s="106">
        <v>154</v>
      </c>
      <c r="C59" s="106">
        <v>1543</v>
      </c>
      <c r="D59" s="106">
        <v>0</v>
      </c>
      <c r="E59" s="107">
        <v>1388</v>
      </c>
    </row>
    <row r="60" spans="1:5" x14ac:dyDescent="0.2">
      <c r="A60" s="108">
        <v>2021</v>
      </c>
      <c r="B60" s="26">
        <v>923</v>
      </c>
      <c r="C60" s="26">
        <v>9230</v>
      </c>
      <c r="D60" s="26">
        <v>0</v>
      </c>
      <c r="E60" s="51">
        <v>8307</v>
      </c>
    </row>
    <row r="61" spans="1:5" x14ac:dyDescent="0.2">
      <c r="A61" s="108">
        <v>2022</v>
      </c>
      <c r="B61" s="26">
        <v>923</v>
      </c>
      <c r="C61" s="26">
        <v>9230</v>
      </c>
      <c r="D61" s="26">
        <v>0</v>
      </c>
      <c r="E61" s="51">
        <v>8307</v>
      </c>
    </row>
    <row r="62" spans="1:5" x14ac:dyDescent="0.2">
      <c r="A62" s="108">
        <v>2023</v>
      </c>
      <c r="B62" s="26">
        <v>923</v>
      </c>
      <c r="C62" s="26">
        <v>9230</v>
      </c>
      <c r="D62" s="26">
        <v>0</v>
      </c>
      <c r="E62" s="51">
        <v>8307</v>
      </c>
    </row>
    <row r="63" spans="1:5" x14ac:dyDescent="0.2">
      <c r="A63" s="108">
        <v>2024</v>
      </c>
      <c r="B63" s="26">
        <v>923</v>
      </c>
      <c r="C63" s="26">
        <v>9230</v>
      </c>
      <c r="D63" s="26">
        <v>0</v>
      </c>
      <c r="E63" s="51">
        <v>8307</v>
      </c>
    </row>
    <row r="64" spans="1:5" ht="16" thickBot="1" x14ac:dyDescent="0.25">
      <c r="A64" s="100" t="s">
        <v>262</v>
      </c>
      <c r="B64" s="109">
        <v>614</v>
      </c>
      <c r="C64" s="109">
        <v>6145</v>
      </c>
      <c r="D64" s="109">
        <v>0</v>
      </c>
      <c r="E64" s="110">
        <v>5530</v>
      </c>
    </row>
    <row r="65" spans="1:5" ht="17" thickBot="1" x14ac:dyDescent="0.25">
      <c r="A65" s="119" t="s">
        <v>116</v>
      </c>
      <c r="B65" s="101">
        <v>4461</v>
      </c>
      <c r="C65" s="101">
        <v>44606</v>
      </c>
      <c r="D65" s="101">
        <v>0</v>
      </c>
      <c r="E65" s="102">
        <v>40145</v>
      </c>
    </row>
    <row r="66" spans="1:5" ht="18" thickBot="1" x14ac:dyDescent="0.25">
      <c r="A66" s="114" t="s">
        <v>271</v>
      </c>
      <c r="B66" s="112">
        <v>892</v>
      </c>
      <c r="C66" s="112">
        <v>8921</v>
      </c>
      <c r="D66" s="112">
        <v>0</v>
      </c>
      <c r="E66" s="113">
        <v>8029</v>
      </c>
    </row>
    <row r="68" spans="1:5" ht="19" x14ac:dyDescent="0.25">
      <c r="A68" s="213" t="s">
        <v>0</v>
      </c>
      <c r="B68" s="213"/>
      <c r="C68" s="213"/>
      <c r="D68" s="213"/>
      <c r="E68" s="213"/>
    </row>
    <row r="69" spans="1:5" ht="16" thickBot="1" x14ac:dyDescent="0.25"/>
    <row r="70" spans="1:5" ht="48" x14ac:dyDescent="0.2">
      <c r="A70" s="111" t="s">
        <v>103</v>
      </c>
      <c r="B70" s="20" t="s">
        <v>104</v>
      </c>
      <c r="C70" s="20" t="s">
        <v>105</v>
      </c>
      <c r="D70" s="20" t="s">
        <v>106</v>
      </c>
      <c r="E70" s="21" t="s">
        <v>107</v>
      </c>
    </row>
    <row r="71" spans="1:5" ht="16" thickBot="1" x14ac:dyDescent="0.25">
      <c r="A71" s="118"/>
      <c r="B71" s="104" t="s">
        <v>113</v>
      </c>
      <c r="C71" s="104" t="s">
        <v>113</v>
      </c>
      <c r="D71" s="104" t="s">
        <v>113</v>
      </c>
      <c r="E71" s="105" t="s">
        <v>113</v>
      </c>
    </row>
    <row r="72" spans="1:5" x14ac:dyDescent="0.2">
      <c r="A72" s="99" t="s">
        <v>114</v>
      </c>
      <c r="B72" s="106">
        <v>255.39774508329583</v>
      </c>
      <c r="C72" s="106">
        <v>2553.9774508329588</v>
      </c>
      <c r="D72" s="106">
        <v>0</v>
      </c>
      <c r="E72" s="107">
        <v>2298.5797057496629</v>
      </c>
    </row>
    <row r="73" spans="1:5" x14ac:dyDescent="0.2">
      <c r="A73" s="108">
        <v>2020</v>
      </c>
      <c r="B73" s="26">
        <v>922.97204906339539</v>
      </c>
      <c r="C73" s="26">
        <v>9229.720490633963</v>
      </c>
      <c r="D73" s="26">
        <v>0</v>
      </c>
      <c r="E73" s="51">
        <v>8306.7484415705676</v>
      </c>
    </row>
    <row r="74" spans="1:5" x14ac:dyDescent="0.2">
      <c r="A74" s="108">
        <v>2021</v>
      </c>
      <c r="B74" s="26">
        <v>922.97204906339539</v>
      </c>
      <c r="C74" s="26">
        <v>9229.720490633963</v>
      </c>
      <c r="D74" s="26">
        <v>0</v>
      </c>
      <c r="E74" s="51">
        <v>8306.7484415705676</v>
      </c>
    </row>
    <row r="75" spans="1:5" x14ac:dyDescent="0.2">
      <c r="A75" s="108">
        <v>2022</v>
      </c>
      <c r="B75" s="26">
        <v>922.97204906339539</v>
      </c>
      <c r="C75" s="26">
        <v>9229.720490633963</v>
      </c>
      <c r="D75" s="26">
        <v>0</v>
      </c>
      <c r="E75" s="51">
        <v>8306.7484415705676</v>
      </c>
    </row>
    <row r="76" spans="1:5" x14ac:dyDescent="0.2">
      <c r="A76" s="108">
        <v>2023</v>
      </c>
      <c r="B76" s="26">
        <v>922.97204906339539</v>
      </c>
      <c r="C76" s="26">
        <v>9229.720490633963</v>
      </c>
      <c r="D76" s="26">
        <v>0</v>
      </c>
      <c r="E76" s="51">
        <v>8306.7484415705676</v>
      </c>
    </row>
    <row r="77" spans="1:5" ht="16" thickBot="1" x14ac:dyDescent="0.25">
      <c r="A77" s="100" t="s">
        <v>115</v>
      </c>
      <c r="B77" s="109">
        <v>667.57430398010001</v>
      </c>
      <c r="C77" s="109">
        <v>6675.7430398010038</v>
      </c>
      <c r="D77" s="109">
        <v>0</v>
      </c>
      <c r="E77" s="110">
        <v>6008.1687358209037</v>
      </c>
    </row>
    <row r="78" spans="1:5" ht="17" thickBot="1" x14ac:dyDescent="0.25">
      <c r="A78" s="119" t="s">
        <v>116</v>
      </c>
      <c r="B78" s="101">
        <v>4614.8602453169769</v>
      </c>
      <c r="C78" s="101">
        <v>46148.602453169813</v>
      </c>
      <c r="D78" s="101">
        <v>0</v>
      </c>
      <c r="E78" s="102">
        <v>41533.74220785284</v>
      </c>
    </row>
    <row r="79" spans="1:5" ht="18" thickBot="1" x14ac:dyDescent="0.25">
      <c r="A79" s="114" t="s">
        <v>271</v>
      </c>
      <c r="B79" s="112">
        <v>922.97204906339539</v>
      </c>
      <c r="C79" s="112">
        <v>9229.720490633963</v>
      </c>
      <c r="D79" s="112">
        <v>0</v>
      </c>
      <c r="E79" s="113">
        <v>8306.7484415705676</v>
      </c>
    </row>
    <row r="81" spans="1:5" ht="19" x14ac:dyDescent="0.25">
      <c r="A81" s="213" t="s">
        <v>236</v>
      </c>
      <c r="B81" s="213"/>
      <c r="C81" s="213"/>
      <c r="D81" s="213"/>
      <c r="E81" s="213"/>
    </row>
    <row r="82" spans="1:5" ht="16" thickBot="1" x14ac:dyDescent="0.25"/>
    <row r="83" spans="1:5" ht="48" x14ac:dyDescent="0.2">
      <c r="A83" s="111" t="s">
        <v>103</v>
      </c>
      <c r="B83" s="20" t="s">
        <v>104</v>
      </c>
      <c r="C83" s="20" t="s">
        <v>105</v>
      </c>
      <c r="D83" s="20" t="s">
        <v>106</v>
      </c>
      <c r="E83" s="21" t="s">
        <v>107</v>
      </c>
    </row>
    <row r="84" spans="1:5" ht="16" thickBot="1" x14ac:dyDescent="0.25">
      <c r="A84" s="118"/>
      <c r="B84" s="104" t="s">
        <v>113</v>
      </c>
      <c r="C84" s="104" t="s">
        <v>113</v>
      </c>
      <c r="D84" s="104" t="s">
        <v>113</v>
      </c>
      <c r="E84" s="105" t="s">
        <v>113</v>
      </c>
    </row>
    <row r="85" spans="1:5" x14ac:dyDescent="0.2">
      <c r="A85" s="99" t="s">
        <v>263</v>
      </c>
      <c r="B85" s="106">
        <v>177.00833817654166</v>
      </c>
      <c r="C85" s="106">
        <v>1770.0833817654175</v>
      </c>
      <c r="D85" s="106">
        <v>0</v>
      </c>
      <c r="E85" s="107">
        <v>1593.0750435888758</v>
      </c>
    </row>
    <row r="86" spans="1:5" x14ac:dyDescent="0.2">
      <c r="A86" s="108">
        <v>2020</v>
      </c>
      <c r="B86" s="26">
        <v>922.97204906339539</v>
      </c>
      <c r="C86" s="26">
        <v>9229.720490633963</v>
      </c>
      <c r="D86" s="26">
        <v>0</v>
      </c>
      <c r="E86" s="51">
        <v>8306.7484415705676</v>
      </c>
    </row>
    <row r="87" spans="1:5" x14ac:dyDescent="0.2">
      <c r="A87" s="108">
        <v>2021</v>
      </c>
      <c r="B87" s="26">
        <v>922.97204906339539</v>
      </c>
      <c r="C87" s="26">
        <v>9229.720490633963</v>
      </c>
      <c r="D87" s="26">
        <v>0</v>
      </c>
      <c r="E87" s="51">
        <v>8306.7484415705676</v>
      </c>
    </row>
    <row r="88" spans="1:5" x14ac:dyDescent="0.2">
      <c r="A88" s="108">
        <v>2022</v>
      </c>
      <c r="B88" s="26">
        <v>922.97204906339539</v>
      </c>
      <c r="C88" s="26">
        <v>9229.720490633963</v>
      </c>
      <c r="D88" s="26">
        <v>0</v>
      </c>
      <c r="E88" s="51">
        <v>8306.7484415705676</v>
      </c>
    </row>
    <row r="89" spans="1:5" x14ac:dyDescent="0.2">
      <c r="A89" s="108">
        <v>2023</v>
      </c>
      <c r="B89" s="26">
        <v>922.97204906339539</v>
      </c>
      <c r="C89" s="26">
        <v>9229.720490633963</v>
      </c>
      <c r="D89" s="26">
        <v>0</v>
      </c>
      <c r="E89" s="51">
        <v>8306.7484415705676</v>
      </c>
    </row>
    <row r="90" spans="1:5" ht="16" thickBot="1" x14ac:dyDescent="0.25">
      <c r="A90" s="100" t="s">
        <v>264</v>
      </c>
      <c r="B90" s="109">
        <v>667.57430398010001</v>
      </c>
      <c r="C90" s="109">
        <v>6675.7430398010038</v>
      </c>
      <c r="D90" s="109">
        <v>0</v>
      </c>
      <c r="E90" s="110">
        <v>6008.1687358209037</v>
      </c>
    </row>
    <row r="91" spans="1:5" ht="17" thickBot="1" x14ac:dyDescent="0.25">
      <c r="A91" s="119" t="s">
        <v>116</v>
      </c>
      <c r="B91" s="101">
        <v>4536.4708384102232</v>
      </c>
      <c r="C91" s="101">
        <v>45364.708384102269</v>
      </c>
      <c r="D91" s="101">
        <v>0</v>
      </c>
      <c r="E91" s="102">
        <v>40828.237545692049</v>
      </c>
    </row>
    <row r="92" spans="1:5" ht="18" thickBot="1" x14ac:dyDescent="0.25">
      <c r="A92" s="114" t="s">
        <v>271</v>
      </c>
      <c r="B92" s="112">
        <v>907.29416768204464</v>
      </c>
      <c r="C92" s="112">
        <v>9072.9416768204537</v>
      </c>
      <c r="D92" s="112">
        <v>0</v>
      </c>
      <c r="E92" s="113">
        <v>8165.64750913841</v>
      </c>
    </row>
    <row r="95" spans="1:5" ht="19" x14ac:dyDescent="0.25">
      <c r="A95" s="213" t="s">
        <v>239</v>
      </c>
      <c r="B95" s="213"/>
      <c r="C95" s="213"/>
      <c r="D95" s="213"/>
      <c r="E95" s="213"/>
    </row>
    <row r="96" spans="1:5" ht="16" thickBot="1" x14ac:dyDescent="0.25">
      <c r="A96" s="117"/>
      <c r="B96" s="97"/>
      <c r="C96" s="97"/>
    </row>
    <row r="97" spans="1:5" ht="48" x14ac:dyDescent="0.2">
      <c r="A97" s="111" t="s">
        <v>103</v>
      </c>
      <c r="B97" s="20" t="s">
        <v>104</v>
      </c>
      <c r="C97" s="20" t="s">
        <v>105</v>
      </c>
      <c r="D97" s="20" t="s">
        <v>106</v>
      </c>
      <c r="E97" s="21" t="s">
        <v>107</v>
      </c>
    </row>
    <row r="98" spans="1:5" ht="16" thickBot="1" x14ac:dyDescent="0.25">
      <c r="A98" s="118"/>
      <c r="B98" s="104" t="s">
        <v>113</v>
      </c>
      <c r="C98" s="104" t="s">
        <v>113</v>
      </c>
      <c r="D98" s="104" t="s">
        <v>113</v>
      </c>
      <c r="E98" s="105" t="s">
        <v>113</v>
      </c>
    </row>
    <row r="99" spans="1:5" x14ac:dyDescent="0.2">
      <c r="A99" s="99" t="s">
        <v>265</v>
      </c>
      <c r="B99" s="106">
        <v>58.159882543720869</v>
      </c>
      <c r="C99" s="106">
        <v>581.59882543720869</v>
      </c>
      <c r="D99" s="106">
        <v>0</v>
      </c>
      <c r="E99" s="107">
        <v>523.43894289348782</v>
      </c>
    </row>
    <row r="100" spans="1:5" x14ac:dyDescent="0.2">
      <c r="A100" s="108">
        <v>2020</v>
      </c>
      <c r="B100" s="26">
        <v>922.97204906339539</v>
      </c>
      <c r="C100" s="26">
        <v>9229.720490633963</v>
      </c>
      <c r="D100" s="26">
        <v>0</v>
      </c>
      <c r="E100" s="51">
        <v>8306.7484415705676</v>
      </c>
    </row>
    <row r="101" spans="1:5" x14ac:dyDescent="0.2">
      <c r="A101" s="108">
        <v>2021</v>
      </c>
      <c r="B101" s="26">
        <v>922.97204906339539</v>
      </c>
      <c r="C101" s="26">
        <v>9229.720490633963</v>
      </c>
      <c r="D101" s="26">
        <v>0</v>
      </c>
      <c r="E101" s="51">
        <v>8306.7484415705676</v>
      </c>
    </row>
    <row r="102" spans="1:5" x14ac:dyDescent="0.2">
      <c r="A102" s="108">
        <v>2022</v>
      </c>
      <c r="B102" s="26">
        <v>922.97204906339539</v>
      </c>
      <c r="C102" s="26">
        <v>9229.720490633963</v>
      </c>
      <c r="D102" s="26">
        <v>0</v>
      </c>
      <c r="E102" s="51">
        <v>8306.7484415705676</v>
      </c>
    </row>
    <row r="103" spans="1:5" x14ac:dyDescent="0.2">
      <c r="A103" s="108">
        <v>2023</v>
      </c>
      <c r="B103" s="26">
        <v>922.97204906339539</v>
      </c>
      <c r="C103" s="26">
        <v>9229.720490633963</v>
      </c>
      <c r="D103" s="26">
        <v>0</v>
      </c>
      <c r="E103" s="51">
        <v>8306.7484415705676</v>
      </c>
    </row>
    <row r="104" spans="1:5" ht="16" thickBot="1" x14ac:dyDescent="0.25">
      <c r="A104" s="100" t="s">
        <v>266</v>
      </c>
      <c r="B104" s="109">
        <v>824.35311779360836</v>
      </c>
      <c r="C104" s="109">
        <v>8243.5311779360873</v>
      </c>
      <c r="D104" s="109">
        <v>0</v>
      </c>
      <c r="E104" s="110">
        <v>7419.1780601424789</v>
      </c>
    </row>
    <row r="105" spans="1:5" ht="17" thickBot="1" x14ac:dyDescent="0.25">
      <c r="A105" s="119" t="s">
        <v>116</v>
      </c>
      <c r="B105" s="101">
        <v>4574.4011965909103</v>
      </c>
      <c r="C105" s="101">
        <v>45744.011965909143</v>
      </c>
      <c r="D105" s="101">
        <v>0</v>
      </c>
      <c r="E105" s="102">
        <v>41169.610769318235</v>
      </c>
    </row>
    <row r="106" spans="1:5" ht="18" thickBot="1" x14ac:dyDescent="0.25">
      <c r="A106" s="114" t="s">
        <v>271</v>
      </c>
      <c r="B106" s="112">
        <v>914.88023931818202</v>
      </c>
      <c r="C106" s="112">
        <v>9148.8023931818279</v>
      </c>
      <c r="D106" s="112">
        <v>0</v>
      </c>
      <c r="E106" s="113">
        <v>8233.9221538636466</v>
      </c>
    </row>
    <row r="108" spans="1:5" ht="19" x14ac:dyDescent="0.25">
      <c r="A108" s="213" t="s">
        <v>242</v>
      </c>
      <c r="B108" s="213"/>
      <c r="C108" s="213"/>
      <c r="D108" s="213"/>
      <c r="E108" s="213"/>
    </row>
    <row r="109" spans="1:5" ht="16" thickBot="1" x14ac:dyDescent="0.25"/>
    <row r="110" spans="1:5" ht="48" x14ac:dyDescent="0.2">
      <c r="A110" s="111" t="s">
        <v>103</v>
      </c>
      <c r="B110" s="20" t="s">
        <v>104</v>
      </c>
      <c r="C110" s="20" t="s">
        <v>105</v>
      </c>
      <c r="D110" s="20" t="s">
        <v>106</v>
      </c>
      <c r="E110" s="21" t="s">
        <v>107</v>
      </c>
    </row>
    <row r="111" spans="1:5" ht="16" thickBot="1" x14ac:dyDescent="0.25">
      <c r="A111" s="118"/>
      <c r="B111" s="104" t="s">
        <v>113</v>
      </c>
      <c r="C111" s="104" t="s">
        <v>113</v>
      </c>
      <c r="D111" s="104" t="s">
        <v>113</v>
      </c>
      <c r="E111" s="105" t="s">
        <v>113</v>
      </c>
    </row>
    <row r="112" spans="1:5" x14ac:dyDescent="0.2">
      <c r="A112" s="99" t="s">
        <v>267</v>
      </c>
      <c r="B112" s="106">
        <v>255.39774508329583</v>
      </c>
      <c r="C112" s="106">
        <v>2553.9774508329588</v>
      </c>
      <c r="D112" s="106">
        <v>0</v>
      </c>
      <c r="E112" s="107">
        <v>2298.5797057496629</v>
      </c>
    </row>
    <row r="113" spans="1:5" x14ac:dyDescent="0.2">
      <c r="A113" s="108">
        <v>2020</v>
      </c>
      <c r="B113" s="26">
        <v>922.97204906339539</v>
      </c>
      <c r="C113" s="26">
        <v>9229.720490633963</v>
      </c>
      <c r="D113" s="26">
        <v>0</v>
      </c>
      <c r="E113" s="51">
        <v>8306.7484415705676</v>
      </c>
    </row>
    <row r="114" spans="1:5" x14ac:dyDescent="0.2">
      <c r="A114" s="108">
        <v>2021</v>
      </c>
      <c r="B114" s="26">
        <v>922.97204906339539</v>
      </c>
      <c r="C114" s="26">
        <v>9229.720490633963</v>
      </c>
      <c r="D114" s="26">
        <v>0</v>
      </c>
      <c r="E114" s="51">
        <v>8306.7484415705676</v>
      </c>
    </row>
    <row r="115" spans="1:5" x14ac:dyDescent="0.2">
      <c r="A115" s="108">
        <v>2022</v>
      </c>
      <c r="B115" s="26">
        <v>922.97204906339539</v>
      </c>
      <c r="C115" s="26">
        <v>9229.720490633963</v>
      </c>
      <c r="D115" s="26">
        <v>0</v>
      </c>
      <c r="E115" s="51">
        <v>8306.7484415705676</v>
      </c>
    </row>
    <row r="116" spans="1:5" x14ac:dyDescent="0.2">
      <c r="A116" s="108">
        <v>2023</v>
      </c>
      <c r="B116" s="26">
        <v>922.97204906339539</v>
      </c>
      <c r="C116" s="26">
        <v>9229.720490633963</v>
      </c>
      <c r="D116" s="26">
        <v>0</v>
      </c>
      <c r="E116" s="51">
        <v>8306.7484415705676</v>
      </c>
    </row>
    <row r="117" spans="1:5" ht="16" thickBot="1" x14ac:dyDescent="0.25">
      <c r="A117" s="100" t="s">
        <v>115</v>
      </c>
      <c r="B117" s="109">
        <v>667.57430398010001</v>
      </c>
      <c r="C117" s="109">
        <v>6675.7430398010038</v>
      </c>
      <c r="D117" s="109">
        <v>0</v>
      </c>
      <c r="E117" s="110">
        <v>6008.1687358209037</v>
      </c>
    </row>
    <row r="118" spans="1:5" ht="17" thickBot="1" x14ac:dyDescent="0.25">
      <c r="A118" s="119" t="s">
        <v>116</v>
      </c>
      <c r="B118" s="101">
        <v>4614.8602453169769</v>
      </c>
      <c r="C118" s="101">
        <v>46148.602453169813</v>
      </c>
      <c r="D118" s="101">
        <v>0</v>
      </c>
      <c r="E118" s="102">
        <v>41533.74220785284</v>
      </c>
    </row>
    <row r="119" spans="1:5" ht="18" thickBot="1" x14ac:dyDescent="0.25">
      <c r="A119" s="114" t="s">
        <v>271</v>
      </c>
      <c r="B119" s="112">
        <v>922.97204906339539</v>
      </c>
      <c r="C119" s="112">
        <v>9229.720490633963</v>
      </c>
      <c r="D119" s="112">
        <v>0</v>
      </c>
      <c r="E119" s="113">
        <v>8306.7484415705676</v>
      </c>
    </row>
    <row r="122" spans="1:5" ht="19" x14ac:dyDescent="0.25">
      <c r="A122" s="213" t="s">
        <v>245</v>
      </c>
      <c r="B122" s="213"/>
      <c r="C122" s="213"/>
      <c r="D122" s="213"/>
      <c r="E122" s="213"/>
    </row>
    <row r="123" spans="1:5" ht="16" thickBot="1" x14ac:dyDescent="0.25"/>
    <row r="124" spans="1:5" ht="48" x14ac:dyDescent="0.2">
      <c r="A124" s="111" t="s">
        <v>103</v>
      </c>
      <c r="B124" s="20" t="s">
        <v>104</v>
      </c>
      <c r="C124" s="20" t="s">
        <v>105</v>
      </c>
      <c r="D124" s="20" t="s">
        <v>106</v>
      </c>
      <c r="E124" s="21" t="s">
        <v>107</v>
      </c>
    </row>
    <row r="125" spans="1:5" ht="16" thickBot="1" x14ac:dyDescent="0.25">
      <c r="A125" s="118"/>
      <c r="B125" s="104" t="s">
        <v>113</v>
      </c>
      <c r="C125" s="104" t="s">
        <v>113</v>
      </c>
      <c r="D125" s="104" t="s">
        <v>113</v>
      </c>
      <c r="E125" s="105" t="s">
        <v>113</v>
      </c>
    </row>
    <row r="126" spans="1:5" x14ac:dyDescent="0.2">
      <c r="A126" s="99" t="s">
        <v>268</v>
      </c>
      <c r="B126" s="106">
        <v>205.66683102417232</v>
      </c>
      <c r="C126" s="106">
        <v>2056.6683102417228</v>
      </c>
      <c r="D126" s="106">
        <v>0</v>
      </c>
      <c r="E126" s="107">
        <v>1851.0014792175505</v>
      </c>
    </row>
    <row r="127" spans="1:5" x14ac:dyDescent="0.2">
      <c r="A127" s="108">
        <v>2021</v>
      </c>
      <c r="B127" s="26">
        <v>922.97204906339539</v>
      </c>
      <c r="C127" s="26">
        <v>9229.720490633963</v>
      </c>
      <c r="D127" s="26">
        <v>0</v>
      </c>
      <c r="E127" s="51">
        <v>8306.7484415705676</v>
      </c>
    </row>
    <row r="128" spans="1:5" x14ac:dyDescent="0.2">
      <c r="A128" s="108">
        <v>2022</v>
      </c>
      <c r="B128" s="26">
        <v>922.97204906339539</v>
      </c>
      <c r="C128" s="26">
        <v>9229.720490633963</v>
      </c>
      <c r="D128" s="26">
        <v>0</v>
      </c>
      <c r="E128" s="51">
        <v>8306.7484415705676</v>
      </c>
    </row>
    <row r="129" spans="1:5" x14ac:dyDescent="0.2">
      <c r="A129" s="108">
        <v>2023</v>
      </c>
      <c r="B129" s="26">
        <v>922.97204906339539</v>
      </c>
      <c r="C129" s="26">
        <v>9229.720490633963</v>
      </c>
      <c r="D129" s="26">
        <v>0</v>
      </c>
      <c r="E129" s="51">
        <v>8306.7484415705676</v>
      </c>
    </row>
    <row r="130" spans="1:5" x14ac:dyDescent="0.2">
      <c r="A130" s="108">
        <v>2024</v>
      </c>
      <c r="B130" s="26">
        <v>922.97204906339539</v>
      </c>
      <c r="C130" s="26">
        <v>9229.720490633963</v>
      </c>
      <c r="D130" s="26">
        <v>0</v>
      </c>
      <c r="E130" s="51">
        <v>8306.7484415705676</v>
      </c>
    </row>
    <row r="131" spans="1:5" ht="16" thickBot="1" x14ac:dyDescent="0.25">
      <c r="A131" s="100" t="s">
        <v>269</v>
      </c>
      <c r="B131" s="109">
        <v>614.4718025271377</v>
      </c>
      <c r="C131" s="109">
        <v>6144.7180252713788</v>
      </c>
      <c r="D131" s="109">
        <v>0</v>
      </c>
      <c r="E131" s="110">
        <v>5530.2462227442411</v>
      </c>
    </row>
    <row r="132" spans="1:5" ht="17" thickBot="1" x14ac:dyDescent="0.25">
      <c r="A132" s="119" t="s">
        <v>116</v>
      </c>
      <c r="B132" s="101">
        <v>4512.0268298048913</v>
      </c>
      <c r="C132" s="101">
        <v>45120.268298048955</v>
      </c>
      <c r="D132" s="101">
        <v>0</v>
      </c>
      <c r="E132" s="102">
        <v>40608.241468244058</v>
      </c>
    </row>
    <row r="133" spans="1:5" ht="18" thickBot="1" x14ac:dyDescent="0.25">
      <c r="A133" s="114" t="s">
        <v>271</v>
      </c>
      <c r="B133" s="112">
        <v>902.40536596097832</v>
      </c>
      <c r="C133" s="112">
        <v>9024.0536596097918</v>
      </c>
      <c r="D133" s="112">
        <v>0</v>
      </c>
      <c r="E133" s="113">
        <v>8121.6482936488119</v>
      </c>
    </row>
    <row r="135" spans="1:5" ht="19" x14ac:dyDescent="0.25">
      <c r="A135" s="213" t="s">
        <v>249</v>
      </c>
      <c r="B135" s="213"/>
      <c r="C135" s="213"/>
      <c r="D135" s="213"/>
      <c r="E135" s="213"/>
    </row>
    <row r="136" spans="1:5" ht="16" thickBot="1" x14ac:dyDescent="0.25"/>
    <row r="137" spans="1:5" ht="48" x14ac:dyDescent="0.2">
      <c r="A137" s="111" t="s">
        <v>103</v>
      </c>
      <c r="B137" s="20" t="s">
        <v>104</v>
      </c>
      <c r="C137" s="20" t="s">
        <v>105</v>
      </c>
      <c r="D137" s="20" t="s">
        <v>106</v>
      </c>
      <c r="E137" s="21" t="s">
        <v>107</v>
      </c>
    </row>
    <row r="138" spans="1:5" ht="16" thickBot="1" x14ac:dyDescent="0.25">
      <c r="A138" s="118"/>
      <c r="B138" s="104" t="s">
        <v>113</v>
      </c>
      <c r="C138" s="104" t="s">
        <v>113</v>
      </c>
      <c r="D138" s="104" t="s">
        <v>113</v>
      </c>
      <c r="E138" s="105" t="s">
        <v>113</v>
      </c>
    </row>
    <row r="139" spans="1:5" x14ac:dyDescent="0.2">
      <c r="A139" s="99" t="s">
        <v>268</v>
      </c>
      <c r="B139" s="106">
        <v>289.53506744591505</v>
      </c>
      <c r="C139" s="106">
        <v>2895.3506744591473</v>
      </c>
      <c r="D139" s="106">
        <v>0</v>
      </c>
      <c r="E139" s="107">
        <v>2605.8156070132322</v>
      </c>
    </row>
    <row r="140" spans="1:5" x14ac:dyDescent="0.2">
      <c r="A140" s="108">
        <v>2021</v>
      </c>
      <c r="B140" s="26">
        <v>922.97204906339539</v>
      </c>
      <c r="C140" s="26">
        <v>9229.720490633963</v>
      </c>
      <c r="D140" s="26">
        <v>0</v>
      </c>
      <c r="E140" s="51">
        <v>8306.7484415705676</v>
      </c>
    </row>
    <row r="141" spans="1:5" x14ac:dyDescent="0.2">
      <c r="A141" s="108">
        <v>2022</v>
      </c>
      <c r="B141" s="26">
        <v>922.97204906339539</v>
      </c>
      <c r="C141" s="26">
        <v>9229.720490633963</v>
      </c>
      <c r="D141" s="26">
        <v>0</v>
      </c>
      <c r="E141" s="51">
        <v>8306.7484415705676</v>
      </c>
    </row>
    <row r="142" spans="1:5" x14ac:dyDescent="0.2">
      <c r="A142" s="108">
        <v>2023</v>
      </c>
      <c r="B142" s="26">
        <v>922.97204906339539</v>
      </c>
      <c r="C142" s="26">
        <v>9229.720490633963</v>
      </c>
      <c r="D142" s="26">
        <v>0</v>
      </c>
      <c r="E142" s="51">
        <v>8306.7484415705676</v>
      </c>
    </row>
    <row r="143" spans="1:5" x14ac:dyDescent="0.2">
      <c r="A143" s="108">
        <v>2024</v>
      </c>
      <c r="B143" s="26">
        <v>922.97204906339539</v>
      </c>
      <c r="C143" s="26">
        <v>9229.720490633963</v>
      </c>
      <c r="D143" s="26">
        <v>0</v>
      </c>
      <c r="E143" s="51">
        <v>8306.7484415705676</v>
      </c>
    </row>
    <row r="144" spans="1:5" ht="16" thickBot="1" x14ac:dyDescent="0.25">
      <c r="A144" s="100" t="s">
        <v>269</v>
      </c>
      <c r="B144" s="109">
        <v>614.4718025271377</v>
      </c>
      <c r="C144" s="109">
        <v>6144.7180252713788</v>
      </c>
      <c r="D144" s="109">
        <v>0</v>
      </c>
      <c r="E144" s="110">
        <v>5530.2462227442411</v>
      </c>
    </row>
    <row r="145" spans="1:5" ht="17" thickBot="1" x14ac:dyDescent="0.25">
      <c r="A145" s="119" t="s">
        <v>116</v>
      </c>
      <c r="B145" s="101">
        <v>4595.8950662266343</v>
      </c>
      <c r="C145" s="101">
        <v>45958.950662266376</v>
      </c>
      <c r="D145" s="101">
        <v>0</v>
      </c>
      <c r="E145" s="102">
        <v>41363.055596039747</v>
      </c>
    </row>
    <row r="146" spans="1:5" ht="18" thickBot="1" x14ac:dyDescent="0.25">
      <c r="A146" s="114" t="s">
        <v>271</v>
      </c>
      <c r="B146" s="112">
        <v>919.17901324532681</v>
      </c>
      <c r="C146" s="112">
        <v>9191.7901324532759</v>
      </c>
      <c r="D146" s="112">
        <v>0</v>
      </c>
      <c r="E146" s="113">
        <v>8272.6111192079497</v>
      </c>
    </row>
  </sheetData>
  <mergeCells count="16">
    <mergeCell ref="C6:D6"/>
    <mergeCell ref="J8:L8"/>
    <mergeCell ref="B5:M5"/>
    <mergeCell ref="A29:E29"/>
    <mergeCell ref="A42:E42"/>
    <mergeCell ref="C8:D8"/>
    <mergeCell ref="E8:F8"/>
    <mergeCell ref="G8:H8"/>
    <mergeCell ref="A95:E95"/>
    <mergeCell ref="A108:E108"/>
    <mergeCell ref="A122:E122"/>
    <mergeCell ref="A135:E135"/>
    <mergeCell ref="A27:E27"/>
    <mergeCell ref="A55:E55"/>
    <mergeCell ref="A68:E68"/>
    <mergeCell ref="A81:E81"/>
  </mergeCells>
  <conditionalFormatting sqref="M10:M18">
    <cfRule type="containsText" dxfId="6" priority="1" operator="containsText" text="Real achieved Ers are higher than ERs as in the registred PDD">
      <formula>NOT(ISERROR(SEARCH("Real achieved Ers are higher than ERs as in the registred PDD",M10)))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AD0B0-0363-4C7D-A620-13D8530D34B9}">
  <dimension ref="A2:D58"/>
  <sheetViews>
    <sheetView zoomScaleNormal="100" workbookViewId="0">
      <selection activeCell="I49" sqref="I49"/>
    </sheetView>
  </sheetViews>
  <sheetFormatPr baseColWidth="10" defaultColWidth="8.83203125" defaultRowHeight="15" x14ac:dyDescent="0.2"/>
  <cols>
    <col min="1" max="1" width="45" customWidth="1"/>
    <col min="2" max="2" width="18" customWidth="1"/>
    <col min="3" max="3" width="30.6640625" customWidth="1"/>
    <col min="4" max="4" width="26.33203125" customWidth="1"/>
    <col min="5" max="5" width="10.83203125" customWidth="1"/>
    <col min="6" max="6" width="21" customWidth="1"/>
  </cols>
  <sheetData>
    <row r="2" spans="1:3" x14ac:dyDescent="0.2">
      <c r="A2" s="195" t="s">
        <v>60</v>
      </c>
      <c r="B2" s="49">
        <f ca="1">+ERs!C16</f>
        <v>1500</v>
      </c>
      <c r="C2" t="s">
        <v>61</v>
      </c>
    </row>
    <row r="3" spans="1:3" x14ac:dyDescent="0.2">
      <c r="A3" s="1"/>
      <c r="B3" s="49">
        <f ca="1">+ERs!C17</f>
        <v>1200</v>
      </c>
    </row>
    <row r="4" spans="1:3" x14ac:dyDescent="0.2">
      <c r="A4" s="1"/>
      <c r="B4" s="49">
        <f ca="1">+ERs!C18</f>
        <v>6003</v>
      </c>
    </row>
    <row r="5" spans="1:3" x14ac:dyDescent="0.2">
      <c r="A5" s="1"/>
      <c r="B5" s="49">
        <f ca="1">+ERs!C19</f>
        <v>6050</v>
      </c>
    </row>
    <row r="6" spans="1:3" x14ac:dyDescent="0.2">
      <c r="A6" s="1"/>
      <c r="B6" s="49">
        <f ca="1">+ERs!C20</f>
        <v>6017</v>
      </c>
    </row>
    <row r="7" spans="1:3" x14ac:dyDescent="0.2">
      <c r="A7" s="1"/>
      <c r="B7" s="49">
        <f ca="1">+ERs!C21</f>
        <v>5108</v>
      </c>
    </row>
    <row r="8" spans="1:3" x14ac:dyDescent="0.2">
      <c r="A8" s="1"/>
      <c r="B8" s="49">
        <f ca="1">+ERs!C22</f>
        <v>6009</v>
      </c>
    </row>
    <row r="9" spans="1:3" x14ac:dyDescent="0.2">
      <c r="A9" s="1"/>
      <c r="B9" s="49">
        <f ca="1">+ERs!C23</f>
        <v>6787</v>
      </c>
    </row>
    <row r="10" spans="1:3" x14ac:dyDescent="0.2">
      <c r="A10" s="1"/>
      <c r="B10" s="49">
        <f ca="1">+ERs!C24</f>
        <v>6073</v>
      </c>
    </row>
    <row r="11" spans="1:3" x14ac:dyDescent="0.2">
      <c r="A11" s="38" t="s">
        <v>117</v>
      </c>
      <c r="B11" s="37">
        <f>+'General data'!B5</f>
        <v>0.02</v>
      </c>
      <c r="C11" s="1" t="s">
        <v>13</v>
      </c>
    </row>
    <row r="12" spans="1:3" ht="18" x14ac:dyDescent="0.25">
      <c r="A12" s="196" t="s">
        <v>7</v>
      </c>
      <c r="B12" s="37">
        <f>+'General data'!B4</f>
        <v>0.14899999999999999</v>
      </c>
      <c r="C12" s="1" t="s">
        <v>9</v>
      </c>
    </row>
    <row r="13" spans="1:3" ht="17" x14ac:dyDescent="0.25">
      <c r="A13" s="197" t="s">
        <v>118</v>
      </c>
      <c r="B13" s="37">
        <f>+'General data'!B20</f>
        <v>0.95</v>
      </c>
      <c r="C13" s="1" t="s">
        <v>56</v>
      </c>
    </row>
    <row r="14" spans="1:3" x14ac:dyDescent="0.2">
      <c r="B14" s="42"/>
    </row>
    <row r="15" spans="1:3" x14ac:dyDescent="0.2">
      <c r="B15" s="42"/>
    </row>
    <row r="16" spans="1:3" x14ac:dyDescent="0.2">
      <c r="A16" t="s">
        <v>119</v>
      </c>
      <c r="B16" s="42"/>
    </row>
    <row r="17" spans="1:4" ht="19" x14ac:dyDescent="0.2">
      <c r="A17" s="50" t="s">
        <v>120</v>
      </c>
    </row>
    <row r="19" spans="1:4" x14ac:dyDescent="0.2">
      <c r="A19" s="225" t="s">
        <v>121</v>
      </c>
      <c r="B19" s="225"/>
      <c r="C19" s="225"/>
      <c r="D19" s="225"/>
    </row>
    <row r="20" spans="1:4" ht="32" x14ac:dyDescent="0.2">
      <c r="A20" s="94" t="s">
        <v>273</v>
      </c>
      <c r="B20" s="94" t="s">
        <v>122</v>
      </c>
      <c r="C20" s="94" t="s">
        <v>123</v>
      </c>
      <c r="D20" s="94" t="s">
        <v>124</v>
      </c>
    </row>
    <row r="21" spans="1:4" x14ac:dyDescent="0.2">
      <c r="A21" s="115" t="str">
        <f>+ERs!B16</f>
        <v>GS6752</v>
      </c>
      <c r="B21" s="26">
        <f ca="1">C21-D21</f>
        <v>312</v>
      </c>
      <c r="C21" s="26">
        <f t="shared" ref="C21:C29" ca="1" si="0">+B2</f>
        <v>1500</v>
      </c>
      <c r="D21" s="26">
        <f t="shared" ref="D21:D29" ca="1" si="1">ROUNDDOWN(B2*(1-$B$11)*(1-$B$12)*$B$13, 0)</f>
        <v>1188</v>
      </c>
    </row>
    <row r="22" spans="1:4" x14ac:dyDescent="0.2">
      <c r="A22" s="115" t="str">
        <f>+ERs!B17</f>
        <v>GS7311</v>
      </c>
      <c r="B22" s="26">
        <f ca="1">C22-D22</f>
        <v>250</v>
      </c>
      <c r="C22" s="26">
        <f t="shared" ca="1" si="0"/>
        <v>1200</v>
      </c>
      <c r="D22" s="26">
        <f ca="1">ROUNDDOWN(B3*(1-$B$11)*(1-$B$12)*$B$13, 0)</f>
        <v>950</v>
      </c>
    </row>
    <row r="23" spans="1:4" x14ac:dyDescent="0.2">
      <c r="A23" s="115" t="str">
        <f>+ERs!B18</f>
        <v>GS7567</v>
      </c>
      <c r="B23" s="26">
        <f t="shared" ref="B23:B29" ca="1" si="2">C23-D23</f>
        <v>1247</v>
      </c>
      <c r="C23" s="26">
        <f t="shared" ca="1" si="0"/>
        <v>6003</v>
      </c>
      <c r="D23" s="26">
        <f t="shared" ca="1" si="1"/>
        <v>4756</v>
      </c>
    </row>
    <row r="24" spans="1:4" x14ac:dyDescent="0.2">
      <c r="A24" s="115" t="str">
        <f>+ERs!B19</f>
        <v>GS7566</v>
      </c>
      <c r="B24" s="26">
        <f t="shared" ca="1" si="2"/>
        <v>1257</v>
      </c>
      <c r="C24" s="26">
        <f t="shared" ca="1" si="0"/>
        <v>6050</v>
      </c>
      <c r="D24" s="26">
        <f ca="1">ROUNDDOWN(B5*(1-$B$11)*(1-$B$12)*$B$13, 0)</f>
        <v>4793</v>
      </c>
    </row>
    <row r="25" spans="1:4" x14ac:dyDescent="0.2">
      <c r="A25" s="115" t="str">
        <f>+ERs!B20</f>
        <v>GS10657</v>
      </c>
      <c r="B25" s="26">
        <f t="shared" ca="1" si="2"/>
        <v>1250</v>
      </c>
      <c r="C25" s="26">
        <f t="shared" ca="1" si="0"/>
        <v>6017</v>
      </c>
      <c r="D25" s="26">
        <f t="shared" ca="1" si="1"/>
        <v>4767</v>
      </c>
    </row>
    <row r="26" spans="1:4" x14ac:dyDescent="0.2">
      <c r="A26" s="115" t="str">
        <f>+ERs!B21</f>
        <v>GS10658</v>
      </c>
      <c r="B26" s="26">
        <f t="shared" ca="1" si="2"/>
        <v>1062</v>
      </c>
      <c r="C26" s="26">
        <f t="shared" ca="1" si="0"/>
        <v>5108</v>
      </c>
      <c r="D26" s="26">
        <f t="shared" ca="1" si="1"/>
        <v>4046</v>
      </c>
    </row>
    <row r="27" spans="1:4" x14ac:dyDescent="0.2">
      <c r="A27" s="115" t="str">
        <f>+ERs!B22</f>
        <v>GS10659</v>
      </c>
      <c r="B27" s="26">
        <f t="shared" ca="1" si="2"/>
        <v>1249</v>
      </c>
      <c r="C27" s="26">
        <f t="shared" ca="1" si="0"/>
        <v>6009</v>
      </c>
      <c r="D27" s="26">
        <f t="shared" ca="1" si="1"/>
        <v>4760</v>
      </c>
    </row>
    <row r="28" spans="1:4" x14ac:dyDescent="0.2">
      <c r="A28" s="115" t="str">
        <f>+ERs!B23</f>
        <v>GS10783</v>
      </c>
      <c r="B28" s="26">
        <f t="shared" ca="1" si="2"/>
        <v>1410</v>
      </c>
      <c r="C28" s="26">
        <f t="shared" ca="1" si="0"/>
        <v>6787</v>
      </c>
      <c r="D28" s="26">
        <f t="shared" ca="1" si="1"/>
        <v>5377</v>
      </c>
    </row>
    <row r="29" spans="1:4" x14ac:dyDescent="0.2">
      <c r="A29" s="115" t="str">
        <f>+ERs!B24</f>
        <v>GS10784</v>
      </c>
      <c r="B29" s="26">
        <f t="shared" ca="1" si="2"/>
        <v>1262</v>
      </c>
      <c r="C29" s="26">
        <f t="shared" ca="1" si="0"/>
        <v>6073</v>
      </c>
      <c r="D29" s="26">
        <f t="shared" ca="1" si="1"/>
        <v>4811</v>
      </c>
    </row>
    <row r="30" spans="1:4" x14ac:dyDescent="0.2">
      <c r="A30" s="7"/>
      <c r="B30" s="19"/>
      <c r="C30" s="19"/>
      <c r="D30" s="19"/>
    </row>
    <row r="32" spans="1:4" x14ac:dyDescent="0.2">
      <c r="A32" t="s">
        <v>125</v>
      </c>
    </row>
    <row r="33" spans="1:4" ht="19" x14ac:dyDescent="0.2">
      <c r="A33" s="47" t="s">
        <v>126</v>
      </c>
      <c r="B33" s="48"/>
      <c r="C33" s="48"/>
      <c r="D33" s="48"/>
    </row>
    <row r="35" spans="1:4" x14ac:dyDescent="0.2">
      <c r="A35" s="225" t="s">
        <v>127</v>
      </c>
      <c r="B35" s="225"/>
      <c r="C35" s="225"/>
      <c r="D35" s="225"/>
    </row>
    <row r="36" spans="1:4" ht="32" x14ac:dyDescent="0.2">
      <c r="A36" s="94" t="str">
        <f t="shared" ref="A36:A45" si="3">+A20</f>
        <v>GS IDs</v>
      </c>
      <c r="B36" s="94" t="s">
        <v>122</v>
      </c>
      <c r="C36" s="94" t="s">
        <v>123</v>
      </c>
      <c r="D36" s="94" t="s">
        <v>128</v>
      </c>
    </row>
    <row r="37" spans="1:4" x14ac:dyDescent="0.2">
      <c r="A37" s="115" t="str">
        <f t="shared" si="3"/>
        <v>GS6752</v>
      </c>
      <c r="B37" s="26">
        <f ca="1">C37-D37</f>
        <v>250</v>
      </c>
      <c r="C37" s="26">
        <f t="shared" ref="C37:C45" ca="1" si="4">+B2</f>
        <v>1500</v>
      </c>
      <c r="D37" s="191">
        <f t="shared" ref="D37:D45" ca="1" si="5">ROUNDDOWN(B2*(1-$B$11)*(1-$B$12), 0)</f>
        <v>1250</v>
      </c>
    </row>
    <row r="38" spans="1:4" x14ac:dyDescent="0.2">
      <c r="A38" s="115" t="str">
        <f t="shared" si="3"/>
        <v>GS7311</v>
      </c>
      <c r="B38" s="26">
        <f t="shared" ref="B38:B45" ca="1" si="6">C38-D38</f>
        <v>200</v>
      </c>
      <c r="C38" s="26">
        <f t="shared" ca="1" si="4"/>
        <v>1200</v>
      </c>
      <c r="D38" s="191">
        <f t="shared" ca="1" si="5"/>
        <v>1000</v>
      </c>
    </row>
    <row r="39" spans="1:4" x14ac:dyDescent="0.2">
      <c r="A39" s="115" t="str">
        <f t="shared" si="3"/>
        <v>GS7567</v>
      </c>
      <c r="B39" s="26">
        <f t="shared" ca="1" si="6"/>
        <v>997</v>
      </c>
      <c r="C39" s="26">
        <f t="shared" ca="1" si="4"/>
        <v>6003</v>
      </c>
      <c r="D39" s="191">
        <f t="shared" ca="1" si="5"/>
        <v>5006</v>
      </c>
    </row>
    <row r="40" spans="1:4" x14ac:dyDescent="0.2">
      <c r="A40" s="115" t="str">
        <f t="shared" si="3"/>
        <v>GS7566</v>
      </c>
      <c r="B40" s="26">
        <f t="shared" ca="1" si="6"/>
        <v>1005</v>
      </c>
      <c r="C40" s="26">
        <f t="shared" ca="1" si="4"/>
        <v>6050</v>
      </c>
      <c r="D40" s="191">
        <f ca="1">ROUNDDOWN(B5*(1-$B$11)*(1-$B$12), 0)</f>
        <v>5045</v>
      </c>
    </row>
    <row r="41" spans="1:4" x14ac:dyDescent="0.2">
      <c r="A41" s="115" t="str">
        <f t="shared" si="3"/>
        <v>GS10657</v>
      </c>
      <c r="B41" s="26">
        <f t="shared" ca="1" si="6"/>
        <v>999</v>
      </c>
      <c r="C41" s="26">
        <f t="shared" ca="1" si="4"/>
        <v>6017</v>
      </c>
      <c r="D41" s="191">
        <f t="shared" ca="1" si="5"/>
        <v>5018</v>
      </c>
    </row>
    <row r="42" spans="1:4" x14ac:dyDescent="0.2">
      <c r="A42" s="115" t="str">
        <f t="shared" si="3"/>
        <v>GS10658</v>
      </c>
      <c r="B42" s="26">
        <f t="shared" ca="1" si="6"/>
        <v>849</v>
      </c>
      <c r="C42" s="26">
        <f t="shared" ca="1" si="4"/>
        <v>5108</v>
      </c>
      <c r="D42" s="191">
        <f t="shared" ca="1" si="5"/>
        <v>4259</v>
      </c>
    </row>
    <row r="43" spans="1:4" x14ac:dyDescent="0.2">
      <c r="A43" s="115" t="str">
        <f t="shared" si="3"/>
        <v>GS10659</v>
      </c>
      <c r="B43" s="26">
        <f t="shared" ca="1" si="6"/>
        <v>998</v>
      </c>
      <c r="C43" s="26">
        <f t="shared" ca="1" si="4"/>
        <v>6009</v>
      </c>
      <c r="D43" s="191">
        <f t="shared" ca="1" si="5"/>
        <v>5011</v>
      </c>
    </row>
    <row r="44" spans="1:4" x14ac:dyDescent="0.2">
      <c r="A44" s="115" t="str">
        <f t="shared" si="3"/>
        <v>GS10783</v>
      </c>
      <c r="B44" s="26">
        <f t="shared" ca="1" si="6"/>
        <v>1127</v>
      </c>
      <c r="C44" s="26">
        <f t="shared" ca="1" si="4"/>
        <v>6787</v>
      </c>
      <c r="D44" s="191">
        <f t="shared" ca="1" si="5"/>
        <v>5660</v>
      </c>
    </row>
    <row r="45" spans="1:4" x14ac:dyDescent="0.2">
      <c r="A45" s="115" t="str">
        <f t="shared" si="3"/>
        <v>GS10784</v>
      </c>
      <c r="B45" s="26">
        <f t="shared" ca="1" si="6"/>
        <v>1009</v>
      </c>
      <c r="C45" s="26">
        <f t="shared" ca="1" si="4"/>
        <v>6073</v>
      </c>
      <c r="D45" s="191">
        <f t="shared" ca="1" si="5"/>
        <v>5064</v>
      </c>
    </row>
    <row r="48" spans="1:4" x14ac:dyDescent="0.2">
      <c r="A48" s="225" t="s">
        <v>129</v>
      </c>
      <c r="B48" s="225"/>
      <c r="C48" s="225"/>
      <c r="D48" s="225"/>
    </row>
    <row r="49" spans="1:4" ht="64" x14ac:dyDescent="0.2">
      <c r="A49" s="94" t="str">
        <f>+A36</f>
        <v>GS IDs</v>
      </c>
      <c r="B49" s="94" t="s">
        <v>130</v>
      </c>
      <c r="C49" s="94" t="s">
        <v>131</v>
      </c>
      <c r="D49" s="94" t="s">
        <v>132</v>
      </c>
    </row>
    <row r="50" spans="1:4" x14ac:dyDescent="0.2">
      <c r="A50" s="115" t="str">
        <f t="shared" ref="A50:A58" si="7">+A21</f>
        <v>GS6752</v>
      </c>
      <c r="B50" s="15">
        <v>0</v>
      </c>
      <c r="C50" s="15">
        <v>1</v>
      </c>
      <c r="D50" s="15">
        <f>C50-B50</f>
        <v>1</v>
      </c>
    </row>
    <row r="51" spans="1:4" x14ac:dyDescent="0.2">
      <c r="A51" s="115" t="str">
        <f t="shared" si="7"/>
        <v>GS7311</v>
      </c>
      <c r="B51" s="15">
        <v>0</v>
      </c>
      <c r="C51" s="15">
        <v>1</v>
      </c>
      <c r="D51" s="15">
        <f t="shared" ref="D51:D58" si="8">C51-B51</f>
        <v>1</v>
      </c>
    </row>
    <row r="52" spans="1:4" x14ac:dyDescent="0.2">
      <c r="A52" s="115" t="str">
        <f t="shared" si="7"/>
        <v>GS7567</v>
      </c>
      <c r="B52" s="15">
        <v>0</v>
      </c>
      <c r="C52" s="15">
        <v>1</v>
      </c>
      <c r="D52" s="15">
        <f t="shared" si="8"/>
        <v>1</v>
      </c>
    </row>
    <row r="53" spans="1:4" x14ac:dyDescent="0.2">
      <c r="A53" s="115" t="str">
        <f t="shared" si="7"/>
        <v>GS7566</v>
      </c>
      <c r="B53" s="15">
        <v>0</v>
      </c>
      <c r="C53" s="15">
        <v>1</v>
      </c>
      <c r="D53" s="15">
        <f t="shared" si="8"/>
        <v>1</v>
      </c>
    </row>
    <row r="54" spans="1:4" x14ac:dyDescent="0.2">
      <c r="A54" s="115" t="str">
        <f t="shared" si="7"/>
        <v>GS10657</v>
      </c>
      <c r="B54" s="15">
        <v>0</v>
      </c>
      <c r="C54" s="15">
        <v>1</v>
      </c>
      <c r="D54" s="15">
        <f t="shared" si="8"/>
        <v>1</v>
      </c>
    </row>
    <row r="55" spans="1:4" x14ac:dyDescent="0.2">
      <c r="A55" s="115" t="str">
        <f t="shared" si="7"/>
        <v>GS10658</v>
      </c>
      <c r="B55" s="15">
        <v>0</v>
      </c>
      <c r="C55" s="15">
        <v>1</v>
      </c>
      <c r="D55" s="15">
        <f t="shared" si="8"/>
        <v>1</v>
      </c>
    </row>
    <row r="56" spans="1:4" x14ac:dyDescent="0.2">
      <c r="A56" s="115" t="str">
        <f t="shared" si="7"/>
        <v>GS10659</v>
      </c>
      <c r="B56" s="15">
        <v>0</v>
      </c>
      <c r="C56" s="15">
        <v>1</v>
      </c>
      <c r="D56" s="15">
        <f t="shared" si="8"/>
        <v>1</v>
      </c>
    </row>
    <row r="57" spans="1:4" x14ac:dyDescent="0.2">
      <c r="A57" s="115" t="str">
        <f t="shared" si="7"/>
        <v>GS10783</v>
      </c>
      <c r="B57" s="15">
        <v>0</v>
      </c>
      <c r="C57" s="15">
        <v>1</v>
      </c>
      <c r="D57" s="15">
        <f t="shared" si="8"/>
        <v>1</v>
      </c>
    </row>
    <row r="58" spans="1:4" x14ac:dyDescent="0.2">
      <c r="A58" s="192" t="str">
        <f t="shared" si="7"/>
        <v>GS10784</v>
      </c>
      <c r="B58" s="193">
        <v>0</v>
      </c>
      <c r="C58" s="193">
        <v>1</v>
      </c>
      <c r="D58" s="194">
        <f t="shared" si="8"/>
        <v>1</v>
      </c>
    </row>
  </sheetData>
  <mergeCells count="3">
    <mergeCell ref="A19:D19"/>
    <mergeCell ref="A35:D35"/>
    <mergeCell ref="A48:D48"/>
  </mergeCells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35"/>
  <sheetViews>
    <sheetView workbookViewId="0">
      <selection activeCell="O19" sqref="O19"/>
    </sheetView>
  </sheetViews>
  <sheetFormatPr baseColWidth="10" defaultColWidth="8.83203125" defaultRowHeight="15" x14ac:dyDescent="0.2"/>
  <cols>
    <col min="2" max="2" width="59.5" customWidth="1"/>
    <col min="3" max="3" width="10.1640625" bestFit="1" customWidth="1"/>
  </cols>
  <sheetData>
    <row r="1" spans="1:17" x14ac:dyDescent="0.2">
      <c r="A1" t="s">
        <v>133</v>
      </c>
    </row>
    <row r="2" spans="1:17" x14ac:dyDescent="0.2">
      <c r="A2" t="s">
        <v>134</v>
      </c>
    </row>
    <row r="5" spans="1:17" x14ac:dyDescent="0.2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</row>
    <row r="6" spans="1:17" x14ac:dyDescent="0.2">
      <c r="A6" s="22"/>
      <c r="B6" s="23" t="s">
        <v>135</v>
      </c>
      <c r="C6" s="24">
        <f>C7*1000</f>
        <v>25.163599999999999</v>
      </c>
      <c r="D6" s="22"/>
      <c r="E6" s="22"/>
      <c r="F6" s="22"/>
      <c r="G6" s="22"/>
      <c r="H6" s="22"/>
      <c r="I6" s="22"/>
      <c r="J6" s="22"/>
      <c r="K6" s="22"/>
      <c r="L6" s="22"/>
      <c r="M6" s="22"/>
      <c r="P6">
        <v>7.6</v>
      </c>
      <c r="Q6" t="s">
        <v>136</v>
      </c>
    </row>
    <row r="7" spans="1:17" x14ac:dyDescent="0.2">
      <c r="A7" s="22"/>
      <c r="B7" s="23" t="s">
        <v>137</v>
      </c>
      <c r="C7" s="25">
        <f>'General data'!B9*'General data'!B7*P6</f>
        <v>2.5163599999999998E-2</v>
      </c>
      <c r="D7" s="22"/>
      <c r="E7" s="22"/>
      <c r="F7" s="22"/>
      <c r="G7" s="22"/>
      <c r="H7" s="22"/>
      <c r="I7" s="22"/>
      <c r="J7" s="22"/>
      <c r="K7" s="22"/>
      <c r="L7" s="22"/>
      <c r="M7" s="22"/>
    </row>
    <row r="8" spans="1:17" x14ac:dyDescent="0.2">
      <c r="A8" s="22"/>
      <c r="B8" s="23" t="s">
        <v>138</v>
      </c>
      <c r="C8" s="26">
        <f>'General data'!B18*277780</f>
        <v>4333.3679999999995</v>
      </c>
      <c r="E8" s="22"/>
      <c r="F8" s="22"/>
      <c r="G8" s="22"/>
      <c r="H8" s="22"/>
      <c r="I8" s="22"/>
      <c r="J8" s="22"/>
      <c r="K8" s="22"/>
      <c r="L8" s="22"/>
      <c r="M8" s="22"/>
    </row>
    <row r="9" spans="1:17" ht="16" thickBot="1" x14ac:dyDescent="0.25">
      <c r="A9" s="22"/>
      <c r="B9" s="23" t="s">
        <v>139</v>
      </c>
      <c r="C9" s="27">
        <f>C8*C7</f>
        <v>109.04313900479998</v>
      </c>
      <c r="D9" s="22"/>
      <c r="E9" s="22"/>
      <c r="F9" s="22"/>
      <c r="G9" s="22"/>
      <c r="H9" s="22"/>
      <c r="I9" s="22"/>
      <c r="J9" s="22"/>
      <c r="K9" s="22"/>
      <c r="L9" s="22"/>
      <c r="M9" s="22"/>
    </row>
    <row r="10" spans="1:17" x14ac:dyDescent="0.2">
      <c r="A10" s="22"/>
      <c r="B10" s="23" t="s">
        <v>140</v>
      </c>
      <c r="C10" s="23">
        <v>1</v>
      </c>
      <c r="D10" s="28">
        <v>2</v>
      </c>
      <c r="E10" s="23">
        <v>3</v>
      </c>
      <c r="F10" s="23">
        <v>4</v>
      </c>
      <c r="G10" s="29">
        <v>5</v>
      </c>
      <c r="H10" s="30">
        <v>6</v>
      </c>
      <c r="I10" s="28">
        <v>7</v>
      </c>
      <c r="J10" s="23">
        <v>8</v>
      </c>
      <c r="K10" s="23">
        <v>9</v>
      </c>
      <c r="L10" s="23">
        <v>10</v>
      </c>
      <c r="M10" s="22"/>
    </row>
    <row r="11" spans="1:17" ht="16" thickBot="1" x14ac:dyDescent="0.25">
      <c r="A11" s="22"/>
      <c r="B11" s="23" t="s">
        <v>141</v>
      </c>
      <c r="C11" s="27">
        <f>$C$9/C10</f>
        <v>109.04313900479998</v>
      </c>
      <c r="D11" s="31">
        <f>$C$9/D10</f>
        <v>54.521569502399991</v>
      </c>
      <c r="E11" s="27">
        <f t="shared" ref="E11:L11" si="0">$C$9/E10</f>
        <v>36.347713001599992</v>
      </c>
      <c r="F11" s="27">
        <f t="shared" si="0"/>
        <v>27.260784751199996</v>
      </c>
      <c r="G11" s="32">
        <f t="shared" si="0"/>
        <v>21.808627800959997</v>
      </c>
      <c r="H11" s="33">
        <f t="shared" si="0"/>
        <v>18.173856500799996</v>
      </c>
      <c r="I11" s="31">
        <f t="shared" si="0"/>
        <v>15.577591286399997</v>
      </c>
      <c r="J11" s="27">
        <f t="shared" si="0"/>
        <v>13.630392375599998</v>
      </c>
      <c r="K11" s="27">
        <f t="shared" si="0"/>
        <v>12.115904333866665</v>
      </c>
      <c r="L11" s="27">
        <f t="shared" si="0"/>
        <v>10.904313900479998</v>
      </c>
      <c r="M11" s="22"/>
    </row>
    <row r="12" spans="1:17" x14ac:dyDescent="0.2">
      <c r="A12" s="22"/>
      <c r="B12" s="23" t="s">
        <v>142</v>
      </c>
      <c r="C12" s="36">
        <v>0.2</v>
      </c>
    </row>
    <row r="13" spans="1:17" x14ac:dyDescent="0.2">
      <c r="A13" s="22"/>
      <c r="B13" s="23" t="s">
        <v>143</v>
      </c>
      <c r="C13" s="34">
        <f>$C$12*C11</f>
        <v>21.808627800959997</v>
      </c>
      <c r="D13" s="34">
        <f t="shared" ref="D13:L13" si="1">$C$12*D11</f>
        <v>10.904313900479998</v>
      </c>
      <c r="E13" s="34">
        <f t="shared" si="1"/>
        <v>7.2695426003199985</v>
      </c>
      <c r="F13" s="34">
        <f t="shared" si="1"/>
        <v>5.4521569502399991</v>
      </c>
      <c r="G13" s="34">
        <f t="shared" si="1"/>
        <v>4.3617255601919993</v>
      </c>
      <c r="H13" s="34">
        <f t="shared" si="1"/>
        <v>3.6347713001599993</v>
      </c>
      <c r="I13" s="34">
        <f t="shared" si="1"/>
        <v>3.1155182572799998</v>
      </c>
      <c r="J13" s="34">
        <f t="shared" si="1"/>
        <v>2.7260784751199996</v>
      </c>
      <c r="K13" s="34">
        <f t="shared" si="1"/>
        <v>2.423180866773333</v>
      </c>
      <c r="L13" s="34">
        <f t="shared" si="1"/>
        <v>2.1808627800959997</v>
      </c>
    </row>
    <row r="14" spans="1:17" x14ac:dyDescent="0.2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spans="1:17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17" x14ac:dyDescent="0.2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spans="1:13" x14ac:dyDescent="0.2">
      <c r="A17" s="22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1:13" x14ac:dyDescent="0.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spans="1:13" x14ac:dyDescent="0.2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spans="1:13" x14ac:dyDescent="0.2">
      <c r="A20" s="22"/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spans="1:13" x14ac:dyDescent="0.2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3" x14ac:dyDescent="0.2">
      <c r="A22" s="22"/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3" x14ac:dyDescent="0.2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spans="1:13" x14ac:dyDescent="0.2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spans="1:13" x14ac:dyDescent="0.2">
      <c r="A25" s="22"/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spans="1:13" x14ac:dyDescent="0.2">
      <c r="A26" s="22"/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spans="1:13" x14ac:dyDescent="0.2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spans="1:13" x14ac:dyDescent="0.2">
      <c r="A28" s="22"/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spans="1:13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spans="1:13" x14ac:dyDescent="0.2">
      <c r="A30" s="22"/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spans="1:13" x14ac:dyDescent="0.2">
      <c r="A31" s="22"/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spans="1:13" x14ac:dyDescent="0.2">
      <c r="A32" s="22"/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spans="1:13" x14ac:dyDescent="0.2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spans="1:13" x14ac:dyDescent="0.2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spans="1:13" x14ac:dyDescent="0.2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9D7A9-10D7-48F3-A317-6BE7B9C54FA9}">
  <dimension ref="A2:AD1048310"/>
  <sheetViews>
    <sheetView zoomScale="70" zoomScaleNormal="70" workbookViewId="0">
      <selection activeCell="G60" sqref="G60"/>
    </sheetView>
  </sheetViews>
  <sheetFormatPr baseColWidth="10" defaultColWidth="8.83203125" defaultRowHeight="14.75" customHeight="1" x14ac:dyDescent="0.2"/>
  <cols>
    <col min="1" max="1" width="42.1640625" style="52" bestFit="1" customWidth="1"/>
    <col min="2" max="2" width="13.6640625" style="52" customWidth="1"/>
    <col min="3" max="3" width="11.1640625" style="52" customWidth="1"/>
    <col min="4" max="4" width="11.83203125" style="52" customWidth="1"/>
    <col min="5" max="5" width="19.1640625" style="52" customWidth="1"/>
    <col min="6" max="6" width="14.83203125" style="52" customWidth="1"/>
    <col min="7" max="7" width="10.6640625" style="52" customWidth="1"/>
    <col min="8" max="8" width="9.1640625" style="52" customWidth="1"/>
    <col min="9" max="9" width="15.83203125" style="52" bestFit="1" customWidth="1"/>
    <col min="10" max="10" width="4.33203125" style="52" customWidth="1"/>
    <col min="11" max="11" width="7" style="52" customWidth="1"/>
    <col min="12" max="12" width="7.1640625" style="52" customWidth="1"/>
    <col min="13" max="13" width="8.5" style="52" customWidth="1"/>
    <col min="14" max="14" width="8.6640625" style="52" customWidth="1"/>
    <col min="15" max="15" width="8.83203125" style="52" customWidth="1"/>
    <col min="16" max="16" width="9" style="52" customWidth="1"/>
    <col min="17" max="18" width="9.33203125" style="52" customWidth="1"/>
    <col min="19" max="20" width="8.6640625" style="52" customWidth="1"/>
    <col min="21" max="21" width="8.83203125" style="52" customWidth="1"/>
    <col min="22" max="22" width="9.33203125" style="52" customWidth="1"/>
    <col min="23" max="23" width="12.6640625" style="52" customWidth="1"/>
    <col min="24" max="24" width="2" style="52" customWidth="1"/>
    <col min="25" max="25" width="7" style="52" customWidth="1"/>
    <col min="26" max="26" width="7.1640625" style="52" customWidth="1"/>
    <col min="27" max="27" width="7.5" style="52" customWidth="1"/>
    <col min="28" max="28" width="8.6640625" style="52" customWidth="1"/>
    <col min="29" max="29" width="12.6640625" style="52" customWidth="1"/>
    <col min="30" max="30" width="13" style="52" customWidth="1"/>
    <col min="31" max="31" width="7.5" style="52" customWidth="1"/>
    <col min="32" max="171" width="11.83203125" style="52" customWidth="1"/>
    <col min="172" max="172" width="9.6640625" style="52" customWidth="1"/>
    <col min="173" max="16384" width="8.83203125" style="52"/>
  </cols>
  <sheetData>
    <row r="2" spans="1:30" ht="14.75" customHeight="1" x14ac:dyDescent="0.2">
      <c r="A2" s="52" t="s">
        <v>144</v>
      </c>
      <c r="B2" s="52" t="s">
        <v>145</v>
      </c>
      <c r="C2" s="53" t="s">
        <v>146</v>
      </c>
      <c r="D2" s="54">
        <f>2500/3600</f>
        <v>0.69444444444444442</v>
      </c>
    </row>
    <row r="3" spans="1:30" ht="14.75" customHeight="1" x14ac:dyDescent="0.2">
      <c r="A3" s="52" t="s">
        <v>147</v>
      </c>
      <c r="B3" s="52" t="s">
        <v>148</v>
      </c>
      <c r="C3" s="53" t="s">
        <v>146</v>
      </c>
      <c r="D3" s="54">
        <f>20/(80+7)</f>
        <v>0.22988505747126436</v>
      </c>
      <c r="E3" s="53" t="s">
        <v>149</v>
      </c>
    </row>
    <row r="4" spans="1:30" ht="14.75" customHeight="1" x14ac:dyDescent="0.2">
      <c r="A4" s="52" t="s">
        <v>150</v>
      </c>
      <c r="B4" s="52" t="s">
        <v>151</v>
      </c>
    </row>
    <row r="5" spans="1:30" ht="14.75" customHeight="1" thickBot="1" x14ac:dyDescent="0.25"/>
    <row r="6" spans="1:30" ht="14.75" customHeight="1" thickBot="1" x14ac:dyDescent="0.25">
      <c r="A6" s="248" t="s">
        <v>152</v>
      </c>
      <c r="B6" s="249"/>
      <c r="C6" s="249"/>
      <c r="D6" s="249"/>
      <c r="E6" s="250"/>
      <c r="F6" s="55"/>
      <c r="G6" s="56"/>
      <c r="H6" s="56"/>
      <c r="I6" s="56"/>
      <c r="J6" s="251"/>
      <c r="K6" s="251"/>
      <c r="L6" s="251"/>
      <c r="M6" s="251"/>
      <c r="N6" s="251"/>
      <c r="O6" s="251"/>
      <c r="P6" s="251"/>
    </row>
    <row r="7" spans="1:30" ht="19.25" customHeight="1" x14ac:dyDescent="0.2">
      <c r="A7" s="252" t="s">
        <v>153</v>
      </c>
      <c r="B7" s="253"/>
      <c r="C7" s="254"/>
      <c r="D7" s="255" t="s">
        <v>154</v>
      </c>
      <c r="E7" s="256"/>
      <c r="F7" s="55"/>
      <c r="I7" s="257" t="s">
        <v>155</v>
      </c>
      <c r="J7" s="257"/>
      <c r="K7" s="257"/>
      <c r="L7" s="257"/>
      <c r="M7" s="257"/>
      <c r="N7" s="257"/>
      <c r="O7" s="257"/>
      <c r="P7" s="257"/>
      <c r="Q7" s="257"/>
      <c r="R7" s="257"/>
      <c r="S7" s="257"/>
      <c r="T7" s="257"/>
      <c r="U7" s="257"/>
      <c r="V7" s="257"/>
      <c r="W7" s="257"/>
      <c r="Y7" s="248" t="s">
        <v>156</v>
      </c>
      <c r="Z7" s="249"/>
      <c r="AA7" s="249"/>
      <c r="AB7" s="249"/>
      <c r="AC7" s="249"/>
      <c r="AD7" s="249"/>
    </row>
    <row r="8" spans="1:30" ht="70.25" customHeight="1" x14ac:dyDescent="0.2">
      <c r="A8" s="226" t="s">
        <v>157</v>
      </c>
      <c r="B8" s="227"/>
      <c r="C8" s="227"/>
      <c r="D8" s="120" t="s">
        <v>158</v>
      </c>
      <c r="E8" s="57" t="s">
        <v>159</v>
      </c>
      <c r="F8" s="58"/>
      <c r="I8" s="59" t="s">
        <v>160</v>
      </c>
      <c r="K8" s="59" t="s">
        <v>161</v>
      </c>
      <c r="L8" s="59" t="s">
        <v>162</v>
      </c>
      <c r="M8" s="60" t="s">
        <v>163</v>
      </c>
      <c r="N8" s="60" t="s">
        <v>164</v>
      </c>
      <c r="O8" s="60" t="s">
        <v>165</v>
      </c>
      <c r="P8" s="60" t="s">
        <v>166</v>
      </c>
      <c r="Q8" s="60" t="s">
        <v>167</v>
      </c>
      <c r="R8" s="60" t="s">
        <v>168</v>
      </c>
      <c r="S8" s="60" t="s">
        <v>169</v>
      </c>
      <c r="T8" s="60" t="s">
        <v>170</v>
      </c>
      <c r="U8" s="60" t="s">
        <v>171</v>
      </c>
      <c r="V8" s="60" t="s">
        <v>172</v>
      </c>
      <c r="W8" s="60" t="s">
        <v>173</v>
      </c>
      <c r="Z8" s="59" t="s">
        <v>161</v>
      </c>
      <c r="AA8" s="59" t="s">
        <v>162</v>
      </c>
      <c r="AB8" s="60" t="s">
        <v>163</v>
      </c>
      <c r="AC8" s="60" t="s">
        <v>174</v>
      </c>
      <c r="AD8" s="60" t="s">
        <v>173</v>
      </c>
    </row>
    <row r="9" spans="1:30" ht="14.75" customHeight="1" thickBot="1" x14ac:dyDescent="0.25">
      <c r="A9" s="228" t="s">
        <v>175</v>
      </c>
      <c r="B9" s="229"/>
      <c r="C9" s="61">
        <v>3000</v>
      </c>
      <c r="D9" s="62">
        <v>10</v>
      </c>
      <c r="E9" s="63">
        <f>D9*C9</f>
        <v>30000</v>
      </c>
      <c r="F9" s="64"/>
      <c r="I9" s="65"/>
      <c r="J9" s="65">
        <v>1</v>
      </c>
      <c r="K9" s="66">
        <v>1</v>
      </c>
      <c r="L9" s="67">
        <v>0</v>
      </c>
      <c r="M9" s="68">
        <f>+$M$32</f>
        <v>3000</v>
      </c>
      <c r="N9" s="69">
        <v>0</v>
      </c>
      <c r="O9" s="69">
        <v>0</v>
      </c>
      <c r="P9" s="69">
        <v>0</v>
      </c>
      <c r="Q9" s="69">
        <v>0</v>
      </c>
      <c r="R9" s="69">
        <v>0</v>
      </c>
      <c r="S9" s="69">
        <v>0</v>
      </c>
      <c r="T9" s="69">
        <v>0</v>
      </c>
      <c r="U9" s="69">
        <v>0</v>
      </c>
      <c r="V9" s="69">
        <v>0</v>
      </c>
      <c r="W9" s="68">
        <f>SUM(N9:V9)*3600</f>
        <v>0</v>
      </c>
      <c r="Y9" s="65">
        <v>1</v>
      </c>
      <c r="Z9" s="66">
        <v>1</v>
      </c>
      <c r="AA9" s="67">
        <v>0</v>
      </c>
      <c r="AB9" s="68">
        <f>$AB$32</f>
        <v>3000</v>
      </c>
      <c r="AC9" s="69">
        <v>0</v>
      </c>
      <c r="AD9" s="68">
        <f>+AC9*3600</f>
        <v>0</v>
      </c>
    </row>
    <row r="10" spans="1:30" ht="14.75" customHeight="1" x14ac:dyDescent="0.2">
      <c r="E10" s="70">
        <f>+E9</f>
        <v>30000</v>
      </c>
      <c r="F10" s="71"/>
      <c r="I10" s="65"/>
      <c r="J10" s="65">
        <v>2</v>
      </c>
      <c r="K10" s="66">
        <v>4.1666666666666664E-2</v>
      </c>
      <c r="L10" s="67">
        <v>0</v>
      </c>
      <c r="M10" s="68">
        <f t="shared" ref="M10:M14" si="0">+$M$32</f>
        <v>3000</v>
      </c>
      <c r="N10" s="69">
        <v>0</v>
      </c>
      <c r="O10" s="69">
        <v>0</v>
      </c>
      <c r="P10" s="69">
        <v>0</v>
      </c>
      <c r="Q10" s="69">
        <v>0</v>
      </c>
      <c r="R10" s="69">
        <v>0</v>
      </c>
      <c r="S10" s="69">
        <v>0</v>
      </c>
      <c r="T10" s="69">
        <v>0</v>
      </c>
      <c r="U10" s="69">
        <v>0</v>
      </c>
      <c r="V10" s="69">
        <v>0</v>
      </c>
      <c r="W10" s="68">
        <f t="shared" ref="W10:W32" si="1">SUM(N10:V10)*3600+W9</f>
        <v>0</v>
      </c>
      <c r="Y10" s="65">
        <v>2</v>
      </c>
      <c r="Z10" s="66">
        <v>4.1666666666666664E-2</v>
      </c>
      <c r="AA10" s="67">
        <v>0</v>
      </c>
      <c r="AB10" s="68">
        <f t="shared" ref="AB10:AB14" si="2">$AB$32</f>
        <v>3000</v>
      </c>
      <c r="AC10" s="69">
        <v>0</v>
      </c>
      <c r="AD10" s="68">
        <f>SUM(AC10)*3600+AD9</f>
        <v>0</v>
      </c>
    </row>
    <row r="11" spans="1:30" ht="14.75" customHeight="1" x14ac:dyDescent="0.2">
      <c r="F11" s="72"/>
      <c r="I11" s="65"/>
      <c r="J11" s="65">
        <v>3</v>
      </c>
      <c r="K11" s="66">
        <v>8.3333333333333329E-2</v>
      </c>
      <c r="L11" s="67">
        <v>0</v>
      </c>
      <c r="M11" s="68">
        <f t="shared" si="0"/>
        <v>3000</v>
      </c>
      <c r="N11" s="69">
        <v>0</v>
      </c>
      <c r="O11" s="69">
        <v>0</v>
      </c>
      <c r="P11" s="69">
        <v>0</v>
      </c>
      <c r="Q11" s="69">
        <v>0</v>
      </c>
      <c r="R11" s="69">
        <v>0</v>
      </c>
      <c r="S11" s="69">
        <v>0</v>
      </c>
      <c r="T11" s="69">
        <v>0</v>
      </c>
      <c r="U11" s="69">
        <v>0</v>
      </c>
      <c r="V11" s="69">
        <v>0</v>
      </c>
      <c r="W11" s="68">
        <f>SUM(N11:V11)*3600+W10</f>
        <v>0</v>
      </c>
      <c r="Y11" s="65">
        <v>3</v>
      </c>
      <c r="Z11" s="66">
        <v>8.3333333333333329E-2</v>
      </c>
      <c r="AA11" s="67">
        <v>0</v>
      </c>
      <c r="AB11" s="68">
        <f t="shared" si="2"/>
        <v>3000</v>
      </c>
      <c r="AC11" s="69">
        <v>0</v>
      </c>
      <c r="AD11" s="68">
        <f t="shared" ref="AD11:AD32" si="3">SUM(AC11)*3600+AD10</f>
        <v>0</v>
      </c>
    </row>
    <row r="12" spans="1:30" ht="14.75" customHeight="1" x14ac:dyDescent="0.2">
      <c r="A12" s="230" t="s">
        <v>176</v>
      </c>
      <c r="B12" s="230"/>
      <c r="C12" s="230"/>
      <c r="D12" s="230"/>
      <c r="E12" s="230"/>
      <c r="F12" s="230"/>
      <c r="G12" s="230"/>
      <c r="I12" s="65"/>
      <c r="J12" s="65">
        <v>4</v>
      </c>
      <c r="K12" s="66">
        <v>0.125</v>
      </c>
      <c r="L12" s="67">
        <v>0</v>
      </c>
      <c r="M12" s="68">
        <f t="shared" si="0"/>
        <v>3000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0</v>
      </c>
      <c r="V12" s="69">
        <v>0</v>
      </c>
      <c r="W12" s="68">
        <f>SUM(N12:V12)*3600+W11</f>
        <v>0</v>
      </c>
      <c r="Y12" s="65">
        <v>4</v>
      </c>
      <c r="Z12" s="66">
        <v>0.125</v>
      </c>
      <c r="AA12" s="67">
        <v>0</v>
      </c>
      <c r="AB12" s="68">
        <f t="shared" si="2"/>
        <v>3000</v>
      </c>
      <c r="AC12" s="69">
        <v>0</v>
      </c>
      <c r="AD12" s="68">
        <f t="shared" si="3"/>
        <v>0</v>
      </c>
    </row>
    <row r="13" spans="1:30" ht="38.25" customHeight="1" x14ac:dyDescent="0.2">
      <c r="A13" s="73" t="s">
        <v>177</v>
      </c>
      <c r="B13" s="73" t="s">
        <v>178</v>
      </c>
      <c r="C13" s="73" t="s">
        <v>146</v>
      </c>
      <c r="D13" s="73" t="s">
        <v>179</v>
      </c>
      <c r="E13" s="120" t="s">
        <v>180</v>
      </c>
      <c r="F13" s="73" t="s">
        <v>181</v>
      </c>
      <c r="G13" s="73" t="s">
        <v>182</v>
      </c>
      <c r="I13" s="65"/>
      <c r="J13" s="65">
        <v>5</v>
      </c>
      <c r="K13" s="66">
        <v>0.16666666666666666</v>
      </c>
      <c r="L13" s="67">
        <v>0</v>
      </c>
      <c r="M13" s="68">
        <f t="shared" si="0"/>
        <v>3000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0</v>
      </c>
      <c r="V13" s="69">
        <v>0</v>
      </c>
      <c r="W13" s="68">
        <f>SUM(N13:V13)*3600+W12</f>
        <v>0</v>
      </c>
      <c r="Y13" s="65">
        <v>5</v>
      </c>
      <c r="Z13" s="66">
        <v>0.16666666666666666</v>
      </c>
      <c r="AA13" s="67">
        <v>0</v>
      </c>
      <c r="AB13" s="68">
        <f t="shared" si="2"/>
        <v>3000</v>
      </c>
      <c r="AC13" s="69">
        <v>0</v>
      </c>
      <c r="AD13" s="68">
        <f t="shared" si="3"/>
        <v>0</v>
      </c>
    </row>
    <row r="14" spans="1:30" ht="14.75" customHeight="1" x14ac:dyDescent="0.2">
      <c r="A14" s="231" t="s">
        <v>183</v>
      </c>
      <c r="B14" s="74">
        <v>1</v>
      </c>
      <c r="C14" s="75">
        <f>+$D$3</f>
        <v>0.22988505747126436</v>
      </c>
      <c r="D14" s="76">
        <f>+C14</f>
        <v>0.22988505747126436</v>
      </c>
      <c r="E14" s="77">
        <v>5</v>
      </c>
      <c r="F14" s="78">
        <f>D14*E14*3600/$D$9</f>
        <v>413.79310344827582</v>
      </c>
      <c r="G14" s="78">
        <f>BenConsAndStorage!F14*BenConsAndStorage!$D$9</f>
        <v>4137.9310344827582</v>
      </c>
      <c r="I14" s="65"/>
      <c r="J14" s="65">
        <v>6</v>
      </c>
      <c r="K14" s="66">
        <v>0.20833333333333334</v>
      </c>
      <c r="L14" s="67">
        <v>0</v>
      </c>
      <c r="M14" s="68">
        <f t="shared" si="0"/>
        <v>3000</v>
      </c>
      <c r="N14" s="69">
        <v>0</v>
      </c>
      <c r="O14" s="69">
        <v>0</v>
      </c>
      <c r="P14" s="69">
        <v>0</v>
      </c>
      <c r="Q14" s="69">
        <v>0</v>
      </c>
      <c r="R14" s="69">
        <v>0</v>
      </c>
      <c r="S14" s="69">
        <v>0</v>
      </c>
      <c r="T14" s="69">
        <v>0</v>
      </c>
      <c r="U14" s="69">
        <v>0</v>
      </c>
      <c r="V14" s="69">
        <v>0</v>
      </c>
      <c r="W14" s="68">
        <f>SUM(N14:V14)*3600+W13</f>
        <v>0</v>
      </c>
      <c r="Y14" s="65">
        <v>6</v>
      </c>
      <c r="Z14" s="66">
        <v>0.20833333333333334</v>
      </c>
      <c r="AA14" s="67">
        <v>0</v>
      </c>
      <c r="AB14" s="68">
        <f t="shared" si="2"/>
        <v>3000</v>
      </c>
      <c r="AC14" s="69">
        <v>0</v>
      </c>
      <c r="AD14" s="68">
        <f t="shared" si="3"/>
        <v>0</v>
      </c>
    </row>
    <row r="15" spans="1:30" ht="14.75" customHeight="1" x14ac:dyDescent="0.2">
      <c r="A15" s="232"/>
      <c r="B15" s="74">
        <v>2</v>
      </c>
      <c r="C15" s="75">
        <f t="shared" ref="C15:C22" si="4">+$D$3</f>
        <v>0.22988505747126436</v>
      </c>
      <c r="D15" s="76">
        <f t="shared" ref="D15:D22" si="5">+C15</f>
        <v>0.22988505747126436</v>
      </c>
      <c r="E15" s="77">
        <v>5</v>
      </c>
      <c r="F15" s="78">
        <f t="shared" ref="F15:F22" si="6">D15*E15*3600/$D$9</f>
        <v>413.79310344827582</v>
      </c>
      <c r="G15" s="78">
        <f>BenConsAndStorage!F15*BenConsAndStorage!$D$9</f>
        <v>4137.9310344827582</v>
      </c>
      <c r="I15" s="65"/>
      <c r="J15" s="65">
        <v>7</v>
      </c>
      <c r="K15" s="66">
        <v>0.25</v>
      </c>
      <c r="L15" s="67">
        <v>0</v>
      </c>
      <c r="M15" s="68">
        <f>(L15*3600)+M14-SUM(N15:V15)*3600</f>
        <v>1344.8275862068965</v>
      </c>
      <c r="N15" s="69">
        <f>+$D$14</f>
        <v>0.22988505747126436</v>
      </c>
      <c r="O15" s="69">
        <f t="shared" ref="O15:O19" si="7">+$D$15</f>
        <v>0.22988505747126436</v>
      </c>
      <c r="P15" s="69">
        <v>0</v>
      </c>
      <c r="Q15" s="69">
        <v>0</v>
      </c>
      <c r="R15" s="69">
        <v>0</v>
      </c>
      <c r="S15" s="69">
        <v>0</v>
      </c>
      <c r="T15" s="69">
        <v>0</v>
      </c>
      <c r="U15" s="69">
        <v>0</v>
      </c>
      <c r="V15" s="69">
        <v>0</v>
      </c>
      <c r="W15" s="68">
        <f>SUM(N15:V15)*3600+W14</f>
        <v>1655.1724137931035</v>
      </c>
      <c r="Y15" s="65">
        <v>7</v>
      </c>
      <c r="Z15" s="66">
        <v>0.25</v>
      </c>
      <c r="AA15" s="67">
        <v>0</v>
      </c>
      <c r="AB15" s="68">
        <f t="shared" ref="AB15:AB22" si="8">+(AA15*3600)-(AC15*3600)+AB14</f>
        <v>517.24137931034466</v>
      </c>
      <c r="AC15" s="69">
        <f>+$D$14*3</f>
        <v>0.68965517241379315</v>
      </c>
      <c r="AD15" s="68">
        <f t="shared" si="3"/>
        <v>2482.7586206896553</v>
      </c>
    </row>
    <row r="16" spans="1:30" ht="14.75" customHeight="1" x14ac:dyDescent="0.2">
      <c r="A16" s="232"/>
      <c r="B16" s="74">
        <v>3</v>
      </c>
      <c r="C16" s="75">
        <f t="shared" si="4"/>
        <v>0.22988505747126436</v>
      </c>
      <c r="D16" s="76">
        <f t="shared" si="5"/>
        <v>0.22988505747126436</v>
      </c>
      <c r="E16" s="77">
        <v>4</v>
      </c>
      <c r="F16" s="78">
        <f t="shared" si="6"/>
        <v>331.0344827586207</v>
      </c>
      <c r="G16" s="78">
        <f>BenConsAndStorage!F16*BenConsAndStorage!$D$9</f>
        <v>3310.344827586207</v>
      </c>
      <c r="I16" s="91" t="s">
        <v>184</v>
      </c>
      <c r="J16" s="65">
        <v>8</v>
      </c>
      <c r="K16" s="66">
        <v>0.29166666666666669</v>
      </c>
      <c r="L16" s="67">
        <f>+$D$2</f>
        <v>0.69444444444444442</v>
      </c>
      <c r="M16" s="68">
        <f t="shared" ref="M16:M32" si="9">(L16*3600)+M15-SUM(N16:V16)*3600</f>
        <v>2189.6551724137935</v>
      </c>
      <c r="N16" s="69">
        <f t="shared" ref="N16:N19" si="10">+$D$14</f>
        <v>0.22988505747126436</v>
      </c>
      <c r="O16" s="69">
        <f t="shared" si="7"/>
        <v>0.22988505747126436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0</v>
      </c>
      <c r="W16" s="68">
        <f t="shared" si="1"/>
        <v>3310.344827586207</v>
      </c>
      <c r="Y16" s="65">
        <v>8</v>
      </c>
      <c r="Z16" s="66">
        <v>0.29166666666666669</v>
      </c>
      <c r="AA16" s="67">
        <f>+$D$2</f>
        <v>0.69444444444444442</v>
      </c>
      <c r="AB16" s="68">
        <f t="shared" si="8"/>
        <v>534.48275862068931</v>
      </c>
      <c r="AC16" s="69">
        <f t="shared" ref="AC16:AC26" si="11">+$D$14*3</f>
        <v>0.68965517241379315</v>
      </c>
      <c r="AD16" s="68">
        <f t="shared" si="3"/>
        <v>4965.5172413793107</v>
      </c>
    </row>
    <row r="17" spans="1:30" ht="14.75" customHeight="1" x14ac:dyDescent="0.2">
      <c r="A17" s="232"/>
      <c r="B17" s="74">
        <v>4</v>
      </c>
      <c r="C17" s="75">
        <f t="shared" si="4"/>
        <v>0.22988505747126436</v>
      </c>
      <c r="D17" s="76">
        <f t="shared" si="5"/>
        <v>0.22988505747126436</v>
      </c>
      <c r="E17" s="77">
        <v>4</v>
      </c>
      <c r="F17" s="78">
        <f t="shared" si="6"/>
        <v>331.0344827586207</v>
      </c>
      <c r="G17" s="78">
        <f>BenConsAndStorage!F17*BenConsAndStorage!$D$9</f>
        <v>3310.344827586207</v>
      </c>
      <c r="I17" s="91" t="s">
        <v>184</v>
      </c>
      <c r="J17" s="65">
        <v>9</v>
      </c>
      <c r="K17" s="66">
        <v>0.33333333333333331</v>
      </c>
      <c r="L17" s="67">
        <f t="shared" ref="L17:L29" si="12">+$D$2</f>
        <v>0.69444444444444442</v>
      </c>
      <c r="M17" s="68">
        <f t="shared" si="9"/>
        <v>2206.8965517241381</v>
      </c>
      <c r="N17" s="69">
        <f t="shared" si="10"/>
        <v>0.22988505747126436</v>
      </c>
      <c r="O17" s="69">
        <f t="shared" si="7"/>
        <v>0.22988505747126436</v>
      </c>
      <c r="P17" s="69">
        <f t="shared" ref="P17:P20" si="13">+$D$16</f>
        <v>0.22988505747126436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0</v>
      </c>
      <c r="W17" s="68">
        <f t="shared" si="1"/>
        <v>5793.1034482758623</v>
      </c>
      <c r="Y17" s="65">
        <v>9</v>
      </c>
      <c r="Z17" s="66">
        <v>0.33333333333333331</v>
      </c>
      <c r="AA17" s="67">
        <f t="shared" ref="AA17:AA29" si="14">+$D$2</f>
        <v>0.69444444444444442</v>
      </c>
      <c r="AB17" s="68">
        <f t="shared" si="8"/>
        <v>551.72413793103397</v>
      </c>
      <c r="AC17" s="69">
        <f t="shared" si="11"/>
        <v>0.68965517241379315</v>
      </c>
      <c r="AD17" s="68">
        <f t="shared" si="3"/>
        <v>7448.2758620689656</v>
      </c>
    </row>
    <row r="18" spans="1:30" ht="15.5" customHeight="1" x14ac:dyDescent="0.2">
      <c r="A18" s="232"/>
      <c r="B18" s="74">
        <v>5</v>
      </c>
      <c r="C18" s="75">
        <f t="shared" si="4"/>
        <v>0.22988505747126436</v>
      </c>
      <c r="D18" s="76">
        <f t="shared" si="5"/>
        <v>0.22988505747126436</v>
      </c>
      <c r="E18" s="77">
        <v>4</v>
      </c>
      <c r="F18" s="78">
        <f t="shared" si="6"/>
        <v>331.0344827586207</v>
      </c>
      <c r="G18" s="78">
        <f>BenConsAndStorage!F18*BenConsAndStorage!$D$9</f>
        <v>3310.344827586207</v>
      </c>
      <c r="I18" s="91" t="s">
        <v>184</v>
      </c>
      <c r="J18" s="65">
        <v>10</v>
      </c>
      <c r="K18" s="66">
        <v>0.375</v>
      </c>
      <c r="L18" s="67">
        <f t="shared" si="12"/>
        <v>0.69444444444444442</v>
      </c>
      <c r="M18" s="68">
        <f t="shared" si="9"/>
        <v>2224.1379310344823</v>
      </c>
      <c r="N18" s="69">
        <f t="shared" si="10"/>
        <v>0.22988505747126436</v>
      </c>
      <c r="O18" s="69">
        <f t="shared" si="7"/>
        <v>0.22988505747126436</v>
      </c>
      <c r="P18" s="69">
        <f t="shared" si="13"/>
        <v>0.22988505747126436</v>
      </c>
      <c r="Q18" s="69">
        <v>0</v>
      </c>
      <c r="R18" s="69">
        <v>0</v>
      </c>
      <c r="S18" s="69">
        <v>0</v>
      </c>
      <c r="T18" s="69">
        <v>0</v>
      </c>
      <c r="U18" s="69">
        <v>0</v>
      </c>
      <c r="V18" s="69">
        <v>0</v>
      </c>
      <c r="W18" s="68">
        <f t="shared" si="1"/>
        <v>8275.8620689655181</v>
      </c>
      <c r="Y18" s="65">
        <v>10</v>
      </c>
      <c r="Z18" s="66">
        <v>0.375</v>
      </c>
      <c r="AA18" s="67">
        <f t="shared" si="14"/>
        <v>0.69444444444444442</v>
      </c>
      <c r="AB18" s="68">
        <f t="shared" si="8"/>
        <v>568.96551724137862</v>
      </c>
      <c r="AC18" s="69">
        <f t="shared" si="11"/>
        <v>0.68965517241379315</v>
      </c>
      <c r="AD18" s="68">
        <f t="shared" si="3"/>
        <v>9931.0344827586214</v>
      </c>
    </row>
    <row r="19" spans="1:30" ht="14.75" customHeight="1" x14ac:dyDescent="0.2">
      <c r="A19" s="232"/>
      <c r="B19" s="74">
        <v>6</v>
      </c>
      <c r="C19" s="75">
        <f t="shared" si="4"/>
        <v>0.22988505747126436</v>
      </c>
      <c r="D19" s="76">
        <f t="shared" si="5"/>
        <v>0.22988505747126436</v>
      </c>
      <c r="E19" s="77">
        <v>4</v>
      </c>
      <c r="F19" s="78">
        <f t="shared" si="6"/>
        <v>331.0344827586207</v>
      </c>
      <c r="G19" s="78">
        <f>BenConsAndStorage!F19*BenConsAndStorage!$D$9</f>
        <v>3310.344827586207</v>
      </c>
      <c r="I19" s="91" t="s">
        <v>184</v>
      </c>
      <c r="J19" s="65">
        <v>11</v>
      </c>
      <c r="K19" s="66">
        <v>0.41666666666666669</v>
      </c>
      <c r="L19" s="67">
        <f t="shared" si="12"/>
        <v>0.69444444444444442</v>
      </c>
      <c r="M19" s="68">
        <f t="shared" si="9"/>
        <v>1413.7931034482749</v>
      </c>
      <c r="N19" s="69">
        <f t="shared" si="10"/>
        <v>0.22988505747126436</v>
      </c>
      <c r="O19" s="69">
        <f t="shared" si="7"/>
        <v>0.22988505747126436</v>
      </c>
      <c r="P19" s="69">
        <f t="shared" si="13"/>
        <v>0.22988505747126436</v>
      </c>
      <c r="Q19" s="69">
        <f t="shared" ref="Q19:Q22" si="15">+$D$17</f>
        <v>0.22988505747126436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8">
        <f t="shared" si="1"/>
        <v>11586.206896551725</v>
      </c>
      <c r="Y19" s="65">
        <v>11</v>
      </c>
      <c r="Z19" s="66">
        <v>0.41666666666666669</v>
      </c>
      <c r="AA19" s="67">
        <f t="shared" si="14"/>
        <v>0.69444444444444442</v>
      </c>
      <c r="AB19" s="68">
        <f t="shared" si="8"/>
        <v>586.20689655172328</v>
      </c>
      <c r="AC19" s="69">
        <f t="shared" si="11"/>
        <v>0.68965517241379315</v>
      </c>
      <c r="AD19" s="68">
        <f t="shared" si="3"/>
        <v>12413.793103448277</v>
      </c>
    </row>
    <row r="20" spans="1:30" ht="14.75" customHeight="1" x14ac:dyDescent="0.2">
      <c r="A20" s="232"/>
      <c r="B20" s="74">
        <v>7</v>
      </c>
      <c r="C20" s="75">
        <f t="shared" si="4"/>
        <v>0.22988505747126436</v>
      </c>
      <c r="D20" s="76">
        <f t="shared" si="5"/>
        <v>0.22988505747126436</v>
      </c>
      <c r="E20" s="77">
        <v>4</v>
      </c>
      <c r="F20" s="78">
        <f t="shared" si="6"/>
        <v>331.0344827586207</v>
      </c>
      <c r="G20" s="78">
        <f>BenConsAndStorage!F20*BenConsAndStorage!$D$9</f>
        <v>3310.344827586207</v>
      </c>
      <c r="I20" s="91" t="s">
        <v>184</v>
      </c>
      <c r="J20" s="65">
        <v>12</v>
      </c>
      <c r="K20" s="66">
        <v>0.45833333333333331</v>
      </c>
      <c r="L20" s="67">
        <f t="shared" si="12"/>
        <v>0.69444444444444442</v>
      </c>
      <c r="M20" s="68">
        <f t="shared" si="9"/>
        <v>1431.0344827586196</v>
      </c>
      <c r="N20" s="69">
        <v>0</v>
      </c>
      <c r="O20" s="69">
        <v>0</v>
      </c>
      <c r="P20" s="69">
        <f t="shared" si="13"/>
        <v>0.22988505747126436</v>
      </c>
      <c r="Q20" s="69">
        <f t="shared" si="15"/>
        <v>0.22988505747126436</v>
      </c>
      <c r="R20" s="69">
        <f t="shared" ref="R20:R23" si="16">+$D$18</f>
        <v>0.22988505747126436</v>
      </c>
      <c r="S20" s="69">
        <v>0</v>
      </c>
      <c r="T20" s="69">
        <v>0</v>
      </c>
      <c r="U20" s="69">
        <v>0</v>
      </c>
      <c r="V20" s="69">
        <v>0</v>
      </c>
      <c r="W20" s="68">
        <f t="shared" si="1"/>
        <v>14068.96551724138</v>
      </c>
      <c r="Y20" s="65">
        <v>12</v>
      </c>
      <c r="Z20" s="66">
        <v>0.45833333333333331</v>
      </c>
      <c r="AA20" s="67">
        <f t="shared" si="14"/>
        <v>0.69444444444444442</v>
      </c>
      <c r="AB20" s="68">
        <f t="shared" si="8"/>
        <v>603.44827586206793</v>
      </c>
      <c r="AC20" s="69">
        <f t="shared" si="11"/>
        <v>0.68965517241379315</v>
      </c>
      <c r="AD20" s="68">
        <f t="shared" si="3"/>
        <v>14896.551724137933</v>
      </c>
    </row>
    <row r="21" spans="1:30" ht="14.75" customHeight="1" x14ac:dyDescent="0.2">
      <c r="A21" s="232"/>
      <c r="B21" s="74">
        <v>8</v>
      </c>
      <c r="C21" s="75">
        <f t="shared" si="4"/>
        <v>0.22988505747126436</v>
      </c>
      <c r="D21" s="76">
        <f t="shared" si="5"/>
        <v>0.22988505747126436</v>
      </c>
      <c r="E21" s="77">
        <v>4</v>
      </c>
      <c r="F21" s="78">
        <f t="shared" si="6"/>
        <v>331.0344827586207</v>
      </c>
      <c r="G21" s="78">
        <f>BenConsAndStorage!F21*BenConsAndStorage!$D$9</f>
        <v>3310.344827586207</v>
      </c>
      <c r="I21" s="91" t="s">
        <v>184</v>
      </c>
      <c r="J21" s="65">
        <v>13</v>
      </c>
      <c r="K21" s="66">
        <v>0.5</v>
      </c>
      <c r="L21" s="67">
        <f t="shared" si="12"/>
        <v>0.69444444444444442</v>
      </c>
      <c r="M21" s="68">
        <f t="shared" si="9"/>
        <v>1448.2758620689642</v>
      </c>
      <c r="N21" s="69">
        <v>0</v>
      </c>
      <c r="O21" s="69">
        <v>0</v>
      </c>
      <c r="P21" s="69">
        <v>0</v>
      </c>
      <c r="Q21" s="69">
        <f t="shared" si="15"/>
        <v>0.22988505747126436</v>
      </c>
      <c r="R21" s="69">
        <f t="shared" si="16"/>
        <v>0.22988505747126436</v>
      </c>
      <c r="S21" s="69">
        <f t="shared" ref="S21:S24" si="17">+$D$19</f>
        <v>0.22988505747126436</v>
      </c>
      <c r="T21" s="69">
        <v>0</v>
      </c>
      <c r="U21" s="69">
        <v>0</v>
      </c>
      <c r="V21" s="69">
        <v>0</v>
      </c>
      <c r="W21" s="68">
        <f t="shared" si="1"/>
        <v>16551.724137931036</v>
      </c>
      <c r="Y21" s="65">
        <v>13</v>
      </c>
      <c r="Z21" s="66">
        <v>0.5</v>
      </c>
      <c r="AA21" s="67">
        <f t="shared" si="14"/>
        <v>0.69444444444444442</v>
      </c>
      <c r="AB21" s="68">
        <f t="shared" si="8"/>
        <v>620.68965517241259</v>
      </c>
      <c r="AC21" s="69">
        <f t="shared" si="11"/>
        <v>0.68965517241379315</v>
      </c>
      <c r="AD21" s="68">
        <f t="shared" si="3"/>
        <v>17379.310344827587</v>
      </c>
    </row>
    <row r="22" spans="1:30" ht="14.75" customHeight="1" x14ac:dyDescent="0.2">
      <c r="A22" s="233"/>
      <c r="B22" s="74">
        <v>9</v>
      </c>
      <c r="C22" s="75">
        <f t="shared" si="4"/>
        <v>0.22988505747126436</v>
      </c>
      <c r="D22" s="76">
        <f t="shared" si="5"/>
        <v>0.22988505747126436</v>
      </c>
      <c r="E22" s="77">
        <v>4</v>
      </c>
      <c r="F22" s="78">
        <f t="shared" si="6"/>
        <v>331.0344827586207</v>
      </c>
      <c r="G22" s="78">
        <f>BenConsAndStorage!F22*BenConsAndStorage!$D$9</f>
        <v>3310.344827586207</v>
      </c>
      <c r="I22" s="91" t="s">
        <v>184</v>
      </c>
      <c r="J22" s="65">
        <v>14</v>
      </c>
      <c r="K22" s="66">
        <v>0.54166666666666663</v>
      </c>
      <c r="L22" s="67">
        <f t="shared" si="12"/>
        <v>0.69444444444444442</v>
      </c>
      <c r="M22" s="68">
        <f t="shared" si="9"/>
        <v>1465.5172413793089</v>
      </c>
      <c r="N22" s="69">
        <v>0</v>
      </c>
      <c r="O22" s="69">
        <v>0</v>
      </c>
      <c r="P22" s="69">
        <v>0</v>
      </c>
      <c r="Q22" s="69">
        <f t="shared" si="15"/>
        <v>0.22988505747126436</v>
      </c>
      <c r="R22" s="69">
        <f t="shared" si="16"/>
        <v>0.22988505747126436</v>
      </c>
      <c r="S22" s="69">
        <f t="shared" si="17"/>
        <v>0.22988505747126436</v>
      </c>
      <c r="T22" s="69">
        <v>0</v>
      </c>
      <c r="U22" s="69">
        <v>0</v>
      </c>
      <c r="V22" s="69">
        <v>0</v>
      </c>
      <c r="W22" s="68">
        <f t="shared" si="1"/>
        <v>19034.482758620692</v>
      </c>
      <c r="Y22" s="65">
        <v>14</v>
      </c>
      <c r="Z22" s="66">
        <v>0.54166666666666663</v>
      </c>
      <c r="AA22" s="67">
        <f t="shared" si="14"/>
        <v>0.69444444444444442</v>
      </c>
      <c r="AB22" s="68">
        <f t="shared" si="8"/>
        <v>637.93103448275724</v>
      </c>
      <c r="AC22" s="69">
        <f t="shared" si="11"/>
        <v>0.68965517241379315</v>
      </c>
      <c r="AD22" s="68">
        <f t="shared" si="3"/>
        <v>19862.068965517243</v>
      </c>
    </row>
    <row r="23" spans="1:30" ht="14.75" customHeight="1" x14ac:dyDescent="0.2">
      <c r="A23" s="234" t="s">
        <v>185</v>
      </c>
      <c r="B23" s="234"/>
      <c r="C23" s="234"/>
      <c r="D23" s="79">
        <f>+SUM(D14:D22)</f>
        <v>2.068965517241379</v>
      </c>
      <c r="E23" s="79" t="s">
        <v>186</v>
      </c>
      <c r="F23" s="80">
        <f>+SUM(F14:F22)</f>
        <v>3144.8275862068958</v>
      </c>
      <c r="G23" s="80">
        <f>+SUM(G14:G22)</f>
        <v>31448.275862068964</v>
      </c>
      <c r="I23" s="91" t="s">
        <v>184</v>
      </c>
      <c r="J23" s="65">
        <v>15</v>
      </c>
      <c r="K23" s="66">
        <v>0.58333333333333337</v>
      </c>
      <c r="L23" s="67">
        <f t="shared" si="12"/>
        <v>0.69444444444444442</v>
      </c>
      <c r="M23" s="68">
        <f t="shared" si="9"/>
        <v>1482.7586206896535</v>
      </c>
      <c r="N23" s="69">
        <v>0</v>
      </c>
      <c r="O23" s="69">
        <v>0</v>
      </c>
      <c r="P23" s="69">
        <v>0</v>
      </c>
      <c r="Q23" s="69">
        <v>0</v>
      </c>
      <c r="R23" s="69">
        <f t="shared" si="16"/>
        <v>0.22988505747126436</v>
      </c>
      <c r="S23" s="69">
        <f t="shared" si="17"/>
        <v>0.22988505747126436</v>
      </c>
      <c r="T23" s="69">
        <f t="shared" ref="T23:T26" si="18">+$D$20</f>
        <v>0.22988505747126436</v>
      </c>
      <c r="U23" s="69">
        <v>0</v>
      </c>
      <c r="V23" s="69">
        <v>0</v>
      </c>
      <c r="W23" s="68">
        <f t="shared" si="1"/>
        <v>21517.241379310348</v>
      </c>
      <c r="Y23" s="65">
        <v>15</v>
      </c>
      <c r="Z23" s="66">
        <v>0.58333333333333337</v>
      </c>
      <c r="AA23" s="67">
        <f t="shared" si="14"/>
        <v>0.69444444444444442</v>
      </c>
      <c r="AB23" s="68">
        <f>+(AA23*3600)-(AC23*3600)+AB22</f>
        <v>655.1724137931019</v>
      </c>
      <c r="AC23" s="69">
        <f t="shared" si="11"/>
        <v>0.68965517241379315</v>
      </c>
      <c r="AD23" s="68">
        <f t="shared" si="3"/>
        <v>22344.827586206899</v>
      </c>
    </row>
    <row r="24" spans="1:30" ht="14.75" customHeight="1" x14ac:dyDescent="0.2">
      <c r="B24" s="81"/>
      <c r="I24" s="91" t="s">
        <v>184</v>
      </c>
      <c r="J24" s="65">
        <v>16</v>
      </c>
      <c r="K24" s="66">
        <v>0.625</v>
      </c>
      <c r="L24" s="67">
        <f t="shared" si="12"/>
        <v>0.69444444444444442</v>
      </c>
      <c r="M24" s="68">
        <f t="shared" si="9"/>
        <v>672.41379310344655</v>
      </c>
      <c r="N24" s="69">
        <v>0</v>
      </c>
      <c r="O24" s="69">
        <v>0</v>
      </c>
      <c r="P24" s="69">
        <v>0</v>
      </c>
      <c r="Q24" s="69">
        <v>0</v>
      </c>
      <c r="R24" s="69">
        <v>0</v>
      </c>
      <c r="S24" s="69">
        <f t="shared" si="17"/>
        <v>0.22988505747126436</v>
      </c>
      <c r="T24" s="69">
        <f t="shared" si="18"/>
        <v>0.22988505747126436</v>
      </c>
      <c r="U24" s="69">
        <f t="shared" ref="U24:U27" si="19">+$D$21</f>
        <v>0.22988505747126436</v>
      </c>
      <c r="V24" s="69">
        <f t="shared" ref="V24:V27" si="20">+$D$22</f>
        <v>0.22988505747126436</v>
      </c>
      <c r="W24" s="68">
        <f t="shared" si="1"/>
        <v>24827.586206896554</v>
      </c>
      <c r="Y24" s="65">
        <v>16</v>
      </c>
      <c r="Z24" s="66">
        <v>0.625</v>
      </c>
      <c r="AA24" s="67">
        <f t="shared" si="14"/>
        <v>0.69444444444444442</v>
      </c>
      <c r="AB24" s="68">
        <f t="shared" ref="AB24:AB32" si="21">+(AA24*3600)-(AC24*3600)+AB23</f>
        <v>672.41379310344655</v>
      </c>
      <c r="AC24" s="69">
        <f t="shared" si="11"/>
        <v>0.68965517241379315</v>
      </c>
      <c r="AD24" s="68">
        <f t="shared" si="3"/>
        <v>24827.586206896554</v>
      </c>
    </row>
    <row r="25" spans="1:30" ht="14.75" customHeight="1" x14ac:dyDescent="0.2">
      <c r="A25" s="244" t="s">
        <v>187</v>
      </c>
      <c r="B25" s="244"/>
      <c r="I25" s="91" t="s">
        <v>184</v>
      </c>
      <c r="J25" s="65">
        <v>17</v>
      </c>
      <c r="K25" s="66">
        <v>0.66666666666666663</v>
      </c>
      <c r="L25" s="67">
        <f t="shared" si="12"/>
        <v>0.69444444444444442</v>
      </c>
      <c r="M25" s="68">
        <f t="shared" si="9"/>
        <v>689.65517241379121</v>
      </c>
      <c r="N25" s="69">
        <v>0</v>
      </c>
      <c r="O25" s="69">
        <v>0</v>
      </c>
      <c r="P25" s="69">
        <v>0</v>
      </c>
      <c r="Q25" s="69">
        <v>0</v>
      </c>
      <c r="R25" s="69">
        <v>0</v>
      </c>
      <c r="S25" s="69">
        <v>0</v>
      </c>
      <c r="T25" s="69">
        <f t="shared" si="18"/>
        <v>0.22988505747126436</v>
      </c>
      <c r="U25" s="69">
        <f t="shared" si="19"/>
        <v>0.22988505747126436</v>
      </c>
      <c r="V25" s="69">
        <f t="shared" si="20"/>
        <v>0.22988505747126436</v>
      </c>
      <c r="W25" s="68">
        <f t="shared" si="1"/>
        <v>27310.34482758621</v>
      </c>
      <c r="Y25" s="65">
        <v>17</v>
      </c>
      <c r="Z25" s="66">
        <v>0.66666666666666663</v>
      </c>
      <c r="AA25" s="67">
        <f t="shared" si="14"/>
        <v>0.69444444444444442</v>
      </c>
      <c r="AB25" s="68">
        <f t="shared" si="21"/>
        <v>689.65517241379121</v>
      </c>
      <c r="AC25" s="69">
        <f t="shared" si="11"/>
        <v>0.68965517241379315</v>
      </c>
      <c r="AD25" s="68">
        <f t="shared" si="3"/>
        <v>27310.34482758621</v>
      </c>
    </row>
    <row r="26" spans="1:30" ht="14.75" customHeight="1" x14ac:dyDescent="0.2">
      <c r="A26" s="82" t="s">
        <v>188</v>
      </c>
      <c r="B26" s="82">
        <v>3</v>
      </c>
      <c r="I26" s="93" t="s">
        <v>189</v>
      </c>
      <c r="J26" s="65">
        <v>18</v>
      </c>
      <c r="K26" s="66">
        <v>0.70833333333333337</v>
      </c>
      <c r="L26" s="67">
        <f t="shared" si="12"/>
        <v>0.69444444444444442</v>
      </c>
      <c r="M26" s="68">
        <f t="shared" si="9"/>
        <v>706.89655172413586</v>
      </c>
      <c r="N26" s="69">
        <v>0</v>
      </c>
      <c r="O26" s="69">
        <v>0</v>
      </c>
      <c r="P26" s="69">
        <v>0</v>
      </c>
      <c r="Q26" s="69">
        <v>0</v>
      </c>
      <c r="R26" s="69">
        <v>0</v>
      </c>
      <c r="S26" s="69">
        <v>0</v>
      </c>
      <c r="T26" s="69">
        <f t="shared" si="18"/>
        <v>0.22988505747126436</v>
      </c>
      <c r="U26" s="69">
        <f t="shared" si="19"/>
        <v>0.22988505747126436</v>
      </c>
      <c r="V26" s="69">
        <f t="shared" si="20"/>
        <v>0.22988505747126436</v>
      </c>
      <c r="W26" s="68">
        <f t="shared" si="1"/>
        <v>29793.103448275866</v>
      </c>
      <c r="Y26" s="65">
        <v>18</v>
      </c>
      <c r="Z26" s="66">
        <v>0.70833333333333337</v>
      </c>
      <c r="AA26" s="67">
        <f t="shared" si="14"/>
        <v>0.69444444444444442</v>
      </c>
      <c r="AB26" s="68">
        <f t="shared" si="21"/>
        <v>706.89655172413586</v>
      </c>
      <c r="AC26" s="69">
        <f t="shared" si="11"/>
        <v>0.68965517241379315</v>
      </c>
      <c r="AD26" s="68">
        <f t="shared" si="3"/>
        <v>29793.103448275866</v>
      </c>
    </row>
    <row r="27" spans="1:30" ht="14.75" customHeight="1" x14ac:dyDescent="0.2">
      <c r="A27" s="83" t="s">
        <v>101</v>
      </c>
      <c r="B27" s="84">
        <f>+B26</f>
        <v>3</v>
      </c>
      <c r="I27" s="93" t="s">
        <v>189</v>
      </c>
      <c r="J27" s="65">
        <v>19</v>
      </c>
      <c r="K27" s="66">
        <v>0.75</v>
      </c>
      <c r="L27" s="67">
        <f t="shared" si="12"/>
        <v>0.69444444444444442</v>
      </c>
      <c r="M27" s="68">
        <f t="shared" si="9"/>
        <v>1551.7241379310324</v>
      </c>
      <c r="N27" s="69">
        <v>0</v>
      </c>
      <c r="O27" s="69">
        <v>0</v>
      </c>
      <c r="P27" s="69">
        <v>0</v>
      </c>
      <c r="Q27" s="69">
        <v>0</v>
      </c>
      <c r="R27" s="69">
        <v>0</v>
      </c>
      <c r="S27" s="69">
        <v>0</v>
      </c>
      <c r="T27" s="69">
        <v>0</v>
      </c>
      <c r="U27" s="69">
        <f t="shared" si="19"/>
        <v>0.22988505747126436</v>
      </c>
      <c r="V27" s="69">
        <f t="shared" si="20"/>
        <v>0.22988505747126436</v>
      </c>
      <c r="W27" s="85">
        <f t="shared" si="1"/>
        <v>31448.275862068971</v>
      </c>
      <c r="Y27" s="65">
        <v>19</v>
      </c>
      <c r="Z27" s="66">
        <v>0.75</v>
      </c>
      <c r="AA27" s="67">
        <f t="shared" si="14"/>
        <v>0.69444444444444442</v>
      </c>
      <c r="AB27" s="68">
        <f t="shared" si="21"/>
        <v>1551.7241379310324</v>
      </c>
      <c r="AC27" s="69">
        <f>+$D$14*2</f>
        <v>0.45977011494252873</v>
      </c>
      <c r="AD27" s="68">
        <f t="shared" si="3"/>
        <v>31448.275862068971</v>
      </c>
    </row>
    <row r="28" spans="1:30" ht="14.75" customHeight="1" thickBot="1" x14ac:dyDescent="0.25">
      <c r="F28" s="52" t="s">
        <v>212</v>
      </c>
      <c r="I28" s="93" t="s">
        <v>189</v>
      </c>
      <c r="J28" s="65">
        <v>20</v>
      </c>
      <c r="K28" s="66">
        <v>0.79166666666666663</v>
      </c>
      <c r="L28" s="67">
        <f t="shared" si="12"/>
        <v>0.69444444444444442</v>
      </c>
      <c r="M28" s="68">
        <f t="shared" si="9"/>
        <v>4051.7241379310326</v>
      </c>
      <c r="N28" s="69">
        <v>0</v>
      </c>
      <c r="O28" s="69">
        <v>0</v>
      </c>
      <c r="P28" s="69">
        <v>0</v>
      </c>
      <c r="Q28" s="69">
        <v>0</v>
      </c>
      <c r="R28" s="69">
        <v>0</v>
      </c>
      <c r="S28" s="69">
        <v>0</v>
      </c>
      <c r="T28" s="69">
        <v>0</v>
      </c>
      <c r="U28" s="69">
        <v>0</v>
      </c>
      <c r="V28" s="69">
        <v>0</v>
      </c>
      <c r="W28" s="85">
        <f t="shared" si="1"/>
        <v>31448.275862068971</v>
      </c>
      <c r="Y28" s="65">
        <v>20</v>
      </c>
      <c r="Z28" s="66">
        <v>0.79166666666666663</v>
      </c>
      <c r="AA28" s="67">
        <f t="shared" si="14"/>
        <v>0.69444444444444442</v>
      </c>
      <c r="AB28" s="68">
        <f t="shared" si="21"/>
        <v>4051.7241379310326</v>
      </c>
      <c r="AC28" s="69">
        <v>0</v>
      </c>
      <c r="AD28" s="68">
        <f t="shared" si="3"/>
        <v>31448.275862068971</v>
      </c>
    </row>
    <row r="29" spans="1:30" ht="14.75" customHeight="1" thickBot="1" x14ac:dyDescent="0.25">
      <c r="A29" s="245" t="s">
        <v>190</v>
      </c>
      <c r="B29" s="246"/>
      <c r="C29" s="247"/>
      <c r="I29" s="93" t="s">
        <v>189</v>
      </c>
      <c r="J29" s="65">
        <v>21</v>
      </c>
      <c r="K29" s="66">
        <v>0.83333333333333337</v>
      </c>
      <c r="L29" s="67">
        <f t="shared" si="12"/>
        <v>0.69444444444444442</v>
      </c>
      <c r="M29" s="68">
        <f t="shared" si="9"/>
        <v>6551.7241379310326</v>
      </c>
      <c r="N29" s="69">
        <v>0</v>
      </c>
      <c r="O29" s="69">
        <v>0</v>
      </c>
      <c r="P29" s="69">
        <v>0</v>
      </c>
      <c r="Q29" s="69">
        <v>0</v>
      </c>
      <c r="R29" s="69">
        <v>0</v>
      </c>
      <c r="S29" s="69">
        <v>0</v>
      </c>
      <c r="T29" s="69">
        <v>0</v>
      </c>
      <c r="U29" s="69">
        <v>0</v>
      </c>
      <c r="V29" s="69">
        <v>0</v>
      </c>
      <c r="W29" s="85">
        <f t="shared" si="1"/>
        <v>31448.275862068971</v>
      </c>
      <c r="Y29" s="65">
        <v>21</v>
      </c>
      <c r="Z29" s="66">
        <v>0.83333333333333337</v>
      </c>
      <c r="AA29" s="67">
        <f t="shared" si="14"/>
        <v>0.69444444444444442</v>
      </c>
      <c r="AB29" s="68">
        <f t="shared" si="21"/>
        <v>6551.7241379310326</v>
      </c>
      <c r="AC29" s="69">
        <v>0</v>
      </c>
      <c r="AD29" s="68">
        <f t="shared" si="3"/>
        <v>31448.275862068971</v>
      </c>
    </row>
    <row r="30" spans="1:30" ht="14.75" customHeight="1" x14ac:dyDescent="0.2">
      <c r="A30" s="74" t="s">
        <v>191</v>
      </c>
      <c r="B30" s="74" t="s">
        <v>192</v>
      </c>
      <c r="C30" s="74">
        <v>200</v>
      </c>
      <c r="I30" s="65"/>
      <c r="J30" s="65">
        <v>22</v>
      </c>
      <c r="K30" s="66">
        <v>0.875</v>
      </c>
      <c r="L30" s="67">
        <v>0</v>
      </c>
      <c r="M30" s="68">
        <v>3000</v>
      </c>
      <c r="N30" s="69">
        <v>0</v>
      </c>
      <c r="O30" s="69">
        <v>0</v>
      </c>
      <c r="P30" s="69">
        <v>0</v>
      </c>
      <c r="Q30" s="69">
        <v>0</v>
      </c>
      <c r="R30" s="69">
        <v>0</v>
      </c>
      <c r="S30" s="69">
        <v>0</v>
      </c>
      <c r="T30" s="69">
        <v>0</v>
      </c>
      <c r="U30" s="69">
        <v>0</v>
      </c>
      <c r="V30" s="69">
        <v>0</v>
      </c>
      <c r="W30" s="85">
        <f t="shared" si="1"/>
        <v>31448.275862068971</v>
      </c>
      <c r="Y30" s="65">
        <v>22</v>
      </c>
      <c r="Z30" s="66">
        <v>0.875</v>
      </c>
      <c r="AA30" s="67">
        <v>0</v>
      </c>
      <c r="AB30" s="68">
        <v>3000</v>
      </c>
      <c r="AC30" s="69">
        <v>0</v>
      </c>
      <c r="AD30" s="68">
        <f t="shared" si="3"/>
        <v>31448.275862068971</v>
      </c>
    </row>
    <row r="31" spans="1:30" ht="14.75" customHeight="1" x14ac:dyDescent="0.2">
      <c r="A31" s="74" t="s">
        <v>193</v>
      </c>
      <c r="B31" s="74" t="s">
        <v>194</v>
      </c>
      <c r="C31" s="74">
        <v>12</v>
      </c>
      <c r="I31" s="65"/>
      <c r="J31" s="65">
        <v>23</v>
      </c>
      <c r="K31" s="66">
        <v>0.91666666666666663</v>
      </c>
      <c r="L31" s="67">
        <v>0</v>
      </c>
      <c r="M31" s="68">
        <f t="shared" si="9"/>
        <v>3000</v>
      </c>
      <c r="N31" s="69">
        <v>0</v>
      </c>
      <c r="O31" s="69">
        <v>0</v>
      </c>
      <c r="P31" s="69">
        <v>0</v>
      </c>
      <c r="Q31" s="69">
        <v>0</v>
      </c>
      <c r="R31" s="69">
        <v>0</v>
      </c>
      <c r="S31" s="69">
        <v>0</v>
      </c>
      <c r="T31" s="69">
        <v>0</v>
      </c>
      <c r="U31" s="69">
        <v>0</v>
      </c>
      <c r="V31" s="69">
        <v>0</v>
      </c>
      <c r="W31" s="85">
        <f t="shared" si="1"/>
        <v>31448.275862068971</v>
      </c>
      <c r="Y31" s="65">
        <v>23</v>
      </c>
      <c r="Z31" s="66">
        <v>0.91666666666666663</v>
      </c>
      <c r="AA31" s="67">
        <v>0</v>
      </c>
      <c r="AB31" s="68">
        <f t="shared" si="21"/>
        <v>3000</v>
      </c>
      <c r="AC31" s="69">
        <v>0</v>
      </c>
      <c r="AD31" s="68">
        <f t="shared" si="3"/>
        <v>31448.275862068971</v>
      </c>
    </row>
    <row r="32" spans="1:30" ht="14.75" customHeight="1" x14ac:dyDescent="0.2">
      <c r="A32" s="74" t="s">
        <v>195</v>
      </c>
      <c r="B32" s="74" t="s">
        <v>196</v>
      </c>
      <c r="C32" s="88">
        <f>+C30/C31</f>
        <v>16.666666666666668</v>
      </c>
      <c r="I32" s="65"/>
      <c r="J32" s="65">
        <v>24</v>
      </c>
      <c r="K32" s="66">
        <v>0.95833333333333337</v>
      </c>
      <c r="L32" s="67">
        <v>0</v>
      </c>
      <c r="M32" s="68">
        <f t="shared" si="9"/>
        <v>3000</v>
      </c>
      <c r="N32" s="69">
        <v>0</v>
      </c>
      <c r="O32" s="69">
        <v>0</v>
      </c>
      <c r="P32" s="69">
        <v>0</v>
      </c>
      <c r="Q32" s="69">
        <v>0</v>
      </c>
      <c r="R32" s="69">
        <v>0</v>
      </c>
      <c r="S32" s="69">
        <v>0</v>
      </c>
      <c r="T32" s="69">
        <v>0</v>
      </c>
      <c r="U32" s="69">
        <v>0</v>
      </c>
      <c r="V32" s="69">
        <v>0</v>
      </c>
      <c r="W32" s="85">
        <f t="shared" si="1"/>
        <v>31448.275862068971</v>
      </c>
      <c r="Y32" s="65">
        <v>24</v>
      </c>
      <c r="Z32" s="66">
        <v>0.95833333333333337</v>
      </c>
      <c r="AA32" s="67">
        <v>0</v>
      </c>
      <c r="AB32" s="68">
        <f t="shared" si="21"/>
        <v>3000</v>
      </c>
      <c r="AC32" s="69">
        <v>0</v>
      </c>
      <c r="AD32" s="68">
        <f t="shared" si="3"/>
        <v>31448.275862068971</v>
      </c>
    </row>
    <row r="33" spans="1:22" ht="14.75" customHeight="1" thickBot="1" x14ac:dyDescent="0.25">
      <c r="D33" s="87"/>
      <c r="E33" s="87"/>
    </row>
    <row r="34" spans="1:22" ht="14.75" customHeight="1" thickBot="1" x14ac:dyDescent="0.25">
      <c r="A34" s="245" t="s">
        <v>197</v>
      </c>
      <c r="B34" s="246"/>
      <c r="C34" s="247"/>
    </row>
    <row r="35" spans="1:22" ht="35" customHeight="1" x14ac:dyDescent="0.2">
      <c r="A35" s="74" t="s">
        <v>198</v>
      </c>
      <c r="B35" s="74" t="s">
        <v>199</v>
      </c>
      <c r="C35" s="74">
        <v>150</v>
      </c>
      <c r="I35" s="241" t="s">
        <v>200</v>
      </c>
      <c r="J35" s="242"/>
      <c r="K35" s="242"/>
      <c r="L35" s="243"/>
      <c r="V35" s="86"/>
    </row>
    <row r="36" spans="1:22" ht="23" customHeight="1" x14ac:dyDescent="0.2">
      <c r="A36" s="74" t="s">
        <v>201</v>
      </c>
      <c r="B36" s="74" t="s">
        <v>202</v>
      </c>
      <c r="C36" s="89">
        <v>0.5</v>
      </c>
      <c r="I36" s="235" t="s">
        <v>203</v>
      </c>
      <c r="J36" s="236"/>
      <c r="K36" s="237"/>
      <c r="L36" s="90" t="s">
        <v>204</v>
      </c>
      <c r="M36" s="52" t="s">
        <v>205</v>
      </c>
    </row>
    <row r="37" spans="1:22" ht="21" customHeight="1" thickBot="1" x14ac:dyDescent="0.25">
      <c r="A37" s="74" t="s">
        <v>206</v>
      </c>
      <c r="B37" s="74" t="s">
        <v>199</v>
      </c>
      <c r="C37" s="74">
        <f>+C35*C36</f>
        <v>75</v>
      </c>
      <c r="G37" s="56"/>
      <c r="I37" s="238" t="s">
        <v>207</v>
      </c>
      <c r="J37" s="239"/>
      <c r="K37" s="240"/>
      <c r="L37" s="92" t="s">
        <v>208</v>
      </c>
      <c r="M37" s="52" t="s">
        <v>209</v>
      </c>
    </row>
    <row r="38" spans="1:22" ht="14.75" customHeight="1" x14ac:dyDescent="0.2">
      <c r="A38" s="74" t="s">
        <v>210</v>
      </c>
      <c r="B38" s="74" t="s">
        <v>211</v>
      </c>
      <c r="C38" s="74">
        <f>+C37/C32</f>
        <v>4.5</v>
      </c>
    </row>
    <row r="39" spans="1:22" ht="22.5" customHeight="1" x14ac:dyDescent="0.2"/>
    <row r="40" spans="1:22" ht="22.5" customHeight="1" x14ac:dyDescent="0.2"/>
    <row r="41" spans="1:22" ht="21" customHeight="1" x14ac:dyDescent="0.2"/>
    <row r="42" spans="1:22" ht="24.75" customHeight="1" x14ac:dyDescent="0.2"/>
    <row r="1048297" ht="12.75" customHeight="1" x14ac:dyDescent="0.2"/>
    <row r="1048298" ht="12.75" customHeight="1" x14ac:dyDescent="0.2"/>
    <row r="1048299" ht="12.75" customHeight="1" x14ac:dyDescent="0.2"/>
    <row r="1048300" ht="12.75" customHeight="1" x14ac:dyDescent="0.2"/>
    <row r="1048301" ht="12.75" customHeight="1" x14ac:dyDescent="0.2"/>
    <row r="1048302" ht="12.75" customHeight="1" x14ac:dyDescent="0.2"/>
    <row r="1048303" ht="12.75" customHeight="1" x14ac:dyDescent="0.2"/>
    <row r="1048304" ht="12.75" customHeight="1" x14ac:dyDescent="0.2"/>
    <row r="1048305" ht="12.75" customHeight="1" x14ac:dyDescent="0.2"/>
    <row r="1048306" ht="12.75" customHeight="1" x14ac:dyDescent="0.2"/>
    <row r="1048307" ht="12.75" customHeight="1" x14ac:dyDescent="0.2"/>
    <row r="1048308" ht="12.75" customHeight="1" x14ac:dyDescent="0.2"/>
    <row r="1048309" ht="12.75" customHeight="1" x14ac:dyDescent="0.2"/>
    <row r="1048310" ht="12.75" customHeight="1" x14ac:dyDescent="0.2"/>
  </sheetData>
  <mergeCells count="17">
    <mergeCell ref="Y7:AD7"/>
    <mergeCell ref="A6:E6"/>
    <mergeCell ref="J6:P6"/>
    <mergeCell ref="A7:C7"/>
    <mergeCell ref="D7:E7"/>
    <mergeCell ref="I7:W7"/>
    <mergeCell ref="I36:K36"/>
    <mergeCell ref="I37:K37"/>
    <mergeCell ref="I35:L35"/>
    <mergeCell ref="A25:B25"/>
    <mergeCell ref="A34:C34"/>
    <mergeCell ref="A29:C29"/>
    <mergeCell ref="A8:C8"/>
    <mergeCell ref="A9:B9"/>
    <mergeCell ref="A12:G12"/>
    <mergeCell ref="A14:A22"/>
    <mergeCell ref="A23:C23"/>
  </mergeCells>
  <conditionalFormatting sqref="M9:M32">
    <cfRule type="cellIs" dxfId="5" priority="9" operator="greaterThan">
      <formula>3000</formula>
    </cfRule>
  </conditionalFormatting>
  <conditionalFormatting sqref="N9:V32">
    <cfRule type="cellIs" dxfId="4" priority="4" stopIfTrue="1" operator="greaterThan">
      <formula>0</formula>
    </cfRule>
  </conditionalFormatting>
  <conditionalFormatting sqref="W9:W32 V35">
    <cfRule type="cellIs" dxfId="3" priority="8" stopIfTrue="1" operator="greaterThan">
      <formula>0</formula>
    </cfRule>
  </conditionalFormatting>
  <conditionalFormatting sqref="AB9:AB32">
    <cfRule type="cellIs" dxfId="2" priority="1" operator="greaterThan">
      <formula>3000</formula>
    </cfRule>
  </conditionalFormatting>
  <conditionalFormatting sqref="AC9:AD9 AC10:AC32">
    <cfRule type="cellIs" dxfId="1" priority="7" stopIfTrue="1" operator="greaterThan">
      <formula>0</formula>
    </cfRule>
  </conditionalFormatting>
  <conditionalFormatting sqref="AD10:AD32">
    <cfRule type="cellIs" dxfId="0" priority="6" stopIfTrue="1" operator="greaterThan">
      <formula>0</formula>
    </cfRule>
  </conditionalFormatting>
  <pageMargins left="0" right="0" top="0.4" bottom="0.39375000000000004" header="0" footer="0"/>
  <pageSetup paperSize="9" fitToWidth="0" fitToHeight="0" pageOrder="overThenDown" orientation="portrait" r:id="rId1"/>
  <headerFooter>
    <oddHeader>&amp;C&amp;A</oddHeader>
    <oddFooter>&amp;CPage 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d0aa5e-88b2-43f7-a54b-ec3e3535b67a">
      <Terms xmlns="http://schemas.microsoft.com/office/infopath/2007/PartnerControls"/>
    </lcf76f155ced4ddcb4097134ff3c332f>
    <TaxCatchAll xmlns="229cd273-e6a8-441a-be96-ca165f2ef48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9F1D23CAE7E448825BE0C8EF9F1EB0" ma:contentTypeVersion="14" ma:contentTypeDescription="Create a new document." ma:contentTypeScope="" ma:versionID="6ab9d8ebd7168ffa726f6ad4a4584277">
  <xsd:schema xmlns:xsd="http://www.w3.org/2001/XMLSchema" xmlns:xs="http://www.w3.org/2001/XMLSchema" xmlns:p="http://schemas.microsoft.com/office/2006/metadata/properties" xmlns:ns2="e7d0aa5e-88b2-43f7-a54b-ec3e3535b67a" xmlns:ns3="d7343a7c-9e42-4a88-945f-1a57865d2ee3" xmlns:ns4="229cd273-e6a8-441a-be96-ca165f2ef484" targetNamespace="http://schemas.microsoft.com/office/2006/metadata/properties" ma:root="true" ma:fieldsID="f66dc387d85fdc2829876c7cf05bf8d4" ns2:_="" ns3:_="" ns4:_="">
    <xsd:import namespace="e7d0aa5e-88b2-43f7-a54b-ec3e3535b67a"/>
    <xsd:import namespace="d7343a7c-9e42-4a88-945f-1a57865d2ee3"/>
    <xsd:import namespace="229cd273-e6a8-441a-be96-ca165f2ef4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d0aa5e-88b2-43f7-a54b-ec3e3535b6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67130a6f-f85e-4512-91b8-fbeda0f83bb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343a7c-9e42-4a88-945f-1a57865d2ee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cd273-e6a8-441a-be96-ca165f2ef48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b1e51f1-af49-4a8c-9b61-1a661ff7577f}" ma:internalName="TaxCatchAll" ma:showField="CatchAllData" ma:web="229cd273-e6a8-441a-be96-ca165f2ef4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2B2FBB7-E5B8-4D80-8986-2C22D34ACC65}">
  <ds:schemaRefs>
    <ds:schemaRef ds:uri="http://schemas.microsoft.com/office/2006/metadata/properties"/>
    <ds:schemaRef ds:uri="http://schemas.microsoft.com/office/infopath/2007/PartnerControls"/>
    <ds:schemaRef ds:uri="414925e9-62f9-4c0f-8da0-decd32304526"/>
    <ds:schemaRef ds:uri="9c4a530c-780c-40fc-8e25-601909665c79"/>
  </ds:schemaRefs>
</ds:datastoreItem>
</file>

<file path=customXml/itemProps2.xml><?xml version="1.0" encoding="utf-8"?>
<ds:datastoreItem xmlns:ds="http://schemas.openxmlformats.org/officeDocument/2006/customXml" ds:itemID="{40CB4383-D817-407C-9C2F-806E59C9A88F}"/>
</file>

<file path=customXml/itemProps3.xml><?xml version="1.0" encoding="utf-8"?>
<ds:datastoreItem xmlns:ds="http://schemas.openxmlformats.org/officeDocument/2006/customXml" ds:itemID="{D6DC31FC-A997-4EAB-A907-3391EDD5861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 data</vt:lpstr>
      <vt:lpstr>ERs</vt:lpstr>
      <vt:lpstr>Summary SDG 13</vt:lpstr>
      <vt:lpstr>Summary other SDGs</vt:lpstr>
      <vt:lpstr>Energy output</vt:lpstr>
      <vt:lpstr>BenConsAndStorage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CarbonSink</dc:creator>
  <cp:keywords/>
  <dc:description/>
  <cp:lastModifiedBy>Martina Margari</cp:lastModifiedBy>
  <cp:revision/>
  <dcterms:created xsi:type="dcterms:W3CDTF">2014-10-20T10:19:01Z</dcterms:created>
  <dcterms:modified xsi:type="dcterms:W3CDTF">2023-12-20T15:38:18Z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0x010100D79F1D23CAE7E448825BE0C8EF9F1EB0</vt:lpwstr>
  </property>
  <property fmtid="{D5CDD505-2E9C-101B-9397-08002B2CF9AE}" pid="3" name="AuthorIds_UIVersion_4608">
    <vt:lpwstr>15</vt:lpwstr>
  </property>
  <property fmtid="{D5CDD505-2E9C-101B-9397-08002B2CF9AE}" pid="4" name="MediaServiceImageTags">
    <vt:lpwstr/>
  </property>
</Properties>
</file>