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G:\Shared drives\ST Africa AQ Projects\AQ Projects\304155 AID4MADA CSG Water is life_CP007 Madagascar\Technical Material (GS6752)\Step 12_Verification 4th\Round II\"/>
    </mc:Choice>
  </mc:AlternateContent>
  <xr:revisionPtr revIDLastSave="0" documentId="13_ncr:1_{46B4407E-3455-4AD8-BB40-1ABE52D76B6E}" xr6:coauthVersionLast="47" xr6:coauthVersionMax="47" xr10:uidLastSave="{00000000-0000-0000-0000-000000000000}"/>
  <bookViews>
    <workbookView xWindow="570" yWindow="-16320" windowWidth="29040" windowHeight="15720" tabRatio="881" xr2:uid="{00000000-000D-0000-FFFF-FFFF00000000}"/>
  </bookViews>
  <sheets>
    <sheet name="General data" sheetId="5" r:id="rId1"/>
    <sheet name="ERs" sheetId="8" r:id="rId2"/>
    <sheet name="Summary SDG 13" sheetId="12" r:id="rId3"/>
    <sheet name="Summary other SDGs" sheetId="13" r:id="rId4"/>
    <sheet name="Energy output" sheetId="10" r:id="rId5"/>
    <sheet name="BenConsAndStorage" sheetId="14" r:id="rId6"/>
  </sheets>
  <externalReferences>
    <externalReference r:id="rId7"/>
  </externalReferences>
  <definedNames>
    <definedName name="_GoBack" localSheetId="1">ERs!#REF!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5" i="13" l="1"/>
  <c r="D24" i="13"/>
  <c r="L19" i="12"/>
  <c r="L18" i="12"/>
  <c r="L17" i="12"/>
  <c r="G17" i="12" l="1"/>
  <c r="G16" i="12"/>
  <c r="B19" i="5" l="1"/>
  <c r="G14" i="14" l="1"/>
  <c r="F14" i="14"/>
  <c r="AC27" i="14" l="1"/>
  <c r="AC16" i="14"/>
  <c r="AC17" i="14"/>
  <c r="AC18" i="14"/>
  <c r="AC19" i="14"/>
  <c r="AC20" i="14"/>
  <c r="AC21" i="14"/>
  <c r="AC22" i="14"/>
  <c r="AC23" i="14"/>
  <c r="AC24" i="14"/>
  <c r="AC25" i="14"/>
  <c r="AC26" i="14"/>
  <c r="AC15" i="14"/>
  <c r="V27" i="14"/>
  <c r="U27" i="14"/>
  <c r="S24" i="14"/>
  <c r="T23" i="14"/>
  <c r="S23" i="14"/>
  <c r="R23" i="14"/>
  <c r="R22" i="14"/>
  <c r="R21" i="14"/>
  <c r="Q22" i="14"/>
  <c r="Q21" i="14"/>
  <c r="Q20" i="14"/>
  <c r="P17" i="14"/>
  <c r="P18" i="14"/>
  <c r="O15" i="14"/>
  <c r="O16" i="14"/>
  <c r="R20" i="14"/>
  <c r="Q19" i="14"/>
  <c r="O17" i="14"/>
  <c r="P19" i="14"/>
  <c r="V26" i="14"/>
  <c r="D3" i="14"/>
  <c r="A7" i="12" l="1"/>
  <c r="A6" i="12"/>
  <c r="A17" i="12" l="1"/>
  <c r="A15" i="13"/>
  <c r="A25" i="13" s="1"/>
  <c r="A32" i="13" s="1"/>
  <c r="A16" i="12"/>
  <c r="A14" i="13"/>
  <c r="A24" i="13" s="1"/>
  <c r="A31" i="13" s="1"/>
  <c r="E17" i="12"/>
  <c r="E16" i="12"/>
  <c r="E18" i="12" l="1"/>
  <c r="G18" i="12" l="1"/>
  <c r="D17" i="8" l="1"/>
  <c r="C18" i="8"/>
  <c r="B31" i="5" l="1"/>
  <c r="D33" i="13"/>
  <c r="C33" i="13"/>
  <c r="D26" i="8" l="1"/>
  <c r="B17" i="8" l="1"/>
  <c r="C32" i="14"/>
  <c r="E17" i="8" l="1"/>
  <c r="B17" i="12"/>
  <c r="AB10" i="14"/>
  <c r="AB11" i="14"/>
  <c r="AB12" i="14"/>
  <c r="AB13" i="14"/>
  <c r="AB14" i="14"/>
  <c r="AA29" i="14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M10" i="14"/>
  <c r="M11" i="14"/>
  <c r="M12" i="14"/>
  <c r="M13" i="14"/>
  <c r="M14" i="14"/>
  <c r="M9" i="14"/>
  <c r="D2" i="14"/>
  <c r="W9" i="14" l="1"/>
  <c r="C37" i="14" l="1"/>
  <c r="C38" i="14" s="1"/>
  <c r="B27" i="14" l="1"/>
  <c r="AD9" i="14"/>
  <c r="AD10" i="14" s="1"/>
  <c r="AD11" i="14" s="1"/>
  <c r="AD12" i="14" s="1"/>
  <c r="AD13" i="14" s="1"/>
  <c r="AD14" i="14" s="1"/>
  <c r="W10" i="14"/>
  <c r="W11" i="14" s="1"/>
  <c r="W12" i="14" s="1"/>
  <c r="W13" i="14" s="1"/>
  <c r="W14" i="14" s="1"/>
  <c r="E9" i="14"/>
  <c r="E10" i="14" s="1"/>
  <c r="C20" i="14"/>
  <c r="D20" i="14" s="1"/>
  <c r="T24" i="14" l="1"/>
  <c r="T25" i="14"/>
  <c r="T26" i="14"/>
  <c r="L28" i="14"/>
  <c r="L29" i="14"/>
  <c r="C14" i="14"/>
  <c r="C17" i="14"/>
  <c r="D17" i="14" s="1"/>
  <c r="C22" i="14"/>
  <c r="D22" i="14" s="1"/>
  <c r="C18" i="14"/>
  <c r="D18" i="14" s="1"/>
  <c r="C21" i="14"/>
  <c r="D21" i="14" s="1"/>
  <c r="L25" i="14"/>
  <c r="L23" i="14"/>
  <c r="L22" i="14"/>
  <c r="L17" i="14"/>
  <c r="L16" i="14"/>
  <c r="L21" i="14"/>
  <c r="L20" i="14"/>
  <c r="L19" i="14"/>
  <c r="L18" i="14"/>
  <c r="L26" i="14"/>
  <c r="L27" i="14"/>
  <c r="L24" i="14"/>
  <c r="F20" i="14"/>
  <c r="G20" i="14" s="1"/>
  <c r="C15" i="14"/>
  <c r="D15" i="14" s="1"/>
  <c r="F21" i="14"/>
  <c r="G21" i="14" s="1"/>
  <c r="F17" i="14"/>
  <c r="G17" i="14" s="1"/>
  <c r="C19" i="14"/>
  <c r="D19" i="14" s="1"/>
  <c r="C16" i="14"/>
  <c r="D16" i="14" s="1"/>
  <c r="B5" i="13"/>
  <c r="B4" i="13"/>
  <c r="B3" i="13"/>
  <c r="D15" i="13" l="1"/>
  <c r="D14" i="13"/>
  <c r="O19" i="14"/>
  <c r="O18" i="14"/>
  <c r="U24" i="14"/>
  <c r="U25" i="14"/>
  <c r="U26" i="14"/>
  <c r="V25" i="14"/>
  <c r="V24" i="14"/>
  <c r="F18" i="14"/>
  <c r="G18" i="14" s="1"/>
  <c r="P20" i="14"/>
  <c r="D14" i="14"/>
  <c r="AD15" i="14"/>
  <c r="S21" i="14"/>
  <c r="S22" i="14"/>
  <c r="F22" i="14"/>
  <c r="G22" i="14" s="1"/>
  <c r="D23" i="14"/>
  <c r="F16" i="14"/>
  <c r="G16" i="14" s="1"/>
  <c r="F15" i="14"/>
  <c r="G15" i="14" s="1"/>
  <c r="F19" i="14"/>
  <c r="G19" i="14" s="1"/>
  <c r="N19" i="14" l="1"/>
  <c r="N16" i="14"/>
  <c r="N15" i="14"/>
  <c r="W15" i="14" s="1"/>
  <c r="W16" i="14" s="1"/>
  <c r="W17" i="14" s="1"/>
  <c r="W18" i="14" s="1"/>
  <c r="W19" i="14" s="1"/>
  <c r="W20" i="14" s="1"/>
  <c r="W21" i="14" s="1"/>
  <c r="W22" i="14" s="1"/>
  <c r="W23" i="14" s="1"/>
  <c r="W24" i="14" s="1"/>
  <c r="W25" i="14" s="1"/>
  <c r="W26" i="14" s="1"/>
  <c r="W27" i="14" s="1"/>
  <c r="W28" i="14" s="1"/>
  <c r="W29" i="14" s="1"/>
  <c r="W30" i="14" s="1"/>
  <c r="W31" i="14" s="1"/>
  <c r="W32" i="14" s="1"/>
  <c r="N17" i="14"/>
  <c r="N18" i="14"/>
  <c r="G23" i="14"/>
  <c r="AD16" i="14"/>
  <c r="AD17" i="14" s="1"/>
  <c r="AD18" i="14" s="1"/>
  <c r="AD19" i="14" s="1"/>
  <c r="AD20" i="14" s="1"/>
  <c r="AD21" i="14" s="1"/>
  <c r="AD22" i="14" s="1"/>
  <c r="AD23" i="14" s="1"/>
  <c r="AD24" i="14" s="1"/>
  <c r="AD25" i="14" s="1"/>
  <c r="D16" i="8"/>
  <c r="D18" i="8" s="1"/>
  <c r="B10" i="5" s="1"/>
  <c r="B2" i="13"/>
  <c r="F23" i="14" l="1"/>
  <c r="C15" i="13"/>
  <c r="C14" i="13"/>
  <c r="AD26" i="14"/>
  <c r="AD27" i="14" s="1"/>
  <c r="AD28" i="14" s="1"/>
  <c r="AD29" i="14" s="1"/>
  <c r="AD30" i="14" s="1"/>
  <c r="AD31" i="14" s="1"/>
  <c r="AD32" i="14" s="1"/>
  <c r="B26" i="5"/>
  <c r="B16" i="8"/>
  <c r="E16" i="8" l="1"/>
  <c r="E18" i="8" s="1"/>
  <c r="B16" i="12"/>
  <c r="C25" i="13"/>
  <c r="B25" i="13" s="1"/>
  <c r="C24" i="13"/>
  <c r="B35" i="5"/>
  <c r="D8" i="12"/>
  <c r="C8" i="10"/>
  <c r="B12" i="5" l="1"/>
  <c r="G17" i="8" s="1"/>
  <c r="I17" i="8" s="1"/>
  <c r="B11" i="5"/>
  <c r="B24" i="13"/>
  <c r="B14" i="13"/>
  <c r="B15" i="13"/>
  <c r="F17" i="8" l="1"/>
  <c r="H17" i="8" s="1"/>
  <c r="C17" i="12" s="1"/>
  <c r="F16" i="8"/>
  <c r="H16" i="8" s="1"/>
  <c r="D17" i="12"/>
  <c r="B7" i="12"/>
  <c r="C7" i="10"/>
  <c r="C6" i="10" s="1"/>
  <c r="C7" i="12" l="1"/>
  <c r="J17" i="8"/>
  <c r="E7" i="12" s="1"/>
  <c r="C6" i="12"/>
  <c r="F18" i="8"/>
  <c r="C9" i="10"/>
  <c r="E11" i="10" s="1"/>
  <c r="E13" i="10" s="1"/>
  <c r="G16" i="8"/>
  <c r="I16" i="8" s="1"/>
  <c r="D16" i="12" s="1"/>
  <c r="D18" i="12" s="1"/>
  <c r="F17" i="12" l="1"/>
  <c r="H18" i="8"/>
  <c r="C16" i="12"/>
  <c r="C18" i="12" s="1"/>
  <c r="C8" i="12"/>
  <c r="J16" i="8"/>
  <c r="B6" i="12"/>
  <c r="F11" i="10"/>
  <c r="F13" i="10" s="1"/>
  <c r="J11" i="10"/>
  <c r="J13" i="10" s="1"/>
  <c r="G11" i="10"/>
  <c r="G13" i="10" s="1"/>
  <c r="D11" i="10"/>
  <c r="D13" i="10" s="1"/>
  <c r="L11" i="10"/>
  <c r="L13" i="10" s="1"/>
  <c r="I11" i="10"/>
  <c r="I13" i="10" s="1"/>
  <c r="H11" i="10"/>
  <c r="H13" i="10" s="1"/>
  <c r="K11" i="10"/>
  <c r="K13" i="10" s="1"/>
  <c r="C11" i="10"/>
  <c r="C13" i="10" s="1"/>
  <c r="F16" i="12" l="1"/>
  <c r="F18" i="12" s="1"/>
  <c r="E6" i="12"/>
  <c r="J18" i="8"/>
  <c r="I18" i="8"/>
  <c r="E8" i="12" l="1"/>
  <c r="M15" i="14"/>
  <c r="M16" i="14" s="1"/>
  <c r="M17" i="14" s="1"/>
  <c r="M18" i="14" s="1"/>
  <c r="M19" i="14" s="1"/>
  <c r="M20" i="14" s="1"/>
  <c r="M21" i="14" s="1"/>
  <c r="M22" i="14" s="1"/>
  <c r="M23" i="14" s="1"/>
  <c r="M24" i="14" s="1"/>
  <c r="M25" i="14" s="1"/>
  <c r="B8" i="12" l="1"/>
  <c r="M26" i="14"/>
  <c r="M27" i="14" s="1"/>
  <c r="M28" i="14" s="1"/>
  <c r="M29" i="14" s="1"/>
  <c r="M31" i="14" s="1"/>
  <c r="M32" i="14" s="1"/>
  <c r="AB15" i="14"/>
  <c r="AB16" i="14" s="1"/>
  <c r="AB17" i="14" s="1"/>
  <c r="AB18" i="14" s="1"/>
  <c r="AB19" i="14" s="1"/>
  <c r="AB20" i="14" s="1"/>
  <c r="AB21" i="14" s="1"/>
  <c r="AB22" i="14" s="1"/>
  <c r="AB23" i="14" s="1"/>
  <c r="AB24" i="14" s="1"/>
  <c r="AB25" i="14" s="1"/>
  <c r="AB26" i="14" s="1"/>
  <c r="AB27" i="14" s="1"/>
  <c r="AB28" i="14" s="1"/>
  <c r="AB29" i="14" s="1"/>
  <c r="AB31" i="14" s="1"/>
  <c r="AB32" i="14" s="1"/>
  <c r="AB9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CarbonSink</author>
  </authors>
  <commentList>
    <comment ref="C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Here the TJ/t value is converted to the kWh/t</t>
        </r>
      </text>
    </comment>
    <comment ref="C1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Concervative estimation.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Carbonsink</author>
  </authors>
  <commentList>
    <comment ref="D2" authorId="0" shapeId="0" xr:uid="{BF2FD312-4D45-4D45-986D-D065A60B8336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The battery will allow the pump to always work at maximum capacity</t>
        </r>
      </text>
    </comment>
    <comment ref="M29" authorId="0" shapeId="0" xr:uid="{4F38BBD1-E4E3-409C-8790-FE26A5D659DB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Capped at 3 m3 which is the installed storage tank.</t>
        </r>
      </text>
    </comment>
  </commentList>
</comments>
</file>

<file path=xl/sharedStrings.xml><?xml version="1.0" encoding="utf-8"?>
<sst xmlns="http://schemas.openxmlformats.org/spreadsheetml/2006/main" count="373" uniqueCount="250">
  <si>
    <t>Project title</t>
  </si>
  <si>
    <t>GS5658 VPA 14: Water is Life, Madagascar</t>
  </si>
  <si>
    <t>GS ID</t>
  </si>
  <si>
    <t>GS7566</t>
  </si>
  <si>
    <t>Type</t>
  </si>
  <si>
    <t>Ex-post emission reduction calculations</t>
  </si>
  <si>
    <t>Parameter</t>
  </si>
  <si>
    <t>Value</t>
  </si>
  <si>
    <t>Unit</t>
  </si>
  <si>
    <t>Description</t>
  </si>
  <si>
    <t>Value fixed ex-ante / Monitored</t>
  </si>
  <si>
    <t>Source of data</t>
  </si>
  <si>
    <r>
      <t>X</t>
    </r>
    <r>
      <rPr>
        <vertAlign val="subscript"/>
        <sz val="11"/>
        <rFont val="Calibri"/>
        <family val="2"/>
        <scheme val="minor"/>
      </rPr>
      <t>boil</t>
    </r>
  </si>
  <si>
    <t>Percentage</t>
  </si>
  <si>
    <t>Percentage of premises that in the absence of the project activity would have used non-GHG emitting technologies like chlorine treatment techniques (if available) in the project boundary.</t>
  </si>
  <si>
    <t>Fixed ex-ante</t>
  </si>
  <si>
    <t>Baseline Survey, 2018</t>
  </si>
  <si>
    <r>
      <t>C</t>
    </r>
    <r>
      <rPr>
        <vertAlign val="subscript"/>
        <sz val="11"/>
        <color theme="1"/>
        <rFont val="Calibri"/>
        <family val="2"/>
        <scheme val="minor"/>
      </rPr>
      <t>j</t>
    </r>
  </si>
  <si>
    <t>Percentage of users of project safe water supply who were already in baseline using a non boiling safe water supply</t>
  </si>
  <si>
    <r>
      <t>N</t>
    </r>
    <r>
      <rPr>
        <vertAlign val="subscript"/>
        <sz val="11"/>
        <color theme="1"/>
        <rFont val="Calibri"/>
        <family val="2"/>
        <scheme val="minor"/>
      </rPr>
      <t>p,y</t>
    </r>
  </si>
  <si>
    <t>N/A</t>
  </si>
  <si>
    <t>Number of person.days consuming water supplied by project scenario p through year y</t>
  </si>
  <si>
    <t>Monitored</t>
  </si>
  <si>
    <t>End-users list</t>
  </si>
  <si>
    <r>
      <t>W</t>
    </r>
    <r>
      <rPr>
        <vertAlign val="subscript"/>
        <sz val="9"/>
        <color theme="1"/>
        <rFont val="Calibri"/>
        <family val="2"/>
        <scheme val="minor"/>
      </rPr>
      <t>b,y</t>
    </r>
  </si>
  <si>
    <t xml:space="preserve">Tons/Litre </t>
  </si>
  <si>
    <t>Quantity of wood fuel or fossil fuel required to boil 1 litre of water using technologies representatives of baseline scenario b during year y</t>
  </si>
  <si>
    <t>Used for ex-ante calculations, but will be monitored</t>
  </si>
  <si>
    <t>Calculated (See cells B31-B36 below)</t>
  </si>
  <si>
    <r>
      <t>W</t>
    </r>
    <r>
      <rPr>
        <vertAlign val="subscript"/>
        <sz val="9"/>
        <color theme="1"/>
        <rFont val="Calibri"/>
        <family val="2"/>
        <scheme val="minor"/>
      </rPr>
      <t>p,y</t>
    </r>
  </si>
  <si>
    <t>Quantity of wood fuel or fossil fuel required to boil 1 litre of water using technologies representatives of project scenario b during year y</t>
  </si>
  <si>
    <r>
      <rPr>
        <sz val="11"/>
        <color theme="1"/>
        <rFont val="Calibri"/>
        <family val="2"/>
        <scheme val="minor"/>
      </rPr>
      <t>Q</t>
    </r>
    <r>
      <rPr>
        <vertAlign val="subscript"/>
        <sz val="11"/>
        <color theme="1"/>
        <rFont val="Calibri"/>
        <family val="2"/>
        <scheme val="minor"/>
      </rPr>
      <t>p,y</t>
    </r>
  </si>
  <si>
    <t>Litre/Person/Day</t>
  </si>
  <si>
    <t>Quantity of safe water in litres consumed in the project scenario p and supplied by project technology per person per day in year y</t>
  </si>
  <si>
    <r>
      <t>Q</t>
    </r>
    <r>
      <rPr>
        <vertAlign val="subscript"/>
        <sz val="11"/>
        <color theme="1"/>
        <rFont val="Calibri"/>
        <family val="2"/>
        <scheme val="minor"/>
      </rPr>
      <t>p,rawboil,y</t>
    </r>
  </si>
  <si>
    <t>Quantity of raw water boiled in the project scenario p per person per day</t>
  </si>
  <si>
    <r>
      <rPr>
        <sz val="11"/>
        <color theme="1"/>
        <rFont val="Calibri"/>
        <family val="2"/>
        <scheme val="minor"/>
      </rPr>
      <t>Q</t>
    </r>
    <r>
      <rPr>
        <vertAlign val="subscript"/>
        <sz val="11"/>
        <color theme="1"/>
        <rFont val="Calibri"/>
        <family val="2"/>
        <scheme val="minor"/>
      </rPr>
      <t>p,cleanboil,y</t>
    </r>
  </si>
  <si>
    <t>Quantity of safe water boiled in the project scenario p per person per day in year y</t>
  </si>
  <si>
    <r>
      <t>f</t>
    </r>
    <r>
      <rPr>
        <vertAlign val="subscript"/>
        <sz val="11"/>
        <color theme="1"/>
        <rFont val="Calibri"/>
        <family val="2"/>
        <scheme val="minor"/>
      </rPr>
      <t>NRB,i,y</t>
    </r>
  </si>
  <si>
    <t>Fraction</t>
  </si>
  <si>
    <t>Non-renewability status of woody biomass fuel in scenario i during the year y</t>
  </si>
  <si>
    <t>Fixed ex-ante (but may be updated)</t>
  </si>
  <si>
    <r>
      <t>Default f</t>
    </r>
    <r>
      <rPr>
        <vertAlign val="subscript"/>
        <sz val="11"/>
        <color theme="1"/>
        <rFont val="Calibri"/>
        <family val="2"/>
        <scheme val="minor"/>
      </rPr>
      <t>NRB</t>
    </r>
    <r>
      <rPr>
        <sz val="11"/>
        <color theme="1"/>
        <rFont val="Calibri"/>
        <family val="2"/>
        <scheme val="minor"/>
      </rPr>
      <t xml:space="preserve"> value provided by CDM Executive Board and endorsed by the host country DNA </t>
    </r>
  </si>
  <si>
    <t>http://cdm.unfccc.int/DNA/fNRB/index.html</t>
  </si>
  <si>
    <r>
      <t>EF</t>
    </r>
    <r>
      <rPr>
        <vertAlign val="subscript"/>
        <sz val="11"/>
        <color theme="1"/>
        <rFont val="Calibri"/>
        <family val="2"/>
        <scheme val="minor"/>
      </rPr>
      <t>b,CO2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</si>
  <si>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/TJ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</si>
  <si>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baseline scenario</t>
    </r>
  </si>
  <si>
    <t>IPCC default value</t>
  </si>
  <si>
    <t xml:space="preserve">http://www.ipcc-nggip.iges.or.jp/public/2006gl/pdf/2_Volume2/V2_2_Ch2_Stationary_Combustion.pdf </t>
  </si>
  <si>
    <r>
      <t>EF</t>
    </r>
    <r>
      <rPr>
        <vertAlign val="subscript"/>
        <sz val="11"/>
        <color theme="1"/>
        <rFont val="Calibri"/>
        <family val="2"/>
        <scheme val="minor"/>
      </rPr>
      <t>b,nonCO2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</si>
  <si>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project scenario</t>
    </r>
  </si>
  <si>
    <r>
      <t>EF</t>
    </r>
    <r>
      <rPr>
        <vertAlign val="subscript"/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,CO2</t>
    </r>
  </si>
  <si>
    <r>
      <t>EF</t>
    </r>
    <r>
      <rPr>
        <vertAlign val="subscript"/>
        <sz val="11"/>
        <color theme="1"/>
        <rFont val="Calibri"/>
        <family val="2"/>
        <scheme val="minor"/>
      </rPr>
      <t>p,nonCO2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</si>
  <si>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project scenario</t>
    </r>
  </si>
  <si>
    <r>
      <t>NCV</t>
    </r>
    <r>
      <rPr>
        <vertAlign val="subscript"/>
        <sz val="11"/>
        <color theme="1"/>
        <rFont val="Calibri"/>
        <family val="2"/>
        <scheme val="minor"/>
      </rPr>
      <t>b,fuel</t>
    </r>
  </si>
  <si>
    <t>TJ/ton</t>
  </si>
  <si>
    <t>Net calorific value of the fuels used in the baseline</t>
  </si>
  <si>
    <t>http://www.ipcc-nggip.iges.or.jp/public/2006gl/pdf/2_Volume2/V2_1_Ch1_Introduction.pdf</t>
  </si>
  <si>
    <r>
      <t>NCV</t>
    </r>
    <r>
      <rPr>
        <vertAlign val="subscript"/>
        <sz val="11"/>
        <color theme="1"/>
        <rFont val="Calibri"/>
        <family val="2"/>
        <scheme val="minor"/>
      </rPr>
      <t>p,fuel</t>
    </r>
  </si>
  <si>
    <t>Net calorific value of the fuels used in the project</t>
  </si>
  <si>
    <r>
      <t>U</t>
    </r>
    <r>
      <rPr>
        <vertAlign val="subscript"/>
        <sz val="11"/>
        <color theme="1"/>
        <rFont val="Calibri"/>
        <family val="2"/>
        <scheme val="minor"/>
      </rPr>
      <t>p,y</t>
    </r>
  </si>
  <si>
    <t>Cumulative usage rate for technologies in project scenario p during year y, based on cumulative installation rate and drop off rate</t>
  </si>
  <si>
    <r>
      <t>LE</t>
    </r>
    <r>
      <rPr>
        <vertAlign val="subscript"/>
        <sz val="11"/>
        <color theme="1"/>
        <rFont val="Calibri"/>
        <family val="2"/>
        <scheme val="minor"/>
      </rPr>
      <t>p,y</t>
    </r>
  </si>
  <si>
    <t>tCO2e/yr</t>
  </si>
  <si>
    <t xml:space="preserve">Leakage from project scenario p in year y </t>
  </si>
  <si>
    <r>
      <t>P</t>
    </r>
    <r>
      <rPr>
        <sz val="7"/>
        <rFont val="Calibri"/>
        <family val="2"/>
        <scheme val="minor"/>
      </rPr>
      <t xml:space="preserve">y </t>
    </r>
  </si>
  <si>
    <t>Number of persons having access to safe water in the project activity</t>
  </si>
  <si>
    <t>Parameters and values used for determining Wb,y and Wp,y</t>
  </si>
  <si>
    <t xml:space="preserve">Families using wood </t>
  </si>
  <si>
    <t>Percentage of premises that are using wood as their cooking fuel</t>
  </si>
  <si>
    <t xml:space="preserve">Families using charcoal </t>
  </si>
  <si>
    <t>Percentage of premises that are using charcoal as their cooking fuel</t>
  </si>
  <si>
    <t>Wood to charcoal ratio</t>
  </si>
  <si>
    <t>Ratio</t>
  </si>
  <si>
    <t>Default value to estimate the quantity wood needed for producing charcoal i.e. "wood-to-charcoal ratio"</t>
  </si>
  <si>
    <t>IPCC Default value</t>
  </si>
  <si>
    <t>http://www.ipcc-nggip.iges.or.jp/public/gl/guidelin/ch1ref3.pdf</t>
  </si>
  <si>
    <r>
      <t>W</t>
    </r>
    <r>
      <rPr>
        <vertAlign val="subscript"/>
        <sz val="11"/>
        <rFont val="Calibri"/>
        <family val="2"/>
        <scheme val="minor"/>
      </rPr>
      <t>wood</t>
    </r>
  </si>
  <si>
    <t xml:space="preserve">kg/Litre </t>
  </si>
  <si>
    <t>Quantity of wood required to boil 1 litre of water using firewood technologies representatives of baseline scenario b during year y</t>
  </si>
  <si>
    <t>Default value from BAMG Report</t>
  </si>
  <si>
    <r>
      <t>W</t>
    </r>
    <r>
      <rPr>
        <sz val="8"/>
        <rFont val="Calibri (Body)"/>
      </rPr>
      <t>charcoal</t>
    </r>
  </si>
  <si>
    <t>Quantity of charcoal required to boil 1 litre of water using charcoal technologies representatives of baseline scenario b during year y</t>
  </si>
  <si>
    <r>
      <t>W</t>
    </r>
    <r>
      <rPr>
        <vertAlign val="subscript"/>
        <sz val="11"/>
        <rFont val="Calibri"/>
        <family val="2"/>
        <scheme val="minor"/>
      </rPr>
      <t xml:space="preserve">wood equivalent (charcoal users) </t>
    </r>
  </si>
  <si>
    <t>Quantity of wood fuel equivalent required to boil 1 litre of water using charcoal technologies representatives of baseline scenario b during year y</t>
  </si>
  <si>
    <t xml:space="preserve">Calculated </t>
  </si>
  <si>
    <t>Baseline Scenario Fuel Consumption (Litre/person/day)</t>
  </si>
  <si>
    <t>Bb,y</t>
  </si>
  <si>
    <r>
      <t xml:space="preserve"> (1 – X</t>
    </r>
    <r>
      <rPr>
        <sz val="8"/>
        <color rgb="FF000000"/>
        <rFont val="Calibri"/>
        <family val="2"/>
        <scheme val="minor"/>
      </rPr>
      <t>boil</t>
    </r>
    <r>
      <rPr>
        <sz val="11.5"/>
        <color rgb="FF000000"/>
        <rFont val="Calibri"/>
        <family val="2"/>
        <scheme val="minor"/>
      </rPr>
      <t>) * (1 - C</t>
    </r>
    <r>
      <rPr>
        <sz val="8"/>
        <color rgb="FF000000"/>
        <rFont val="Calibri"/>
        <family val="2"/>
        <scheme val="minor"/>
      </rPr>
      <t>j</t>
    </r>
    <r>
      <rPr>
        <sz val="11.5"/>
        <color rgb="FF000000"/>
        <rFont val="Calibri"/>
        <family val="2"/>
        <scheme val="minor"/>
      </rPr>
      <t>) * N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* W</t>
    </r>
    <r>
      <rPr>
        <sz val="8"/>
        <color rgb="FF000000"/>
        <rFont val="Calibri"/>
        <family val="2"/>
        <scheme val="minor"/>
      </rPr>
      <t xml:space="preserve">b,y </t>
    </r>
    <r>
      <rPr>
        <sz val="11.5"/>
        <color rgb="FF000000"/>
        <rFont val="Calibri"/>
        <family val="2"/>
        <scheme val="minor"/>
      </rPr>
      <t>* (Q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+ Q</t>
    </r>
    <r>
      <rPr>
        <sz val="8"/>
        <color rgb="FF000000"/>
        <rFont val="Calibri"/>
        <family val="2"/>
        <scheme val="minor"/>
      </rPr>
      <t>p,rawboil,y</t>
    </r>
    <r>
      <rPr>
        <sz val="11.5"/>
        <color rgb="FF000000"/>
        <rFont val="Calibri"/>
        <family val="2"/>
        <scheme val="minor"/>
      </rPr>
      <t xml:space="preserve">) </t>
    </r>
  </si>
  <si>
    <t>Project Scenario Fuel Consumption Calculation (Litre/person/day)</t>
  </si>
  <si>
    <t>Bp,y</t>
  </si>
  <si>
    <r>
      <t>(1 - C</t>
    </r>
    <r>
      <rPr>
        <sz val="8"/>
        <color theme="1"/>
        <rFont val="Cambria"/>
        <family val="1"/>
      </rPr>
      <t>j</t>
    </r>
    <r>
      <rPr>
        <sz val="11.5"/>
        <color theme="1"/>
        <rFont val="Cambria"/>
        <family val="1"/>
      </rPr>
      <t>) * N</t>
    </r>
    <r>
      <rPr>
        <sz val="8"/>
        <color theme="1"/>
        <rFont val="Cambria"/>
        <family val="1"/>
      </rPr>
      <t xml:space="preserve">p,y </t>
    </r>
    <r>
      <rPr>
        <sz val="11.5"/>
        <color theme="1"/>
        <rFont val="Cambria"/>
        <family val="1"/>
      </rPr>
      <t>* W</t>
    </r>
    <r>
      <rPr>
        <sz val="8"/>
        <color theme="1"/>
        <rFont val="Cambria"/>
        <family val="1"/>
      </rPr>
      <t xml:space="preserve">p,y </t>
    </r>
    <r>
      <rPr>
        <sz val="11.5"/>
        <color theme="1"/>
        <rFont val="Cambria"/>
        <family val="1"/>
      </rPr>
      <t>* (Q</t>
    </r>
    <r>
      <rPr>
        <sz val="8"/>
        <color theme="1"/>
        <rFont val="Cambria"/>
        <family val="1"/>
      </rPr>
      <t xml:space="preserve">p,rawboil,y </t>
    </r>
    <r>
      <rPr>
        <sz val="11.5"/>
        <color theme="1"/>
        <rFont val="Cambria"/>
        <family val="1"/>
      </rPr>
      <t>+ Q</t>
    </r>
    <r>
      <rPr>
        <sz val="8"/>
        <color theme="1"/>
        <rFont val="Cambria"/>
        <family val="1"/>
      </rPr>
      <t>p,cleanboil,y</t>
    </r>
    <r>
      <rPr>
        <sz val="11.5"/>
        <color theme="1"/>
        <rFont val="Cambria"/>
        <family val="1"/>
      </rPr>
      <t>)</t>
    </r>
  </si>
  <si>
    <r>
      <t>Emission Reductions (tCO</t>
    </r>
    <r>
      <rPr>
        <b/>
        <vertAlign val="subscript"/>
        <sz val="11.5"/>
        <color rgb="FF000000"/>
        <rFont val="Calibri"/>
        <family val="2"/>
        <scheme val="minor"/>
      </rPr>
      <t>2</t>
    </r>
    <r>
      <rPr>
        <b/>
        <sz val="11.5"/>
        <color rgb="FF000000"/>
        <rFont val="Calibri"/>
        <family val="2"/>
        <scheme val="minor"/>
      </rPr>
      <t>e/year)</t>
    </r>
  </si>
  <si>
    <t>BEb,y</t>
  </si>
  <si>
    <r>
      <t>B</t>
    </r>
    <r>
      <rPr>
        <sz val="8"/>
        <color rgb="FF000000"/>
        <rFont val="Calibri"/>
        <family val="2"/>
        <scheme val="minor"/>
      </rPr>
      <t xml:space="preserve">b,y </t>
    </r>
    <r>
      <rPr>
        <sz val="11.5"/>
        <color rgb="FF000000"/>
        <rFont val="Calibri"/>
        <family val="2"/>
        <scheme val="minor"/>
      </rPr>
      <t>*(( f</t>
    </r>
    <r>
      <rPr>
        <sz val="8"/>
        <color rgb="FF000000"/>
        <rFont val="Calibri"/>
        <family val="2"/>
        <scheme val="minor"/>
      </rPr>
      <t xml:space="preserve">NRB </t>
    </r>
    <r>
      <rPr>
        <sz val="11.5"/>
        <color rgb="FF000000"/>
        <rFont val="Calibri"/>
        <family val="2"/>
        <scheme val="minor"/>
      </rPr>
      <t>* EF</t>
    </r>
    <r>
      <rPr>
        <sz val="8"/>
        <color rgb="FF000000"/>
        <rFont val="Calibri"/>
        <family val="2"/>
        <scheme val="minor"/>
      </rPr>
      <t>fuel,CO2</t>
    </r>
    <r>
      <rPr>
        <sz val="11.5"/>
        <color rgb="FF000000"/>
        <rFont val="Calibri"/>
        <family val="2"/>
        <scheme val="minor"/>
      </rPr>
      <t>) + EF</t>
    </r>
    <r>
      <rPr>
        <sz val="8"/>
        <color rgb="FF000000"/>
        <rFont val="Calibri"/>
        <family val="2"/>
        <scheme val="minor"/>
      </rPr>
      <t>fuel,non-CO2</t>
    </r>
    <r>
      <rPr>
        <sz val="11.5"/>
        <color rgb="FF000000"/>
        <rFont val="Calibri"/>
        <family val="2"/>
        <scheme val="minor"/>
      </rPr>
      <t>) * NCV</t>
    </r>
    <r>
      <rPr>
        <vertAlign val="subscript"/>
        <sz val="11.5"/>
        <color rgb="FF000000"/>
        <rFont val="Calibri"/>
        <family val="2"/>
        <scheme val="minor"/>
      </rPr>
      <t>b,</t>
    </r>
    <r>
      <rPr>
        <sz val="8"/>
        <color rgb="FF000000"/>
        <rFont val="Calibri"/>
        <family val="2"/>
        <scheme val="minor"/>
      </rPr>
      <t xml:space="preserve">fuel </t>
    </r>
    <r>
      <rPr>
        <sz val="11.5"/>
        <color rgb="FF000000"/>
        <rFont val="Calibri"/>
        <family val="2"/>
        <scheme val="minor"/>
      </rPr>
      <t xml:space="preserve"> </t>
    </r>
  </si>
  <si>
    <t xml:space="preserve">PEp,y </t>
  </si>
  <si>
    <r>
      <t>B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* ((f</t>
    </r>
    <r>
      <rPr>
        <sz val="8"/>
        <color rgb="FF000000"/>
        <rFont val="Calibri"/>
        <family val="2"/>
        <scheme val="minor"/>
      </rPr>
      <t xml:space="preserve">NRB </t>
    </r>
    <r>
      <rPr>
        <sz val="11.5"/>
        <color rgb="FF000000"/>
        <rFont val="Calibri"/>
        <family val="2"/>
        <scheme val="minor"/>
      </rPr>
      <t>* EF</t>
    </r>
    <r>
      <rPr>
        <sz val="8"/>
        <color rgb="FF000000"/>
        <rFont val="Calibri"/>
        <family val="2"/>
        <scheme val="minor"/>
      </rPr>
      <t>fuel,CO2</t>
    </r>
    <r>
      <rPr>
        <sz val="11.5"/>
        <color rgb="FF000000"/>
        <rFont val="Calibri"/>
        <family val="2"/>
        <scheme val="minor"/>
      </rPr>
      <t>) + EF</t>
    </r>
    <r>
      <rPr>
        <sz val="8"/>
        <color rgb="FF000000"/>
        <rFont val="Calibri"/>
        <family val="2"/>
        <scheme val="minor"/>
      </rPr>
      <t>fuel,non-CO2</t>
    </r>
    <r>
      <rPr>
        <sz val="11.5"/>
        <color rgb="FF000000"/>
        <rFont val="Calibri"/>
        <family val="2"/>
        <scheme val="minor"/>
      </rPr>
      <t>) * NCV</t>
    </r>
    <r>
      <rPr>
        <vertAlign val="subscript"/>
        <sz val="11.5"/>
        <color rgb="FF000000"/>
        <rFont val="Calibri"/>
        <family val="2"/>
        <scheme val="minor"/>
      </rPr>
      <t>p,</t>
    </r>
    <r>
      <rPr>
        <sz val="8"/>
        <color rgb="FF000000"/>
        <rFont val="Calibri"/>
        <family val="2"/>
        <scheme val="minor"/>
      </rPr>
      <t>fuel</t>
    </r>
  </si>
  <si>
    <t>ERy</t>
  </si>
  <si>
    <r>
      <t>(ΣBE</t>
    </r>
    <r>
      <rPr>
        <sz val="8"/>
        <color rgb="FF000000"/>
        <rFont val="Calibri"/>
        <family val="2"/>
        <scheme val="minor"/>
      </rPr>
      <t xml:space="preserve">fuel,b,y </t>
    </r>
    <r>
      <rPr>
        <sz val="11.5"/>
        <color rgb="FF000000"/>
        <rFont val="Calibri"/>
        <family val="2"/>
        <scheme val="minor"/>
      </rPr>
      <t>- ΣPE</t>
    </r>
    <r>
      <rPr>
        <sz val="8"/>
        <color rgb="FF000000"/>
        <rFont val="Calibri"/>
        <family val="2"/>
        <scheme val="minor"/>
      </rPr>
      <t>fuel,p,y</t>
    </r>
    <r>
      <rPr>
        <sz val="11.5"/>
        <color rgb="FF000000"/>
        <rFont val="Calibri"/>
        <family val="2"/>
        <scheme val="minor"/>
      </rPr>
      <t>) * U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- ΣLE</t>
    </r>
    <r>
      <rPr>
        <sz val="8"/>
        <color rgb="FF000000"/>
        <rFont val="Calibri"/>
        <family val="2"/>
        <scheme val="minor"/>
      </rPr>
      <t>p,y</t>
    </r>
  </si>
  <si>
    <t>Project year</t>
  </si>
  <si>
    <t>Estimated nro of persons</t>
  </si>
  <si>
    <t>Number of days</t>
  </si>
  <si>
    <t>Operational days</t>
  </si>
  <si>
    <t>Np,y</t>
  </si>
  <si>
    <t>(Litre/person/day)</t>
  </si>
  <si>
    <t>(tCO2e/ year)</t>
  </si>
  <si>
    <t>Total</t>
  </si>
  <si>
    <t xml:space="preserve">capped value operational days </t>
  </si>
  <si>
    <t>Village name</t>
  </si>
  <si>
    <t>GPS Coordinates</t>
  </si>
  <si>
    <t>Start date of the construction</t>
  </si>
  <si>
    <t>End date of the construction works</t>
  </si>
  <si>
    <t xml:space="preserve">Belemboky Androvakely </t>
  </si>
  <si>
    <t>21/09/2019</t>
  </si>
  <si>
    <t>Andranomena</t>
  </si>
  <si>
    <t>SUMMARY FOR VPA-DD</t>
  </si>
  <si>
    <t>Year</t>
  </si>
  <si>
    <t xml:space="preserve">Estimation of project activity emission </t>
  </si>
  <si>
    <t>Estimation of baseline emissions</t>
  </si>
  <si>
    <t>Etimation of leakage</t>
  </si>
  <si>
    <t>Estimation of overall emission reductions</t>
  </si>
  <si>
    <r>
      <t>(tCO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)</t>
    </r>
  </si>
  <si>
    <t>Vintage</t>
  </si>
  <si>
    <r>
      <t>Total (tCO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</si>
  <si>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ERs COMPARED TO EX-ANTE ESTIMATED VALUES</t>
  </si>
  <si>
    <t>Average number of hhs</t>
  </si>
  <si>
    <t>PEp,y</t>
  </si>
  <si>
    <t>LEp,y</t>
  </si>
  <si>
    <r>
      <t>ER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</si>
  <si>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ERy as in the registered PDD</t>
  </si>
  <si>
    <t>Total estimated emission reductions (tCO2-e)</t>
  </si>
  <si>
    <t>FOR COMPARISION - EX-ANTE CALCULATED EMISSION REDUCTIONS</t>
  </si>
  <si>
    <t>(tCO2)</t>
  </si>
  <si>
    <t>2019 (22/09/2019-31/12/2019)</t>
  </si>
  <si>
    <t>2024 (01/01/2024-21/09/2024)</t>
  </si>
  <si>
    <t>Total (tCO2)</t>
  </si>
  <si>
    <t>Annual average over crediting period of estimated reductions (tCO2-e)</t>
  </si>
  <si>
    <r>
      <t>C</t>
    </r>
    <r>
      <rPr>
        <sz val="7"/>
        <rFont val="Calibri"/>
        <family val="2"/>
        <scheme val="minor"/>
      </rPr>
      <t xml:space="preserve">j </t>
    </r>
  </si>
  <si>
    <r>
      <t>U</t>
    </r>
    <r>
      <rPr>
        <vertAlign val="subscript"/>
        <sz val="11"/>
        <rFont val="Calibri"/>
        <family val="2"/>
        <scheme val="minor"/>
      </rPr>
      <t>p,y</t>
    </r>
  </si>
  <si>
    <t>SDG 3: Number of additional persons using safe water in the project activity compared to the baseline scenario</t>
  </si>
  <si>
    <r>
      <t>P</t>
    </r>
    <r>
      <rPr>
        <vertAlign val="subscript"/>
        <sz val="11"/>
        <color theme="1"/>
        <rFont val="Avenir Book"/>
        <family val="2"/>
      </rPr>
      <t xml:space="preserve">safe </t>
    </r>
    <r>
      <rPr>
        <sz val="11"/>
        <color theme="1"/>
        <rFont val="Avenir Book"/>
        <family val="2"/>
      </rPr>
      <t>= P</t>
    </r>
    <r>
      <rPr>
        <vertAlign val="subscript"/>
        <sz val="11"/>
        <color theme="1"/>
        <rFont val="Avenir Book"/>
        <family val="2"/>
      </rPr>
      <t>y</t>
    </r>
    <r>
      <rPr>
        <sz val="11"/>
        <color theme="1"/>
        <rFont val="Avenir Book"/>
        <family val="2"/>
      </rPr>
      <t xml:space="preserve"> * (1 - C</t>
    </r>
    <r>
      <rPr>
        <vertAlign val="subscript"/>
        <sz val="11"/>
        <color theme="1"/>
        <rFont val="Avenir Book"/>
        <family val="2"/>
      </rPr>
      <t>j</t>
    </r>
    <r>
      <rPr>
        <sz val="11"/>
        <color theme="1"/>
        <rFont val="Avenir Book"/>
        <family val="2"/>
      </rPr>
      <t>) * (1-X</t>
    </r>
    <r>
      <rPr>
        <vertAlign val="subscript"/>
        <sz val="11"/>
        <color theme="1"/>
        <rFont val="Avenir Book"/>
        <family val="2"/>
      </rPr>
      <t>boil</t>
    </r>
    <r>
      <rPr>
        <sz val="11"/>
        <color theme="1"/>
        <rFont val="Avenir Book"/>
      </rPr>
      <t>)</t>
    </r>
    <r>
      <rPr>
        <sz val="11"/>
        <color theme="1"/>
        <rFont val="Avenir Book"/>
        <family val="2"/>
      </rPr>
      <t xml:space="preserve"> * Up,y</t>
    </r>
  </si>
  <si>
    <t>SDG3</t>
  </si>
  <si>
    <r>
      <t xml:space="preserve">Baseline estimate </t>
    </r>
    <r>
      <rPr>
        <sz val="11"/>
        <color theme="1"/>
        <rFont val="Calibri"/>
        <family val="2"/>
        <scheme val="minor"/>
      </rPr>
      <t>(Number of persons)</t>
    </r>
  </si>
  <si>
    <r>
      <t xml:space="preserve">Project estimate </t>
    </r>
    <r>
      <rPr>
        <sz val="11"/>
        <color theme="1"/>
        <rFont val="Calibri"/>
        <family val="2"/>
        <scheme val="minor"/>
      </rPr>
      <t>(Number of persons)</t>
    </r>
  </si>
  <si>
    <r>
      <t xml:space="preserve">Net benefit </t>
    </r>
    <r>
      <rPr>
        <sz val="11"/>
        <color theme="1"/>
        <rFont val="Calibri"/>
        <family val="2"/>
        <scheme val="minor"/>
      </rPr>
      <t>(Number of persons</t>
    </r>
    <r>
      <rPr>
        <b/>
        <sz val="11"/>
        <color theme="1"/>
        <rFont val="Calibri"/>
        <family val="2"/>
        <scheme val="minor"/>
      </rPr>
      <t>)</t>
    </r>
  </si>
  <si>
    <t>SDG 6: Number of additional persons having access to a safe water source in the project activity compared to the baseline scenario</t>
  </si>
  <si>
    <r>
      <t>P</t>
    </r>
    <r>
      <rPr>
        <vertAlign val="subscript"/>
        <sz val="11"/>
        <color theme="1"/>
        <rFont val="Avenir Book"/>
        <family val="2"/>
      </rPr>
      <t>access</t>
    </r>
    <r>
      <rPr>
        <sz val="11"/>
        <color theme="1"/>
        <rFont val="Avenir Book"/>
        <family val="2"/>
      </rPr>
      <t>= P</t>
    </r>
    <r>
      <rPr>
        <vertAlign val="subscript"/>
        <sz val="11"/>
        <color theme="1"/>
        <rFont val="Avenir Book"/>
        <family val="2"/>
      </rPr>
      <t>y</t>
    </r>
    <r>
      <rPr>
        <sz val="11"/>
        <color theme="1"/>
        <rFont val="Avenir Book"/>
        <family val="2"/>
      </rPr>
      <t xml:space="preserve"> * (1 – C</t>
    </r>
    <r>
      <rPr>
        <vertAlign val="subscript"/>
        <sz val="11"/>
        <color theme="1"/>
        <rFont val="Avenir Book"/>
        <family val="2"/>
      </rPr>
      <t>j</t>
    </r>
    <r>
      <rPr>
        <sz val="11"/>
        <color theme="1"/>
        <rFont val="Avenir Book"/>
        <family val="2"/>
      </rPr>
      <t>) * (1-Xboil)</t>
    </r>
  </si>
  <si>
    <t>SDG6</t>
  </si>
  <si>
    <r>
      <t xml:space="preserve">Net benefit </t>
    </r>
    <r>
      <rPr>
        <sz val="11"/>
        <color theme="1"/>
        <rFont val="Calibri"/>
        <family val="2"/>
        <scheme val="minor"/>
      </rPr>
      <t>(Number of persons)</t>
    </r>
  </si>
  <si>
    <t>SDG 12</t>
  </si>
  <si>
    <r>
      <t xml:space="preserve">Baseline estimate 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</si>
  <si>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r>
      <t>Project estimate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</si>
  <si>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r>
      <t xml:space="preserve">Net benefit 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</si>
  <si>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t>The safe water supply and treatment technologies included in the VPA will not deliver any thermal energy in the project scenario but only seek to displace the use of non-renewable biomass and/or fossil fuels used for boiling water in the baseline scenario and/or to provide the safe water for consumers without access to safe drinking water (suppressed demand).</t>
  </si>
  <si>
    <t>The useful energy output per single unit in the baseline scenario is less than 150kW. This is demonstrated below.</t>
  </si>
  <si>
    <t>Mean fuel consumption in the baseline scenario (kg/stove/day)</t>
  </si>
  <si>
    <t xml:space="preserve">person/hh based on the Baseline Survey 2018 </t>
  </si>
  <si>
    <t>Mean fuel consumption in the baseline scenario (t/stove/day)</t>
  </si>
  <si>
    <t>NCV (kWh/t)</t>
  </si>
  <si>
    <t>Mean consumption in baseline scenario (kWh/stove/day)</t>
  </si>
  <si>
    <t>Estimated daily use (hours)</t>
  </si>
  <si>
    <t>Estimated fuel consumption (kW)</t>
  </si>
  <si>
    <t>Assumed thermal efficiency of stove</t>
  </si>
  <si>
    <t>Useful energy output (kW) of one stove</t>
  </si>
  <si>
    <t xml:space="preserve">Pump capacity </t>
  </si>
  <si>
    <t>2,5 m3/h</t>
  </si>
  <si>
    <t>Q (l/s)</t>
  </si>
  <si>
    <t>Time to fill container of 20 liters (at each tap)</t>
  </si>
  <si>
    <t>1m 20sec</t>
  </si>
  <si>
    <t>Field measurement</t>
  </si>
  <si>
    <t xml:space="preserve">Time gap for replacing the containers </t>
  </si>
  <si>
    <t>7 sec</t>
  </si>
  <si>
    <t>Project Data</t>
  </si>
  <si>
    <t>Project proposal assumption</t>
  </si>
  <si>
    <t>Target</t>
  </si>
  <si>
    <t>Tank Offtake/Intake simulation 1</t>
  </si>
  <si>
    <t>Tank Offtake/Intake simulation 2</t>
  </si>
  <si>
    <t>estimated beneficiaries number/ village</t>
  </si>
  <si>
    <t>Estimated daily water demand per person (l/p/d)</t>
  </si>
  <si>
    <t>Total water demand  (l/d)</t>
  </si>
  <si>
    <t>Input energy for the battery</t>
  </si>
  <si>
    <t>HH:MM</t>
  </si>
  <si>
    <t>Tank
Inlet
(l/s)</t>
  </si>
  <si>
    <t>Tank Storage (l)</t>
  </si>
  <si>
    <t>Tank
Outlet WP_Tap1
(l/s)</t>
  </si>
  <si>
    <t>Tank
Outlet WP_Tap2
(l/s)</t>
  </si>
  <si>
    <t>Tank
Outlet WP_Tap3
(l/s)</t>
  </si>
  <si>
    <t>Tank
Outlet WP_Tap4
(l/s)</t>
  </si>
  <si>
    <t>Tank
Outlet WP_Tap5
(l/s)</t>
  </si>
  <si>
    <t>Tank
Outlet WP_Tap6
(l/s)</t>
  </si>
  <si>
    <t>Tank
Outlet WP_Tap7
(l/s)</t>
  </si>
  <si>
    <t>Tank
Outlet WP_Tap8
(l/s)</t>
  </si>
  <si>
    <t>Tank
Outlet WP_Tap9
(l/s)</t>
  </si>
  <si>
    <t>Tot
Consumption
(l/d)</t>
  </si>
  <si>
    <t>Tank
Outlet WP_Taps
(l/s)</t>
  </si>
  <si>
    <t xml:space="preserve">Village </t>
  </si>
  <si>
    <t>Maximum Demand Simulation - Tank distribution</t>
  </si>
  <si>
    <t>Infrastructure Type</t>
  </si>
  <si>
    <t>Tap_N</t>
  </si>
  <si>
    <t>Total Q(l/s)</t>
  </si>
  <si>
    <t>Estimated maximum service Hours</t>
  </si>
  <si>
    <t>People covered</t>
  </si>
  <si>
    <t>Total l/d</t>
  </si>
  <si>
    <t>Water tower</t>
  </si>
  <si>
    <t>Solar</t>
  </si>
  <si>
    <t>Q peak at Tank1  OutLet</t>
  </si>
  <si>
    <t>l/s</t>
  </si>
  <si>
    <t>Storage Capacity (m3) installed</t>
  </si>
  <si>
    <t>Tank</t>
  </si>
  <si>
    <t>battery storage</t>
  </si>
  <si>
    <t>Pump details</t>
  </si>
  <si>
    <t>Power</t>
  </si>
  <si>
    <t>W</t>
  </si>
  <si>
    <t>Voltage</t>
  </si>
  <si>
    <t>V</t>
  </si>
  <si>
    <t>Current</t>
  </si>
  <si>
    <t>A</t>
  </si>
  <si>
    <t>Storage battery details</t>
  </si>
  <si>
    <t>Nominal Capacity</t>
  </si>
  <si>
    <t>Ah</t>
  </si>
  <si>
    <t>Project Assumption</t>
  </si>
  <si>
    <t>Estimated Maximum Depth of Discharge</t>
  </si>
  <si>
    <t>%</t>
  </si>
  <si>
    <t>Sunlight hours</t>
  </si>
  <si>
    <t>10 h</t>
  </si>
  <si>
    <t xml:space="preserve">Conservative value: the shortest day in 2020 has 10h 42min of daylight. https://weatherspark.com/y/102576/Average-Weather-in-Toliara-Madagascar-Year-Round  </t>
  </si>
  <si>
    <t>Usable Capacity</t>
  </si>
  <si>
    <t>Battery storage</t>
  </si>
  <si>
    <t xml:space="preserve">4,5 h </t>
  </si>
  <si>
    <t>Conservative value: Battery can discharge up to 80%, but we assume 50 %. Please refer to C42</t>
  </si>
  <si>
    <t xml:space="preserve">Time of discharge without sunlight </t>
  </si>
  <si>
    <t>h</t>
  </si>
  <si>
    <t xml:space="preserve"> </t>
  </si>
  <si>
    <r>
      <t>EF</t>
    </r>
    <r>
      <rPr>
        <vertAlign val="subscript"/>
        <sz val="11"/>
        <color theme="1"/>
        <rFont val="Calibri"/>
        <family val="2"/>
        <scheme val="minor"/>
      </rPr>
      <t>b,nonCO2</t>
    </r>
    <r>
      <rPr>
        <sz val="11"/>
        <rFont val="Calibri"/>
        <family val="2"/>
        <scheme val="minor"/>
      </rPr>
      <t>(2021)</t>
    </r>
  </si>
  <si>
    <t xml:space="preserve">Calculated based on following: 1) IPCC default value for wood, for CH4: 0,3 tCO2/TJ and fro N2O: 0,004 tCO2/TJ (table 2.5 for default emission factors for stationary combustion), 2) AR5 GWP value of CH4 and N2O </t>
  </si>
  <si>
    <t xml:space="preserve">  </t>
  </si>
  <si>
    <t xml:space="preserve">WCFT made in 2021 resulted as 8.6 litre/person/day. (it has been chosen the lower limit value instead the average, according to the 95/10 rule). This value has been capped to 7 litres in line with the page 48 of the applied methodology. </t>
  </si>
  <si>
    <t xml:space="preserve">
WCFT made in 2021. Please refer to  "WCFT 2021 Report"</t>
  </si>
  <si>
    <t xml:space="preserve">Monitoring survey , 2021. Please refer to "Usage Survey 2021". </t>
  </si>
  <si>
    <t xml:space="preserve">Monitoring survey , 2021.  Please refer to "Usage Survey 2021". </t>
  </si>
  <si>
    <t xml:space="preserve">WBT. Please refer to "REPORT IEST". </t>
  </si>
  <si>
    <t xml:space="preserve">Baseline Survey </t>
  </si>
  <si>
    <t>2021 (31/08- 31/12)</t>
  </si>
  <si>
    <t>2022 (1/01-30/08)</t>
  </si>
  <si>
    <t>Difference between VPA-DD values to Monitoring period values</t>
  </si>
  <si>
    <t>VPA-DD</t>
  </si>
  <si>
    <t>Monitoring period</t>
  </si>
  <si>
    <t>Number</t>
  </si>
  <si>
    <t xml:space="preserve">Kg/Litre </t>
  </si>
  <si>
    <r>
      <t>W</t>
    </r>
    <r>
      <rPr>
        <vertAlign val="subscript"/>
        <sz val="8"/>
        <rFont val="Calibri (Body)"/>
      </rPr>
      <t>charcoal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</si>
</sst>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0000"/>
    <numFmt numFmtId="165" formatCode="####.00"/>
    <numFmt numFmtId="166" formatCode="0.0\ %"/>
    <numFmt numFmtId="167" formatCode="0.0000"/>
    <numFmt numFmtId="168" formatCode="0.000"/>
    <numFmt numFmtId="169" formatCode="#,##0;&quot;(&quot;#,##0&quot;)&quot;"/>
    <numFmt numFmtId="170" formatCode="#,##0.0;&quot;(&quot;#,##0.0&quot;)&quot;"/>
    <numFmt numFmtId="171" formatCode="#,##0.00;&quot;(&quot;#,##0.00&quot;)&quot;"/>
    <numFmt numFmtId="172" formatCode="hh&quot;:&quot;mm"/>
    <numFmt numFmtId="173" formatCode="0.0"/>
    <numFmt numFmtId="174" formatCode="0.000000"/>
    <numFmt numFmtId="175" formatCode="_-* #,##0_-;\-* #,##0_-;_-* &quot;-&quot;??_-;_-@_-"/>
  </numFmts>
  <fonts count="48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11.5"/>
      <color theme="1"/>
      <name val="Cambria"/>
      <family val="1"/>
    </font>
    <font>
      <sz val="8"/>
      <color theme="1"/>
      <name val="Cambria"/>
      <family val="1"/>
    </font>
    <font>
      <b/>
      <sz val="11.5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bscript"/>
      <sz val="11.5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.5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bscript"/>
      <sz val="12"/>
      <color theme="1"/>
      <name val="Calibri"/>
      <family val="2"/>
      <scheme val="minor"/>
    </font>
    <font>
      <sz val="8"/>
      <name val="Calibri (Body)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Avenir Book"/>
      <family val="2"/>
    </font>
    <font>
      <vertAlign val="subscript"/>
      <sz val="11"/>
      <color theme="1"/>
      <name val="Avenir Book"/>
      <family val="2"/>
    </font>
    <font>
      <sz val="7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sz val="11"/>
      <color theme="1"/>
      <name val="Avenir Book"/>
    </font>
    <font>
      <sz val="11"/>
      <color rgb="FF1F1C1B"/>
      <name val="Arial"/>
      <family val="2"/>
    </font>
    <font>
      <b/>
      <sz val="11"/>
      <color rgb="FF1F1C1B"/>
      <name val="Arial"/>
      <family val="2"/>
    </font>
    <font>
      <b/>
      <sz val="10"/>
      <color rgb="FF1F1C1B"/>
      <name val="Arial"/>
      <family val="2"/>
    </font>
    <font>
      <b/>
      <i/>
      <sz val="11"/>
      <color rgb="FF1F1C1B"/>
      <name val="Arial"/>
      <family val="2"/>
    </font>
    <font>
      <b/>
      <sz val="12"/>
      <color rgb="FF1F1C1B"/>
      <name val="Arial"/>
      <family val="2"/>
    </font>
    <font>
      <sz val="10"/>
      <color rgb="FF1F1C1B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vertAlign val="subscript"/>
      <sz val="8"/>
      <name val="Calibri (Body)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00CCFF"/>
      </patternFill>
    </fill>
    <fill>
      <patternFill patternType="solid">
        <fgColor rgb="FFCCCCCC"/>
        <bgColor rgb="FFCCCCCC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00CC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CCCCC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35" fillId="0" borderId="0">
      <alignment vertical="center"/>
    </xf>
    <xf numFmtId="43" fontId="43" fillId="0" borderId="0" applyFont="0" applyFill="0" applyBorder="0" applyAlignment="0" applyProtection="0"/>
  </cellStyleXfs>
  <cellXfs count="25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6" fillId="0" borderId="0" xfId="0" applyFont="1"/>
    <xf numFmtId="0" fontId="5" fillId="0" borderId="0" xfId="2" applyFont="1" applyAlignment="1" applyProtection="1"/>
    <xf numFmtId="0" fontId="8" fillId="0" borderId="0" xfId="2" applyAlignment="1" applyProtection="1"/>
    <xf numFmtId="0" fontId="0" fillId="0" borderId="2" xfId="0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wrapText="1"/>
    </xf>
    <xf numFmtId="0" fontId="10" fillId="0" borderId="0" xfId="0" applyFont="1"/>
    <xf numFmtId="0" fontId="0" fillId="0" borderId="1" xfId="0" applyBorder="1"/>
    <xf numFmtId="0" fontId="13" fillId="0" borderId="0" xfId="0" applyFont="1"/>
    <xf numFmtId="0" fontId="12" fillId="0" borderId="2" xfId="0" applyFont="1" applyBorder="1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3" fontId="0" fillId="0" borderId="0" xfId="0" applyNumberFormat="1"/>
    <xf numFmtId="0" fontId="6" fillId="2" borderId="4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20" fillId="0" borderId="0" xfId="0" applyFont="1"/>
    <xf numFmtId="0" fontId="21" fillId="0" borderId="0" xfId="0" applyFont="1"/>
    <xf numFmtId="0" fontId="0" fillId="3" borderId="0" xfId="0" applyFill="1"/>
    <xf numFmtId="0" fontId="0" fillId="3" borderId="1" xfId="0" applyFill="1" applyBorder="1"/>
    <xf numFmtId="165" fontId="23" fillId="0" borderId="1" xfId="3" applyNumberFormat="1" applyFont="1" applyBorder="1" applyAlignment="1">
      <alignment horizontal="right" vertical="top"/>
    </xf>
    <xf numFmtId="164" fontId="0" fillId="3" borderId="1" xfId="0" applyNumberFormat="1" applyFill="1" applyBorder="1"/>
    <xf numFmtId="3" fontId="0" fillId="0" borderId="1" xfId="0" applyNumberFormat="1" applyBorder="1"/>
    <xf numFmtId="4" fontId="0" fillId="3" borderId="1" xfId="0" applyNumberFormat="1" applyFill="1" applyBorder="1"/>
    <xf numFmtId="0" fontId="0" fillId="3" borderId="7" xfId="0" applyFill="1" applyBorder="1"/>
    <xf numFmtId="0" fontId="0" fillId="3" borderId="6" xfId="0" applyFill="1" applyBorder="1"/>
    <xf numFmtId="0" fontId="0" fillId="3" borderId="13" xfId="0" applyFill="1" applyBorder="1" applyAlignment="1">
      <alignment horizontal="center"/>
    </xf>
    <xf numFmtId="4" fontId="0" fillId="3" borderId="7" xfId="0" applyNumberFormat="1" applyFill="1" applyBorder="1"/>
    <xf numFmtId="4" fontId="0" fillId="3" borderId="6" xfId="0" applyNumberFormat="1" applyFill="1" applyBorder="1"/>
    <xf numFmtId="4" fontId="0" fillId="3" borderId="14" xfId="0" applyNumberFormat="1" applyFill="1" applyBorder="1" applyAlignment="1">
      <alignment horizontal="center"/>
    </xf>
    <xf numFmtId="2" fontId="0" fillId="0" borderId="1" xfId="0" applyNumberFormat="1" applyBorder="1"/>
    <xf numFmtId="164" fontId="0" fillId="0" borderId="0" xfId="0" applyNumberFormat="1"/>
    <xf numFmtId="166" fontId="4" fillId="0" borderId="1" xfId="0" applyNumberFormat="1" applyFont="1" applyBorder="1"/>
    <xf numFmtId="3" fontId="4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 applyAlignment="1">
      <alignment horizontal="left"/>
    </xf>
    <xf numFmtId="2" fontId="4" fillId="0" borderId="1" xfId="0" applyNumberFormat="1" applyFont="1" applyBorder="1"/>
    <xf numFmtId="3" fontId="28" fillId="0" borderId="0" xfId="0" applyNumberFormat="1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29" fillId="0" borderId="0" xfId="0" applyFont="1"/>
    <xf numFmtId="0" fontId="4" fillId="2" borderId="1" xfId="0" applyFont="1" applyFill="1" applyBorder="1" applyAlignment="1">
      <alignment horizontal="left" wrapText="1"/>
    </xf>
    <xf numFmtId="167" fontId="0" fillId="0" borderId="0" xfId="0" applyNumberFormat="1"/>
    <xf numFmtId="168" fontId="0" fillId="0" borderId="0" xfId="0" applyNumberFormat="1"/>
    <xf numFmtId="0" fontId="4" fillId="2" borderId="1" xfId="0" applyFont="1" applyFill="1" applyBorder="1" applyAlignment="1">
      <alignment wrapText="1"/>
    </xf>
    <xf numFmtId="14" fontId="0" fillId="0" borderId="1" xfId="0" applyNumberFormat="1" applyBorder="1"/>
    <xf numFmtId="0" fontId="6" fillId="2" borderId="3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4" fillId="0" borderId="2" xfId="0" applyFont="1" applyBorder="1"/>
    <xf numFmtId="0" fontId="4" fillId="0" borderId="26" xfId="0" applyFont="1" applyBorder="1"/>
    <xf numFmtId="0" fontId="0" fillId="0" borderId="1" xfId="0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6" fillId="2" borderId="27" xfId="0" applyFont="1" applyFill="1" applyBorder="1" applyAlignment="1">
      <alignment horizontal="left" wrapText="1"/>
    </xf>
    <xf numFmtId="0" fontId="6" fillId="2" borderId="28" xfId="0" applyFont="1" applyFill="1" applyBorder="1" applyAlignment="1">
      <alignment horizontal="left" wrapText="1"/>
    </xf>
    <xf numFmtId="0" fontId="6" fillId="2" borderId="29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horizontal="right"/>
    </xf>
    <xf numFmtId="0" fontId="0" fillId="4" borderId="1" xfId="0" applyFill="1" applyBorder="1"/>
    <xf numFmtId="0" fontId="0" fillId="4" borderId="26" xfId="0" applyFill="1" applyBorder="1"/>
    <xf numFmtId="0" fontId="30" fillId="4" borderId="0" xfId="0" applyFont="1" applyFill="1" applyAlignment="1">
      <alignment horizontal="justify" vertical="center"/>
    </xf>
    <xf numFmtId="0" fontId="0" fillId="4" borderId="0" xfId="0" applyFill="1"/>
    <xf numFmtId="3" fontId="0" fillId="4" borderId="20" xfId="0" applyNumberFormat="1" applyFill="1" applyBorder="1"/>
    <xf numFmtId="3" fontId="4" fillId="4" borderId="1" xfId="0" applyNumberFormat="1" applyFont="1" applyFill="1" applyBorder="1" applyAlignment="1">
      <alignment horizontal="left"/>
    </xf>
    <xf numFmtId="0" fontId="30" fillId="0" borderId="0" xfId="0" applyFont="1" applyAlignment="1">
      <alignment horizontal="justify" vertical="center"/>
    </xf>
    <xf numFmtId="3" fontId="0" fillId="0" borderId="20" xfId="0" applyNumberFormat="1" applyBorder="1"/>
    <xf numFmtId="0" fontId="35" fillId="0" borderId="0" xfId="4">
      <alignment vertical="center"/>
    </xf>
    <xf numFmtId="0" fontId="36" fillId="0" borderId="0" xfId="4" applyFont="1">
      <alignment vertical="center"/>
    </xf>
    <xf numFmtId="2" fontId="36" fillId="0" borderId="0" xfId="4" applyNumberFormat="1" applyFont="1">
      <alignment vertical="center"/>
    </xf>
    <xf numFmtId="0" fontId="37" fillId="0" borderId="0" xfId="4" applyFont="1" applyAlignment="1">
      <alignment vertical="center" wrapText="1"/>
    </xf>
    <xf numFmtId="0" fontId="37" fillId="0" borderId="0" xfId="4" applyFont="1" applyAlignment="1">
      <alignment horizontal="center" vertical="center"/>
    </xf>
    <xf numFmtId="0" fontId="37" fillId="6" borderId="40" xfId="4" applyFont="1" applyFill="1" applyBorder="1" applyAlignment="1">
      <alignment horizontal="center" vertical="center" wrapText="1"/>
    </xf>
    <xf numFmtId="0" fontId="37" fillId="0" borderId="0" xfId="4" applyFont="1" applyAlignment="1">
      <alignment horizontal="center" vertical="center" wrapText="1"/>
    </xf>
    <xf numFmtId="0" fontId="37" fillId="6" borderId="41" xfId="4" applyFont="1" applyFill="1" applyBorder="1" applyAlignment="1">
      <alignment horizontal="center" vertical="center" wrapText="1"/>
    </xf>
    <xf numFmtId="0" fontId="37" fillId="0" borderId="41" xfId="4" applyFont="1" applyBorder="1" applyAlignment="1">
      <alignment horizontal="center" vertical="center" wrapText="1"/>
    </xf>
    <xf numFmtId="169" fontId="37" fillId="6" borderId="43" xfId="4" applyNumberFormat="1" applyFont="1" applyFill="1" applyBorder="1">
      <alignment vertical="center"/>
    </xf>
    <xf numFmtId="170" fontId="37" fillId="6" borderId="43" xfId="4" applyNumberFormat="1" applyFont="1" applyFill="1" applyBorder="1">
      <alignment vertical="center"/>
    </xf>
    <xf numFmtId="169" fontId="37" fillId="6" borderId="44" xfId="4" applyNumberFormat="1" applyFont="1" applyFill="1" applyBorder="1">
      <alignment vertical="center"/>
    </xf>
    <xf numFmtId="171" fontId="37" fillId="0" borderId="0" xfId="4" applyNumberFormat="1" applyFont="1">
      <alignment vertical="center"/>
    </xf>
    <xf numFmtId="1" fontId="35" fillId="6" borderId="39" xfId="4" applyNumberFormat="1" applyFill="1" applyBorder="1">
      <alignment vertical="center"/>
    </xf>
    <xf numFmtId="172" fontId="35" fillId="6" borderId="39" xfId="4" applyNumberFormat="1" applyFill="1" applyBorder="1" applyAlignment="1">
      <alignment horizontal="center" vertical="center"/>
    </xf>
    <xf numFmtId="2" fontId="35" fillId="6" borderId="39" xfId="4" applyNumberFormat="1" applyFill="1" applyBorder="1">
      <alignment vertical="center"/>
    </xf>
    <xf numFmtId="1" fontId="35" fillId="0" borderId="39" xfId="4" applyNumberFormat="1" applyBorder="1">
      <alignment vertical="center"/>
    </xf>
    <xf numFmtId="2" fontId="35" fillId="0" borderId="39" xfId="4" applyNumberFormat="1" applyBorder="1">
      <alignment vertical="center"/>
    </xf>
    <xf numFmtId="169" fontId="38" fillId="0" borderId="0" xfId="4" applyNumberFormat="1" applyFont="1">
      <alignment vertical="center"/>
    </xf>
    <xf numFmtId="2" fontId="38" fillId="0" borderId="0" xfId="4" applyNumberFormat="1" applyFont="1">
      <alignment vertical="center"/>
    </xf>
    <xf numFmtId="173" fontId="35" fillId="0" borderId="0" xfId="4" applyNumberFormat="1">
      <alignment vertical="center"/>
    </xf>
    <xf numFmtId="0" fontId="37" fillId="6" borderId="39" xfId="4" applyFont="1" applyFill="1" applyBorder="1" applyAlignment="1">
      <alignment horizontal="center" vertical="center"/>
    </xf>
    <xf numFmtId="0" fontId="40" fillId="6" borderId="39" xfId="4" applyFont="1" applyFill="1" applyBorder="1" applyAlignment="1">
      <alignment horizontal="right" vertical="center"/>
    </xf>
    <xf numFmtId="2" fontId="40" fillId="6" borderId="39" xfId="4" applyNumberFormat="1" applyFont="1" applyFill="1" applyBorder="1" applyAlignment="1">
      <alignment horizontal="right" vertical="center"/>
    </xf>
    <xf numFmtId="2" fontId="35" fillId="6" borderId="39" xfId="4" applyNumberFormat="1" applyFill="1" applyBorder="1" applyAlignment="1">
      <alignment horizontal="right" vertical="center"/>
    </xf>
    <xf numFmtId="0" fontId="35" fillId="6" borderId="39" xfId="4" applyFill="1" applyBorder="1" applyAlignment="1">
      <alignment horizontal="right" vertical="center"/>
    </xf>
    <xf numFmtId="1" fontId="35" fillId="6" borderId="39" xfId="4" applyNumberFormat="1" applyFill="1" applyBorder="1" applyAlignment="1">
      <alignment horizontal="right" vertical="center"/>
    </xf>
    <xf numFmtId="2" fontId="37" fillId="8" borderId="0" xfId="4" applyNumberFormat="1" applyFont="1" applyFill="1">
      <alignment vertical="center"/>
    </xf>
    <xf numFmtId="1" fontId="36" fillId="0" borderId="0" xfId="4" applyNumberFormat="1" applyFont="1">
      <alignment vertical="center"/>
    </xf>
    <xf numFmtId="0" fontId="37" fillId="0" borderId="0" xfId="4" applyFont="1">
      <alignment vertical="center"/>
    </xf>
    <xf numFmtId="0" fontId="35" fillId="0" borderId="39" xfId="4" applyBorder="1">
      <alignment vertical="center"/>
    </xf>
    <xf numFmtId="0" fontId="35" fillId="0" borderId="39" xfId="4" applyBorder="1" applyAlignment="1">
      <alignment horizontal="right" vertical="center"/>
    </xf>
    <xf numFmtId="0" fontId="37" fillId="0" borderId="39" xfId="4" applyFont="1" applyBorder="1">
      <alignment vertical="center"/>
    </xf>
    <xf numFmtId="1" fontId="36" fillId="0" borderId="39" xfId="4" applyNumberFormat="1" applyFont="1" applyBorder="1">
      <alignment vertical="center"/>
    </xf>
    <xf numFmtId="1" fontId="35" fillId="0" borderId="0" xfId="4" applyNumberFormat="1">
      <alignment vertical="center"/>
    </xf>
    <xf numFmtId="0" fontId="37" fillId="9" borderId="0" xfId="4" applyFont="1" applyFill="1" applyAlignment="1">
      <alignment vertical="center" wrapText="1"/>
    </xf>
    <xf numFmtId="1" fontId="40" fillId="6" borderId="39" xfId="4" applyNumberFormat="1" applyFont="1" applyFill="1" applyBorder="1" applyAlignment="1">
      <alignment horizontal="right" vertical="center"/>
    </xf>
    <xf numFmtId="9" fontId="40" fillId="6" borderId="39" xfId="4" applyNumberFormat="1" applyFont="1" applyFill="1" applyBorder="1" applyAlignment="1">
      <alignment horizontal="right" vertical="center"/>
    </xf>
    <xf numFmtId="0" fontId="35" fillId="10" borderId="20" xfId="4" applyFill="1" applyBorder="1">
      <alignment vertical="center"/>
    </xf>
    <xf numFmtId="1" fontId="35" fillId="11" borderId="39" xfId="4" applyNumberFormat="1" applyFill="1" applyBorder="1">
      <alignment vertical="center"/>
    </xf>
    <xf numFmtId="0" fontId="35" fillId="12" borderId="19" xfId="4" applyFill="1" applyBorder="1">
      <alignment vertical="center"/>
    </xf>
    <xf numFmtId="1" fontId="35" fillId="13" borderId="39" xfId="4" applyNumberFormat="1" applyFill="1" applyBorder="1">
      <alignment vertical="center"/>
    </xf>
    <xf numFmtId="14" fontId="4" fillId="0" borderId="1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3" fontId="4" fillId="0" borderId="1" xfId="0" applyNumberFormat="1" applyFont="1" applyBorder="1"/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41" fillId="0" borderId="1" xfId="0" applyFont="1" applyBorder="1" applyAlignment="1">
      <alignment horizontal="right" vertical="center" wrapText="1"/>
    </xf>
    <xf numFmtId="3" fontId="0" fillId="0" borderId="1" xfId="0" applyNumberFormat="1" applyBorder="1" applyAlignment="1">
      <alignment wrapText="1"/>
    </xf>
    <xf numFmtId="0" fontId="4" fillId="0" borderId="1" xfId="2" applyFont="1" applyFill="1" applyBorder="1" applyAlignment="1" applyProtection="1"/>
    <xf numFmtId="1" fontId="0" fillId="0" borderId="1" xfId="0" applyNumberFormat="1" applyBorder="1"/>
    <xf numFmtId="0" fontId="12" fillId="2" borderId="1" xfId="0" applyFont="1" applyFill="1" applyBorder="1"/>
    <xf numFmtId="0" fontId="0" fillId="2" borderId="1" xfId="0" applyFill="1" applyBorder="1"/>
    <xf numFmtId="168" fontId="4" fillId="0" borderId="1" xfId="0" applyNumberFormat="1" applyFont="1" applyBorder="1"/>
    <xf numFmtId="1" fontId="4" fillId="0" borderId="0" xfId="0" applyNumberFormat="1" applyFont="1"/>
    <xf numFmtId="0" fontId="6" fillId="15" borderId="0" xfId="0" applyFont="1" applyFill="1" applyAlignment="1">
      <alignment horizontal="left"/>
    </xf>
    <xf numFmtId="0" fontId="0" fillId="15" borderId="0" xfId="0" applyFill="1"/>
    <xf numFmtId="0" fontId="42" fillId="0" borderId="0" xfId="0" applyFont="1"/>
    <xf numFmtId="0" fontId="6" fillId="0" borderId="23" xfId="0" applyFont="1" applyBorder="1"/>
    <xf numFmtId="0" fontId="0" fillId="0" borderId="24" xfId="0" applyBorder="1"/>
    <xf numFmtId="0" fontId="0" fillId="0" borderId="25" xfId="0" applyBorder="1"/>
    <xf numFmtId="174" fontId="0" fillId="0" borderId="1" xfId="0" applyNumberFormat="1" applyBorder="1"/>
    <xf numFmtId="0" fontId="0" fillId="0" borderId="16" xfId="0" applyBorder="1" applyAlignment="1">
      <alignment horizontal="left"/>
    </xf>
    <xf numFmtId="0" fontId="0" fillId="0" borderId="56" xfId="0" applyBorder="1" applyAlignment="1">
      <alignment horizontal="left"/>
    </xf>
    <xf numFmtId="3" fontId="0" fillId="0" borderId="21" xfId="0" applyNumberFormat="1" applyBorder="1"/>
    <xf numFmtId="3" fontId="0" fillId="0" borderId="22" xfId="0" applyNumberFormat="1" applyBorder="1"/>
    <xf numFmtId="1" fontId="0" fillId="0" borderId="0" xfId="0" applyNumberFormat="1"/>
    <xf numFmtId="0" fontId="6" fillId="2" borderId="0" xfId="0" applyFont="1" applyFill="1" applyAlignment="1">
      <alignment horizontal="left"/>
    </xf>
    <xf numFmtId="0" fontId="6" fillId="2" borderId="9" xfId="0" applyFont="1" applyFill="1" applyBorder="1" applyAlignment="1">
      <alignment horizontal="left"/>
    </xf>
    <xf numFmtId="3" fontId="0" fillId="0" borderId="17" xfId="0" applyNumberFormat="1" applyBorder="1"/>
    <xf numFmtId="3" fontId="0" fillId="0" borderId="18" xfId="0" applyNumberFormat="1" applyBorder="1"/>
    <xf numFmtId="0" fontId="0" fillId="0" borderId="57" xfId="0" applyBorder="1" applyAlignment="1">
      <alignment horizontal="left"/>
    </xf>
    <xf numFmtId="3" fontId="0" fillId="0" borderId="58" xfId="0" applyNumberFormat="1" applyBorder="1"/>
    <xf numFmtId="3" fontId="0" fillId="0" borderId="19" xfId="0" applyNumberFormat="1" applyBorder="1"/>
    <xf numFmtId="0" fontId="0" fillId="0" borderId="15" xfId="0" applyBorder="1" applyAlignment="1">
      <alignment horizontal="left"/>
    </xf>
    <xf numFmtId="0" fontId="6" fillId="14" borderId="59" xfId="0" applyFont="1" applyFill="1" applyBorder="1"/>
    <xf numFmtId="0" fontId="6" fillId="14" borderId="60" xfId="0" applyFont="1" applyFill="1" applyBorder="1" applyAlignment="1">
      <alignment vertical="top" wrapText="1"/>
    </xf>
    <xf numFmtId="0" fontId="6" fillId="14" borderId="61" xfId="0" applyFont="1" applyFill="1" applyBorder="1" applyAlignment="1">
      <alignment vertical="top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58" xfId="0" applyBorder="1"/>
    <xf numFmtId="0" fontId="0" fillId="0" borderId="19" xfId="0" applyBorder="1"/>
    <xf numFmtId="0" fontId="6" fillId="2" borderId="3" xfId="0" applyFont="1" applyFill="1" applyBorder="1"/>
    <xf numFmtId="3" fontId="0" fillId="0" borderId="11" xfId="0" applyNumberFormat="1" applyBorder="1"/>
    <xf numFmtId="3" fontId="0" fillId="0" borderId="12" xfId="0" applyNumberFormat="1" applyBorder="1"/>
    <xf numFmtId="0" fontId="44" fillId="0" borderId="10" xfId="0" applyFont="1" applyBorder="1" applyAlignment="1">
      <alignment vertical="top" wrapText="1"/>
    </xf>
    <xf numFmtId="0" fontId="6" fillId="16" borderId="57" xfId="0" applyFont="1" applyFill="1" applyBorder="1" applyAlignment="1">
      <alignment horizontal="left" vertical="center"/>
    </xf>
    <xf numFmtId="0" fontId="6" fillId="16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46" fillId="16" borderId="13" xfId="0" applyFont="1" applyFill="1" applyBorder="1" applyAlignment="1">
      <alignment horizontal="center" vertical="center" wrapText="1"/>
    </xf>
    <xf numFmtId="0" fontId="0" fillId="0" borderId="9" xfId="0" applyBorder="1"/>
    <xf numFmtId="0" fontId="9" fillId="16" borderId="1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 vertical="center"/>
    </xf>
    <xf numFmtId="0" fontId="46" fillId="16" borderId="62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175" fontId="4" fillId="0" borderId="1" xfId="5" applyNumberFormat="1" applyFont="1" applyBorder="1"/>
    <xf numFmtId="175" fontId="0" fillId="0" borderId="1" xfId="5" applyNumberFormat="1" applyFont="1" applyBorder="1"/>
    <xf numFmtId="3" fontId="0" fillId="0" borderId="1" xfId="5" applyNumberFormat="1" applyFont="1" applyBorder="1"/>
    <xf numFmtId="175" fontId="0" fillId="0" borderId="6" xfId="5" applyNumberFormat="1" applyFont="1" applyBorder="1"/>
    <xf numFmtId="175" fontId="0" fillId="0" borderId="62" xfId="5" applyNumberFormat="1" applyFont="1" applyBorder="1"/>
    <xf numFmtId="0" fontId="0" fillId="0" borderId="7" xfId="0" applyBorder="1" applyAlignment="1">
      <alignment horizontal="left"/>
    </xf>
    <xf numFmtId="0" fontId="18" fillId="16" borderId="57" xfId="0" applyFont="1" applyFill="1" applyBorder="1" applyAlignment="1">
      <alignment vertical="center" wrapText="1"/>
    </xf>
    <xf numFmtId="3" fontId="0" fillId="16" borderId="1" xfId="0" applyNumberFormat="1" applyFill="1" applyBorder="1" applyAlignment="1">
      <alignment horizontal="center" vertical="center"/>
    </xf>
    <xf numFmtId="3" fontId="0" fillId="16" borderId="1" xfId="0" applyNumberFormat="1" applyFill="1" applyBorder="1" applyAlignment="1">
      <alignment horizontal="right" vertical="center"/>
    </xf>
    <xf numFmtId="3" fontId="0" fillId="16" borderId="6" xfId="0" applyNumberFormat="1" applyFill="1" applyBorder="1" applyAlignment="1">
      <alignment horizontal="right" vertical="center"/>
    </xf>
    <xf numFmtId="3" fontId="0" fillId="16" borderId="14" xfId="0" applyNumberFormat="1" applyFill="1" applyBorder="1" applyAlignment="1">
      <alignment horizontal="right" vertical="center"/>
    </xf>
    <xf numFmtId="0" fontId="0" fillId="0" borderId="5" xfId="0" applyBorder="1"/>
    <xf numFmtId="0" fontId="42" fillId="0" borderId="5" xfId="0" applyFont="1" applyBorder="1"/>
    <xf numFmtId="0" fontId="6" fillId="2" borderId="5" xfId="0" applyFont="1" applyFill="1" applyBorder="1"/>
    <xf numFmtId="0" fontId="1" fillId="0" borderId="15" xfId="0" applyFont="1" applyBorder="1"/>
    <xf numFmtId="0" fontId="0" fillId="0" borderId="15" xfId="0" applyBorder="1"/>
    <xf numFmtId="0" fontId="0" fillId="0" borderId="21" xfId="0" applyBorder="1"/>
    <xf numFmtId="0" fontId="0" fillId="0" borderId="22" xfId="0" applyBorder="1"/>
    <xf numFmtId="0" fontId="0" fillId="15" borderId="0" xfId="0" applyFill="1" applyAlignment="1">
      <alignment horizontal="right" vertical="center"/>
    </xf>
    <xf numFmtId="0" fontId="6" fillId="2" borderId="1" xfId="0" applyFont="1" applyFill="1" applyBorder="1" applyAlignment="1">
      <alignment horizontal="left"/>
    </xf>
    <xf numFmtId="0" fontId="37" fillId="6" borderId="39" xfId="4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8" fillId="0" borderId="0" xfId="2" applyFill="1" applyAlignment="1" applyProtection="1"/>
    <xf numFmtId="0" fontId="4" fillId="0" borderId="7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0" fontId="4" fillId="0" borderId="7" xfId="0" applyFont="1" applyBorder="1" applyAlignment="1">
      <alignment wrapText="1"/>
    </xf>
    <xf numFmtId="3" fontId="0" fillId="0" borderId="1" xfId="0" applyNumberFormat="1" applyBorder="1" applyAlignment="1">
      <alignment horizontal="left"/>
    </xf>
    <xf numFmtId="3" fontId="29" fillId="0" borderId="0" xfId="0" applyNumberFormat="1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42" fillId="0" borderId="8" xfId="0" applyFont="1" applyBorder="1" applyAlignment="1">
      <alignment horizontal="center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16" borderId="0" xfId="0" applyFont="1" applyFill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7" fillId="6" borderId="38" xfId="4" applyFont="1" applyFill="1" applyBorder="1" applyAlignment="1">
      <alignment horizontal="center" vertical="center" wrapText="1"/>
    </xf>
    <xf numFmtId="0" fontId="37" fillId="6" borderId="39" xfId="4" applyFont="1" applyFill="1" applyBorder="1" applyAlignment="1">
      <alignment horizontal="center" vertical="center" wrapText="1"/>
    </xf>
    <xf numFmtId="169" fontId="37" fillId="6" borderId="42" xfId="4" applyNumberFormat="1" applyFont="1" applyFill="1" applyBorder="1" applyAlignment="1">
      <alignment horizontal="left" vertical="center"/>
    </xf>
    <xf numFmtId="169" fontId="37" fillId="6" borderId="43" xfId="4" applyNumberFormat="1" applyFont="1" applyFill="1" applyBorder="1" applyAlignment="1">
      <alignment horizontal="left" vertical="center"/>
    </xf>
    <xf numFmtId="0" fontId="35" fillId="7" borderId="45" xfId="4" applyFill="1" applyBorder="1" applyAlignment="1">
      <alignment horizontal="center" vertical="center"/>
    </xf>
    <xf numFmtId="0" fontId="39" fillId="6" borderId="46" xfId="4" applyFont="1" applyFill="1" applyBorder="1" applyAlignment="1">
      <alignment horizontal="center" vertical="center"/>
    </xf>
    <xf numFmtId="0" fontId="39" fillId="6" borderId="47" xfId="4" applyFont="1" applyFill="1" applyBorder="1" applyAlignment="1">
      <alignment horizontal="center" vertical="center"/>
    </xf>
    <xf numFmtId="0" fontId="39" fillId="6" borderId="41" xfId="4" applyFont="1" applyFill="1" applyBorder="1" applyAlignment="1">
      <alignment horizontal="center" vertical="center"/>
    </xf>
    <xf numFmtId="0" fontId="37" fillId="8" borderId="48" xfId="4" applyFont="1" applyFill="1" applyBorder="1" applyAlignment="1">
      <alignment horizontal="left" vertical="center"/>
    </xf>
    <xf numFmtId="0" fontId="35" fillId="10" borderId="49" xfId="4" applyFill="1" applyBorder="1" applyAlignment="1">
      <alignment horizontal="center" vertical="center"/>
    </xf>
    <xf numFmtId="0" fontId="35" fillId="10" borderId="26" xfId="4" applyFill="1" applyBorder="1" applyAlignment="1">
      <alignment horizontal="center" vertical="center"/>
    </xf>
    <xf numFmtId="0" fontId="35" fillId="10" borderId="7" xfId="4" applyFill="1" applyBorder="1" applyAlignment="1">
      <alignment horizontal="center" vertical="center"/>
    </xf>
    <xf numFmtId="0" fontId="35" fillId="12" borderId="50" xfId="4" applyFill="1" applyBorder="1" applyAlignment="1">
      <alignment horizontal="center" vertical="center"/>
    </xf>
    <xf numFmtId="0" fontId="35" fillId="12" borderId="51" xfId="4" applyFill="1" applyBorder="1" applyAlignment="1">
      <alignment horizontal="center" vertical="center"/>
    </xf>
    <xf numFmtId="0" fontId="35" fillId="12" borderId="52" xfId="4" applyFill="1" applyBorder="1" applyAlignment="1">
      <alignment horizontal="center" vertical="center"/>
    </xf>
    <xf numFmtId="0" fontId="35" fillId="0" borderId="53" xfId="4" applyBorder="1" applyAlignment="1">
      <alignment horizontal="center" vertical="center"/>
    </xf>
    <xf numFmtId="0" fontId="35" fillId="0" borderId="54" xfId="4" applyBorder="1" applyAlignment="1">
      <alignment horizontal="center" vertical="center"/>
    </xf>
    <xf numFmtId="0" fontId="35" fillId="0" borderId="55" xfId="4" applyBorder="1" applyAlignment="1">
      <alignment horizontal="center" vertical="center"/>
    </xf>
    <xf numFmtId="0" fontId="37" fillId="0" borderId="39" xfId="4" applyFont="1" applyBorder="1" applyAlignment="1">
      <alignment horizontal="center" vertical="center" wrapText="1"/>
    </xf>
    <xf numFmtId="0" fontId="37" fillId="5" borderId="10" xfId="4" applyFont="1" applyFill="1" applyBorder="1" applyAlignment="1">
      <alignment horizontal="center" vertical="center" wrapText="1"/>
    </xf>
    <xf numFmtId="0" fontId="37" fillId="5" borderId="11" xfId="4" applyFont="1" applyFill="1" applyBorder="1" applyAlignment="1">
      <alignment horizontal="center" vertical="center" wrapText="1"/>
    </xf>
    <xf numFmtId="0" fontId="37" fillId="5" borderId="12" xfId="4" applyFont="1" applyFill="1" applyBorder="1" applyAlignment="1">
      <alignment horizontal="center" vertical="center" wrapText="1"/>
    </xf>
    <xf numFmtId="0" fontId="37" fillId="5" borderId="30" xfId="4" applyFont="1" applyFill="1" applyBorder="1" applyAlignment="1">
      <alignment horizontal="center" vertical="center" wrapText="1"/>
    </xf>
    <xf numFmtId="0" fontId="37" fillId="5" borderId="31" xfId="4" applyFont="1" applyFill="1" applyBorder="1" applyAlignment="1">
      <alignment horizontal="center" vertical="center" wrapText="1"/>
    </xf>
    <xf numFmtId="0" fontId="37" fillId="5" borderId="32" xfId="4" applyFont="1" applyFill="1" applyBorder="1" applyAlignment="1">
      <alignment horizontal="center" vertical="center" wrapText="1"/>
    </xf>
    <xf numFmtId="0" fontId="35" fillId="0" borderId="0" xfId="4">
      <alignment vertical="center"/>
    </xf>
    <xf numFmtId="0" fontId="37" fillId="6" borderId="33" xfId="4" applyFont="1" applyFill="1" applyBorder="1" applyAlignment="1">
      <alignment horizontal="center" vertical="center" wrapText="1"/>
    </xf>
    <xf numFmtId="0" fontId="37" fillId="6" borderId="34" xfId="4" applyFont="1" applyFill="1" applyBorder="1" applyAlignment="1">
      <alignment horizontal="center" vertical="center" wrapText="1"/>
    </xf>
    <xf numFmtId="0" fontId="37" fillId="6" borderId="35" xfId="4" applyFont="1" applyFill="1" applyBorder="1" applyAlignment="1">
      <alignment horizontal="center" vertical="center" wrapText="1"/>
    </xf>
    <xf numFmtId="0" fontId="37" fillId="6" borderId="36" xfId="4" applyFont="1" applyFill="1" applyBorder="1" applyAlignment="1">
      <alignment horizontal="center" vertical="center" wrapText="1"/>
    </xf>
    <xf numFmtId="0" fontId="37" fillId="6" borderId="37" xfId="4" applyFont="1" applyFill="1" applyBorder="1" applyAlignment="1">
      <alignment horizontal="center" vertical="center" wrapText="1"/>
    </xf>
    <xf numFmtId="0" fontId="37" fillId="5" borderId="0" xfId="4" applyFont="1" applyFill="1" applyAlignment="1">
      <alignment horizontal="center" vertical="center" wrapText="1"/>
    </xf>
  </cellXfs>
  <cellStyles count="6">
    <cellStyle name="Comma" xfId="5" builtinId="3"/>
    <cellStyle name="Hyperlink" xfId="2" builtinId="8"/>
    <cellStyle name="Normal" xfId="0" builtinId="0"/>
    <cellStyle name="Normal 2" xfId="4" xr:uid="{D01E864E-63AA-435F-8AD3-A35BBFB62CA4}"/>
    <cellStyle name="Normal_Results 90% avoid outliners" xfId="3" xr:uid="{00000000-0005-0000-0000-000001000000}"/>
    <cellStyle name="Normale 2" xfId="1" xr:uid="{00000000-0005-0000-0000-000003000000}"/>
  </cellStyles>
  <dxfs count="8">
    <dxf>
      <font>
        <color rgb="FF9C0006"/>
      </font>
      <fill>
        <patternFill>
          <bgColor rgb="FFFFC7CE"/>
        </patternFill>
      </fill>
    </dxf>
    <dxf>
      <font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u val="none"/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b val="0"/>
        <i val="0"/>
        <strike val="0"/>
        <u val="none"/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1F1C1B"/>
        <family val="2"/>
      </font>
      <fill>
        <patternFill patternType="solid">
          <fgColor rgb="FF00FF00"/>
          <bgColor rgb="FF00FF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1117478510205"/>
          <c:y val="7.7381177284392699E-2"/>
          <c:w val="0.82664756446991405"/>
          <c:h val="0.71726398944379399"/>
        </c:manualLayout>
      </c:layout>
      <c:scatterChart>
        <c:scatterStyle val="smoothMarker"/>
        <c:varyColors val="0"/>
        <c:ser>
          <c:idx val="0"/>
          <c:order val="0"/>
          <c:tx>
            <c:v>Fuel consumption/hh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'[1]Thermal Output'!$C$6:$L$6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'[1]Thermal Output'!$C$7:$L$7</c:f>
              <c:numCache>
                <c:formatCode>General</c:formatCode>
                <c:ptCount val="10"/>
                <c:pt idx="0">
                  <c:v>4.2038030023640669</c:v>
                </c:pt>
                <c:pt idx="1">
                  <c:v>2.1019015011820334</c:v>
                </c:pt>
                <c:pt idx="2">
                  <c:v>1.4012676674546889</c:v>
                </c:pt>
                <c:pt idx="3">
                  <c:v>1.0509507505910167</c:v>
                </c:pt>
                <c:pt idx="4">
                  <c:v>0.84076060047281342</c:v>
                </c:pt>
                <c:pt idx="5">
                  <c:v>0.70063383372734445</c:v>
                </c:pt>
                <c:pt idx="6">
                  <c:v>0.60054328605200957</c:v>
                </c:pt>
                <c:pt idx="7">
                  <c:v>0.52547537529550836</c:v>
                </c:pt>
                <c:pt idx="8">
                  <c:v>0.46708922248489632</c:v>
                </c:pt>
                <c:pt idx="9">
                  <c:v>0.42038030023640671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DC-4DCB-B73E-4E5DB4F7B905}"/>
            </c:ext>
          </c:extLst>
        </c:ser>
        <c:ser>
          <c:idx val="1"/>
          <c:order val="1"/>
          <c:tx>
            <c:v>Power output/stove (one stove/hh)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'[1]Thermal Output'!$C$6:$L$6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'[1]Thermal Output'!$C$9:$L$9</c:f>
              <c:numCache>
                <c:formatCode>General</c:formatCode>
                <c:ptCount val="10"/>
                <c:pt idx="0">
                  <c:v>1.7782086700000002</c:v>
                </c:pt>
                <c:pt idx="1">
                  <c:v>0.88910433500000008</c:v>
                </c:pt>
                <c:pt idx="2">
                  <c:v>0.59273622333333342</c:v>
                </c:pt>
                <c:pt idx="3">
                  <c:v>0.44455216750000004</c:v>
                </c:pt>
                <c:pt idx="4">
                  <c:v>0.35564173400000004</c:v>
                </c:pt>
                <c:pt idx="5">
                  <c:v>0.29636811166666671</c:v>
                </c:pt>
                <c:pt idx="6">
                  <c:v>0.25402981000000002</c:v>
                </c:pt>
                <c:pt idx="7">
                  <c:v>0.22227608375000002</c:v>
                </c:pt>
                <c:pt idx="8">
                  <c:v>0.19757874111111112</c:v>
                </c:pt>
                <c:pt idx="9">
                  <c:v>0.17782086700000002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DC-4DCB-B73E-4E5DB4F7B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800"/>
        <c:axId val="85103744"/>
      </c:scatterChart>
      <c:valAx>
        <c:axId val="850688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 lang="it-IT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Estimated daily use of stove (hours)</a:t>
                </a:r>
              </a:p>
            </c:rich>
          </c:tx>
          <c:layout>
            <c:manualLayout>
              <c:xMode val="edge"/>
              <c:yMode val="edge"/>
              <c:x val="0.36962750716332415"/>
              <c:y val="0.886907261592300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it-IT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103744"/>
        <c:crosses val="autoZero"/>
        <c:crossBetween val="midCat"/>
        <c:majorUnit val="1"/>
      </c:valAx>
      <c:valAx>
        <c:axId val="8510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it-IT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Power (kW)</a:t>
                </a:r>
              </a:p>
            </c:rich>
          </c:tx>
          <c:layout>
            <c:manualLayout>
              <c:xMode val="edge"/>
              <c:yMode val="edge"/>
              <c:x val="2.2922636103151803E-2"/>
              <c:y val="0.321429508811399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it-IT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06880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77936962750716"/>
          <c:y val="0.14583364579427607"/>
          <c:w val="0.29917828138519231"/>
          <c:h val="0.155005169808319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it-IT"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833" r="0.750000000000008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123825</xdr:rowOff>
    </xdr:from>
    <xdr:to>
      <xdr:col>6</xdr:col>
      <xdr:colOff>400050</xdr:colOff>
      <xdr:row>35</xdr:row>
      <xdr:rowOff>85725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rbonsink.sharepoint.com/Users/CarbonSink/Dropbox/CarbonSinkGroup_2011/CLIENTI/cooking%20stove/cooking%20stove/GS%20VPA%202-3/Final%20version%20PDD/GS%204611_%20Ex%20Ante%20Calculations_ver03_29-03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data"/>
      <sheetName val="Baseline"/>
      <sheetName val="Project"/>
      <sheetName val="ERs"/>
      <sheetName val="Thermal Output"/>
    </sheetNames>
    <sheetDataSet>
      <sheetData sheetId="0"/>
      <sheetData sheetId="1"/>
      <sheetData sheetId="2"/>
      <sheetData sheetId="3"/>
      <sheetData sheetId="4">
        <row r="6">
          <cell r="C6">
            <v>1</v>
          </cell>
          <cell r="D6">
            <v>2</v>
          </cell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  <cell r="J6">
            <v>8</v>
          </cell>
          <cell r="K6">
            <v>9</v>
          </cell>
          <cell r="L6">
            <v>10</v>
          </cell>
        </row>
        <row r="7">
          <cell r="C7">
            <v>4.2038030023640669</v>
          </cell>
          <cell r="D7">
            <v>2.1019015011820334</v>
          </cell>
          <cell r="E7">
            <v>1.4012676674546889</v>
          </cell>
          <cell r="F7">
            <v>1.0509507505910167</v>
          </cell>
          <cell r="G7">
            <v>0.84076060047281342</v>
          </cell>
          <cell r="H7">
            <v>0.70063383372734445</v>
          </cell>
          <cell r="I7">
            <v>0.60054328605200957</v>
          </cell>
          <cell r="J7">
            <v>0.52547537529550836</v>
          </cell>
          <cell r="K7">
            <v>0.46708922248489632</v>
          </cell>
          <cell r="L7">
            <v>0.42038030023640671</v>
          </cell>
        </row>
        <row r="9">
          <cell r="C9">
            <v>1.7782086700000002</v>
          </cell>
          <cell r="D9">
            <v>0.88910433500000008</v>
          </cell>
          <cell r="E9">
            <v>0.59273622333333342</v>
          </cell>
          <cell r="F9">
            <v>0.44455216750000004</v>
          </cell>
          <cell r="G9">
            <v>0.35564173400000004</v>
          </cell>
          <cell r="H9">
            <v>0.29636811166666671</v>
          </cell>
          <cell r="I9">
            <v>0.25402981000000002</v>
          </cell>
          <cell r="J9">
            <v>0.22227608375000002</v>
          </cell>
          <cell r="K9">
            <v>0.19757874111111112</v>
          </cell>
          <cell r="L9">
            <v>0.17782086700000002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pcc-nggip.iges.or.jp/public/2006gl/pdf/2_Volume2/V2_2_Ch2_Stationary_Combustion.pdf" TargetMode="External"/><Relationship Id="rId3" Type="http://schemas.openxmlformats.org/officeDocument/2006/relationships/hyperlink" Target="http://cdm.unfccc.int/DNA/fNRB/index.html" TargetMode="External"/><Relationship Id="rId7" Type="http://schemas.openxmlformats.org/officeDocument/2006/relationships/hyperlink" Target="http://www.ipcc-nggip.iges.or.jp/public/2006gl/pdf/2_Volume2/V2_2_Ch2_Stationary_Combustion.pdf" TargetMode="External"/><Relationship Id="rId2" Type="http://schemas.openxmlformats.org/officeDocument/2006/relationships/hyperlink" Target="http://www.ipcc-nggip.iges.or.jp/public/2006gl/pdf/2_Volume2/V2_2_Ch2_Stationary_Combustion.pdf" TargetMode="External"/><Relationship Id="rId1" Type="http://schemas.openxmlformats.org/officeDocument/2006/relationships/hyperlink" Target="http://www.ipcc-nggip.iges.or.jp/public/gl/guidelin/ch1ref3.pdf" TargetMode="External"/><Relationship Id="rId6" Type="http://schemas.openxmlformats.org/officeDocument/2006/relationships/hyperlink" Target="http://www.ipcc-nggip.iges.or.jp/public/2006gl/pdf/2_Volume2/V2_2_Ch2_Stationary_Combustion.pdf" TargetMode="External"/><Relationship Id="rId5" Type="http://schemas.openxmlformats.org/officeDocument/2006/relationships/hyperlink" Target="http://www.ipcc-nggip.iges.or.jp/public/2006gl/pdf/2_Volume2/V2_2_Ch2_Stationary_Combustion.pdf" TargetMode="External"/><Relationship Id="rId4" Type="http://schemas.openxmlformats.org/officeDocument/2006/relationships/hyperlink" Target="http://www.ipcc-nggip.iges.or.jp/public/gl/guidelin/ch1ref3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6"/>
  <sheetViews>
    <sheetView tabSelected="1" topLeftCell="A8" zoomScaleNormal="100" workbookViewId="0">
      <selection activeCell="F30" sqref="F30:F31"/>
    </sheetView>
  </sheetViews>
  <sheetFormatPr defaultColWidth="8.88671875" defaultRowHeight="14.4"/>
  <cols>
    <col min="1" max="1" width="15" customWidth="1"/>
    <col min="2" max="2" width="17" customWidth="1"/>
    <col min="3" max="3" width="17.109375" customWidth="1"/>
    <col min="4" max="4" width="72.5546875" customWidth="1"/>
    <col min="5" max="5" width="20.88671875" customWidth="1"/>
    <col min="6" max="6" width="84.88671875" customWidth="1"/>
  </cols>
  <sheetData>
    <row r="2" spans="1:7">
      <c r="A2" s="3" t="s">
        <v>0</v>
      </c>
      <c r="B2" s="7" t="s">
        <v>1</v>
      </c>
    </row>
    <row r="3" spans="1:7">
      <c r="A3" s="3" t="s">
        <v>2</v>
      </c>
      <c r="B3" s="7" t="s">
        <v>3</v>
      </c>
    </row>
    <row r="4" spans="1:7">
      <c r="A4" s="3" t="s">
        <v>4</v>
      </c>
      <c r="B4" s="7" t="s">
        <v>5</v>
      </c>
    </row>
    <row r="7" spans="1:7" ht="28.8">
      <c r="A7" s="13" t="s">
        <v>6</v>
      </c>
      <c r="B7" s="14" t="s">
        <v>7</v>
      </c>
      <c r="C7" s="14" t="s">
        <v>8</v>
      </c>
      <c r="D7" s="13" t="s">
        <v>9</v>
      </c>
      <c r="E7" s="13" t="s">
        <v>10</v>
      </c>
      <c r="F7" s="13" t="s">
        <v>11</v>
      </c>
    </row>
    <row r="8" spans="1:7" ht="72" customHeight="1">
      <c r="A8" s="8" t="s">
        <v>12</v>
      </c>
      <c r="B8" s="41">
        <v>0.14899999999999999</v>
      </c>
      <c r="C8" s="41" t="s">
        <v>13</v>
      </c>
      <c r="D8" s="2" t="s">
        <v>14</v>
      </c>
      <c r="E8" s="10" t="s">
        <v>15</v>
      </c>
      <c r="F8" s="198" t="s">
        <v>16</v>
      </c>
    </row>
    <row r="9" spans="1:7" ht="36" customHeight="1">
      <c r="A9" s="8" t="s">
        <v>17</v>
      </c>
      <c r="B9" s="41">
        <v>0.02</v>
      </c>
      <c r="C9" s="41" t="s">
        <v>13</v>
      </c>
      <c r="D9" s="2" t="s">
        <v>18</v>
      </c>
      <c r="E9" s="10" t="s">
        <v>15</v>
      </c>
      <c r="F9" s="198" t="s">
        <v>16</v>
      </c>
    </row>
    <row r="10" spans="1:7" ht="36" customHeight="1">
      <c r="A10" s="8" t="s">
        <v>19</v>
      </c>
      <c r="B10" s="127">
        <f>+ERs!D26*ERs!D18</f>
        <v>2106254.4</v>
      </c>
      <c r="C10" s="10" t="s">
        <v>20</v>
      </c>
      <c r="D10" s="15" t="s">
        <v>21</v>
      </c>
      <c r="E10" s="10" t="s">
        <v>22</v>
      </c>
      <c r="F10" s="199" t="s">
        <v>23</v>
      </c>
    </row>
    <row r="11" spans="1:7" ht="54.75" customHeight="1">
      <c r="A11" s="8" t="s">
        <v>24</v>
      </c>
      <c r="B11" s="140">
        <f>(B30*B33+B31*B35)/1000</f>
        <v>4.7299999999999995E-4</v>
      </c>
      <c r="C11" s="10" t="s">
        <v>25</v>
      </c>
      <c r="D11" s="15" t="s">
        <v>26</v>
      </c>
      <c r="E11" s="15" t="s">
        <v>27</v>
      </c>
      <c r="F11" s="200" t="s">
        <v>28</v>
      </c>
    </row>
    <row r="12" spans="1:7" ht="54.75" customHeight="1">
      <c r="A12" s="8" t="s">
        <v>29</v>
      </c>
      <c r="B12" s="140">
        <f>(B30*B33+B31*B35)/1000</f>
        <v>4.7299999999999995E-4</v>
      </c>
      <c r="C12" s="10" t="s">
        <v>25</v>
      </c>
      <c r="D12" s="15" t="s">
        <v>30</v>
      </c>
      <c r="E12" s="15" t="s">
        <v>27</v>
      </c>
      <c r="F12" s="200" t="s">
        <v>28</v>
      </c>
    </row>
    <row r="13" spans="1:7" ht="62.25" customHeight="1">
      <c r="A13" s="60" t="s">
        <v>31</v>
      </c>
      <c r="B13" s="10">
        <v>7</v>
      </c>
      <c r="C13" s="10" t="s">
        <v>32</v>
      </c>
      <c r="D13" s="15" t="s">
        <v>33</v>
      </c>
      <c r="E13" s="10" t="s">
        <v>22</v>
      </c>
      <c r="F13" s="201" t="s">
        <v>236</v>
      </c>
    </row>
    <row r="14" spans="1:7" ht="54.75" customHeight="1">
      <c r="A14" s="59" t="s">
        <v>34</v>
      </c>
      <c r="B14" s="41">
        <v>0</v>
      </c>
      <c r="C14" s="41" t="s">
        <v>32</v>
      </c>
      <c r="D14" s="2" t="s">
        <v>35</v>
      </c>
      <c r="E14" s="10" t="s">
        <v>22</v>
      </c>
      <c r="F14" s="201" t="s">
        <v>237</v>
      </c>
    </row>
    <row r="15" spans="1:7" ht="54.75" customHeight="1">
      <c r="A15" s="60" t="s">
        <v>36</v>
      </c>
      <c r="B15" s="10">
        <v>0</v>
      </c>
      <c r="C15" s="10" t="s">
        <v>32</v>
      </c>
      <c r="D15" s="15" t="s">
        <v>37</v>
      </c>
      <c r="E15" s="10" t="s">
        <v>22</v>
      </c>
      <c r="F15" s="201" t="s">
        <v>237</v>
      </c>
    </row>
    <row r="16" spans="1:7" ht="54.75" customHeight="1">
      <c r="A16" s="40" t="s">
        <v>38</v>
      </c>
      <c r="B16" s="10">
        <v>0.72</v>
      </c>
      <c r="C16" s="10" t="s">
        <v>39</v>
      </c>
      <c r="D16" s="15" t="s">
        <v>40</v>
      </c>
      <c r="E16" s="15" t="s">
        <v>41</v>
      </c>
      <c r="F16" s="199" t="s">
        <v>42</v>
      </c>
      <c r="G16" s="5" t="s">
        <v>43</v>
      </c>
    </row>
    <row r="17" spans="1:7" ht="54.75" customHeight="1">
      <c r="A17" s="8" t="s">
        <v>44</v>
      </c>
      <c r="B17" s="10">
        <v>112</v>
      </c>
      <c r="C17" s="10" t="s">
        <v>45</v>
      </c>
      <c r="D17" s="15" t="s">
        <v>46</v>
      </c>
      <c r="E17" s="10" t="s">
        <v>15</v>
      </c>
      <c r="F17" s="200" t="s">
        <v>47</v>
      </c>
      <c r="G17" s="5" t="s">
        <v>48</v>
      </c>
    </row>
    <row r="18" spans="1:7" ht="54.75" customHeight="1">
      <c r="A18" s="8" t="s">
        <v>49</v>
      </c>
      <c r="B18" s="10">
        <v>8.6920000000000002</v>
      </c>
      <c r="C18" s="10" t="s">
        <v>45</v>
      </c>
      <c r="D18" s="15" t="s">
        <v>50</v>
      </c>
      <c r="E18" s="10" t="s">
        <v>15</v>
      </c>
      <c r="F18" s="200" t="s">
        <v>47</v>
      </c>
      <c r="G18" s="5" t="s">
        <v>48</v>
      </c>
    </row>
    <row r="19" spans="1:7" ht="54.75" customHeight="1">
      <c r="A19" s="8" t="s">
        <v>233</v>
      </c>
      <c r="B19" s="10">
        <f>(300/1000*28)+(4/1000*265)</f>
        <v>9.4600000000000009</v>
      </c>
      <c r="C19" s="10" t="s">
        <v>45</v>
      </c>
      <c r="D19" s="15" t="s">
        <v>50</v>
      </c>
      <c r="E19" s="10" t="s">
        <v>15</v>
      </c>
      <c r="F19" s="196" t="s">
        <v>234</v>
      </c>
      <c r="G19" s="197" t="s">
        <v>48</v>
      </c>
    </row>
    <row r="20" spans="1:7" ht="54.75" customHeight="1">
      <c r="A20" s="8" t="s">
        <v>51</v>
      </c>
      <c r="B20" s="10">
        <v>112</v>
      </c>
      <c r="C20" s="10" t="s">
        <v>45</v>
      </c>
      <c r="D20" s="15" t="s">
        <v>50</v>
      </c>
      <c r="E20" s="10" t="s">
        <v>15</v>
      </c>
      <c r="F20" s="200" t="s">
        <v>47</v>
      </c>
      <c r="G20" s="4" t="s">
        <v>48</v>
      </c>
    </row>
    <row r="21" spans="1:7" ht="54.75" customHeight="1">
      <c r="A21" s="8" t="s">
        <v>52</v>
      </c>
      <c r="B21" s="10">
        <v>8.6920000000000002</v>
      </c>
      <c r="C21" s="10" t="s">
        <v>45</v>
      </c>
      <c r="D21" s="15" t="s">
        <v>53</v>
      </c>
      <c r="E21" s="10" t="s">
        <v>15</v>
      </c>
      <c r="F21" s="200" t="s">
        <v>47</v>
      </c>
      <c r="G21" s="5" t="s">
        <v>48</v>
      </c>
    </row>
    <row r="22" spans="1:7" ht="54.75" customHeight="1">
      <c r="A22" s="8" t="s">
        <v>54</v>
      </c>
      <c r="B22" s="10">
        <v>1.5599999999999999E-2</v>
      </c>
      <c r="C22" s="10" t="s">
        <v>55</v>
      </c>
      <c r="D22" s="10" t="s">
        <v>56</v>
      </c>
      <c r="E22" s="10" t="s">
        <v>15</v>
      </c>
      <c r="F22" s="200" t="s">
        <v>47</v>
      </c>
      <c r="G22" s="1" t="s">
        <v>57</v>
      </c>
    </row>
    <row r="23" spans="1:7" ht="54.75" customHeight="1">
      <c r="A23" s="8" t="s">
        <v>58</v>
      </c>
      <c r="B23" s="10">
        <v>1.5599999999999999E-2</v>
      </c>
      <c r="C23" s="10" t="s">
        <v>55</v>
      </c>
      <c r="D23" s="10" t="s">
        <v>59</v>
      </c>
      <c r="E23" s="10" t="s">
        <v>15</v>
      </c>
      <c r="F23" s="200" t="s">
        <v>47</v>
      </c>
      <c r="G23" s="1" t="s">
        <v>57</v>
      </c>
    </row>
    <row r="24" spans="1:7" ht="29.4">
      <c r="A24" s="8" t="s">
        <v>60</v>
      </c>
      <c r="B24" s="10">
        <v>0.95</v>
      </c>
      <c r="C24" s="10" t="s">
        <v>13</v>
      </c>
      <c r="D24" s="15" t="s">
        <v>61</v>
      </c>
      <c r="E24" s="10" t="s">
        <v>22</v>
      </c>
      <c r="F24" s="198" t="s">
        <v>238</v>
      </c>
    </row>
    <row r="25" spans="1:7" ht="15.6">
      <c r="A25" s="8" t="s">
        <v>62</v>
      </c>
      <c r="B25" s="10">
        <v>0</v>
      </c>
      <c r="C25" s="10" t="s">
        <v>63</v>
      </c>
      <c r="D25" s="15" t="s">
        <v>64</v>
      </c>
      <c r="E25" s="10" t="s">
        <v>22</v>
      </c>
      <c r="F25" s="198" t="s">
        <v>239</v>
      </c>
    </row>
    <row r="26" spans="1:7">
      <c r="A26" s="41" t="s">
        <v>65</v>
      </c>
      <c r="B26" s="68">
        <f>+ERs!D26</f>
        <v>6011</v>
      </c>
      <c r="C26" s="69" t="s">
        <v>20</v>
      </c>
      <c r="D26" s="70" t="s">
        <v>66</v>
      </c>
      <c r="E26" s="10" t="s">
        <v>22</v>
      </c>
      <c r="F26" s="15" t="s">
        <v>23</v>
      </c>
    </row>
    <row r="27" spans="1:7">
      <c r="A27" s="16"/>
      <c r="D27" s="17"/>
    </row>
    <row r="28" spans="1:7">
      <c r="A28" s="18" t="s">
        <v>67</v>
      </c>
      <c r="D28" s="17"/>
    </row>
    <row r="29" spans="1:7" ht="28.8">
      <c r="A29" s="13" t="s">
        <v>6</v>
      </c>
      <c r="B29" s="14" t="s">
        <v>7</v>
      </c>
      <c r="C29" s="14" t="s">
        <v>8</v>
      </c>
      <c r="D29" s="13" t="s">
        <v>9</v>
      </c>
      <c r="E29" s="13" t="s">
        <v>10</v>
      </c>
      <c r="F29" s="13" t="s">
        <v>11</v>
      </c>
    </row>
    <row r="30" spans="1:7" ht="43.2">
      <c r="A30" s="2" t="s">
        <v>68</v>
      </c>
      <c r="B30" s="43">
        <v>0.27</v>
      </c>
      <c r="C30" s="10" t="s">
        <v>13</v>
      </c>
      <c r="D30" s="15" t="s">
        <v>69</v>
      </c>
      <c r="E30" s="15" t="s">
        <v>27</v>
      </c>
      <c r="F30" s="198" t="s">
        <v>241</v>
      </c>
    </row>
    <row r="31" spans="1:7" ht="43.2">
      <c r="A31" s="2" t="s">
        <v>70</v>
      </c>
      <c r="B31" s="43">
        <f>1-B30</f>
        <v>0.73</v>
      </c>
      <c r="C31" s="10" t="s">
        <v>13</v>
      </c>
      <c r="D31" s="15" t="s">
        <v>71</v>
      </c>
      <c r="E31" s="15" t="s">
        <v>27</v>
      </c>
      <c r="F31" s="198" t="s">
        <v>241</v>
      </c>
    </row>
    <row r="32" spans="1:7" ht="28.8">
      <c r="A32" s="8" t="s">
        <v>72</v>
      </c>
      <c r="B32" s="41">
        <v>4</v>
      </c>
      <c r="C32" s="8" t="s">
        <v>73</v>
      </c>
      <c r="D32" s="8" t="s">
        <v>74</v>
      </c>
      <c r="E32" s="10" t="s">
        <v>15</v>
      </c>
      <c r="F32" s="128" t="s">
        <v>75</v>
      </c>
      <c r="G32" s="5" t="s">
        <v>76</v>
      </c>
    </row>
    <row r="33" spans="1:6" ht="29.4">
      <c r="A33" s="8" t="s">
        <v>77</v>
      </c>
      <c r="B33" s="43">
        <v>0.4</v>
      </c>
      <c r="C33" s="10" t="s">
        <v>78</v>
      </c>
      <c r="D33" s="15" t="s">
        <v>79</v>
      </c>
      <c r="E33" s="10" t="s">
        <v>15</v>
      </c>
      <c r="F33" s="10" t="s">
        <v>80</v>
      </c>
    </row>
    <row r="34" spans="1:6" ht="28.8">
      <c r="A34" s="8" t="s">
        <v>81</v>
      </c>
      <c r="B34" s="132">
        <v>0.125</v>
      </c>
      <c r="C34" s="10" t="s">
        <v>78</v>
      </c>
      <c r="D34" s="15" t="s">
        <v>82</v>
      </c>
      <c r="E34" s="10" t="s">
        <v>15</v>
      </c>
      <c r="F34" s="10" t="s">
        <v>240</v>
      </c>
    </row>
    <row r="35" spans="1:6" ht="31.2">
      <c r="A35" s="8" t="s">
        <v>83</v>
      </c>
      <c r="B35" s="41">
        <f>B32*B34</f>
        <v>0.5</v>
      </c>
      <c r="C35" s="10" t="s">
        <v>78</v>
      </c>
      <c r="D35" s="15" t="s">
        <v>84</v>
      </c>
      <c r="E35" s="10" t="s">
        <v>15</v>
      </c>
      <c r="F35" s="10" t="s">
        <v>85</v>
      </c>
    </row>
    <row r="40" spans="1:6">
      <c r="D40" s="49"/>
    </row>
    <row r="41" spans="1:6">
      <c r="D41" s="49"/>
    </row>
    <row r="42" spans="1:6">
      <c r="D42" s="48"/>
    </row>
    <row r="43" spans="1:6">
      <c r="D43" s="49"/>
    </row>
    <row r="44" spans="1:6">
      <c r="D44" s="49"/>
    </row>
    <row r="45" spans="1:6">
      <c r="D45" s="49"/>
    </row>
    <row r="46" spans="1:6">
      <c r="B46" s="37"/>
      <c r="D46" s="48"/>
    </row>
  </sheetData>
  <hyperlinks>
    <hyperlink ref="F32" r:id="rId1" display="http://www.ipcc-nggip.iges.or.jp/public/gl/guidelin/ch1ref3.pdf" xr:uid="{00000000-0004-0000-0000-000000000000}"/>
    <hyperlink ref="G17" r:id="rId2" xr:uid="{00000000-0004-0000-0000-000001000000}"/>
    <hyperlink ref="G16" r:id="rId3" xr:uid="{00000000-0004-0000-0000-000002000000}"/>
    <hyperlink ref="G32" r:id="rId4" xr:uid="{00000000-0004-0000-0000-000003000000}"/>
    <hyperlink ref="G18" r:id="rId5" xr:uid="{00000000-0004-0000-0000-000004000000}"/>
    <hyperlink ref="G21" r:id="rId6" xr:uid="{00000000-0004-0000-0000-000006000000}"/>
    <hyperlink ref="G20" r:id="rId7" xr:uid="{00000000-0004-0000-0000-000005000000}"/>
    <hyperlink ref="G19" r:id="rId8" xr:uid="{64CF31BD-A06E-45C9-BAE1-7B40C71733C9}"/>
  </hyperlinks>
  <pageMargins left="0.7" right="0.7" top="0.75" bottom="0.75" header="0.3" footer="0.3"/>
  <pageSetup paperSize="9"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9"/>
  <sheetViews>
    <sheetView topLeftCell="A2" zoomScale="110" zoomScaleNormal="110" workbookViewId="0">
      <selection activeCell="K23" sqref="K23"/>
    </sheetView>
  </sheetViews>
  <sheetFormatPr defaultColWidth="8.88671875" defaultRowHeight="14.4"/>
  <cols>
    <col min="1" max="1" width="28.6640625" customWidth="1"/>
    <col min="2" max="2" width="20.33203125" customWidth="1"/>
    <col min="3" max="3" width="19.44140625" bestFit="1" customWidth="1"/>
    <col min="4" max="4" width="24.5546875" customWidth="1"/>
    <col min="5" max="5" width="13.44140625" customWidth="1"/>
    <col min="6" max="6" width="16" customWidth="1"/>
    <col min="7" max="7" width="12.5546875" customWidth="1"/>
    <col min="9" max="9" width="13" customWidth="1"/>
    <col min="13" max="13" width="26.33203125" customWidth="1"/>
  </cols>
  <sheetData>
    <row r="2" spans="1:10" ht="15">
      <c r="A2" s="12" t="s">
        <v>86</v>
      </c>
      <c r="B2" s="12"/>
      <c r="C2" s="12"/>
      <c r="D2" s="6"/>
      <c r="E2" s="6"/>
      <c r="F2" s="6"/>
      <c r="G2" s="6"/>
      <c r="H2" s="6"/>
    </row>
    <row r="3" spans="1:10" ht="15">
      <c r="A3" s="3" t="s">
        <v>87</v>
      </c>
      <c r="B3" s="3"/>
      <c r="C3" s="3"/>
      <c r="D3" s="11" t="s">
        <v>88</v>
      </c>
    </row>
    <row r="5" spans="1:10" ht="15">
      <c r="A5" s="12" t="s">
        <v>89</v>
      </c>
      <c r="B5" s="12"/>
      <c r="C5" s="12"/>
      <c r="D5" s="6"/>
      <c r="E5" s="6"/>
      <c r="F5" s="6"/>
      <c r="G5" s="6"/>
      <c r="H5" s="6"/>
    </row>
    <row r="6" spans="1:10" ht="15">
      <c r="A6" s="3" t="s">
        <v>90</v>
      </c>
      <c r="B6" s="3"/>
      <c r="C6" s="3"/>
      <c r="D6" s="9" t="s">
        <v>91</v>
      </c>
    </row>
    <row r="8" spans="1:10" ht="16.2">
      <c r="A8" s="12" t="s">
        <v>92</v>
      </c>
      <c r="B8" s="12"/>
      <c r="C8" s="12"/>
      <c r="D8" s="6"/>
      <c r="E8" s="6"/>
      <c r="F8" s="6"/>
      <c r="G8" s="6"/>
      <c r="H8" s="6"/>
    </row>
    <row r="9" spans="1:10" ht="16.2">
      <c r="A9" s="3" t="s">
        <v>93</v>
      </c>
      <c r="B9" s="3"/>
      <c r="C9" s="3"/>
      <c r="D9" s="11" t="s">
        <v>94</v>
      </c>
    </row>
    <row r="10" spans="1:10" ht="16.2">
      <c r="A10" s="3" t="s">
        <v>95</v>
      </c>
      <c r="B10" s="3"/>
      <c r="C10" s="3"/>
      <c r="D10" s="11" t="s">
        <v>96</v>
      </c>
    </row>
    <row r="11" spans="1:10" ht="15">
      <c r="A11" s="3" t="s">
        <v>97</v>
      </c>
      <c r="B11" s="3"/>
      <c r="C11" s="3"/>
      <c r="D11" s="11" t="s">
        <v>98</v>
      </c>
    </row>
    <row r="14" spans="1:10" ht="28.8">
      <c r="A14" s="204" t="s">
        <v>99</v>
      </c>
      <c r="B14" s="120" t="s">
        <v>100</v>
      </c>
      <c r="C14" s="120" t="s">
        <v>101</v>
      </c>
      <c r="D14" s="130" t="s">
        <v>102</v>
      </c>
      <c r="E14" s="121" t="s">
        <v>103</v>
      </c>
      <c r="F14" s="121" t="s">
        <v>87</v>
      </c>
      <c r="G14" s="121" t="s">
        <v>90</v>
      </c>
      <c r="H14" s="121" t="s">
        <v>93</v>
      </c>
      <c r="I14" s="121" t="s">
        <v>95</v>
      </c>
      <c r="J14" s="121" t="s">
        <v>97</v>
      </c>
    </row>
    <row r="15" spans="1:10" ht="41.25" customHeight="1">
      <c r="A15" s="204"/>
      <c r="B15" s="194"/>
      <c r="C15" s="194"/>
      <c r="D15" s="131"/>
      <c r="E15" s="194"/>
      <c r="F15" s="122" t="s">
        <v>104</v>
      </c>
      <c r="G15" s="122" t="s">
        <v>104</v>
      </c>
      <c r="H15" s="122" t="s">
        <v>105</v>
      </c>
      <c r="I15" s="122" t="s">
        <v>105</v>
      </c>
      <c r="J15" s="122" t="s">
        <v>105</v>
      </c>
    </row>
    <row r="16" spans="1:10">
      <c r="A16" s="174" t="s">
        <v>242</v>
      </c>
      <c r="B16" s="123">
        <f>D26</f>
        <v>6011</v>
      </c>
      <c r="C16" s="202">
        <v>123</v>
      </c>
      <c r="D16" s="129">
        <f>+C16*$B$21</f>
        <v>118.08</v>
      </c>
      <c r="E16" s="28">
        <f>B16*D16</f>
        <v>709778.88</v>
      </c>
      <c r="F16" s="28">
        <f>(1-'General data'!$B$8)*(1-'General data'!$B$9)*E16*'General data'!$B$11*('General data'!$B$13+'General data'!$B$14)</f>
        <v>1959.9179434236862</v>
      </c>
      <c r="G16" s="28">
        <f>(1-'General data'!$B$9)*E16*'General data'!$B$12*('General data'!$B$14+'General data'!$B$15)</f>
        <v>0</v>
      </c>
      <c r="H16" s="28">
        <f>F16*(('General data'!$B$16*'General data'!$B$17)+'General data'!$B$19)*'General data'!$B$22</f>
        <v>2754.7822645585961</v>
      </c>
      <c r="I16" s="28">
        <f>G16*(('General data'!$B$16*'General data'!$B$20)+'General data'!$B$21)*'General data'!$B$23</f>
        <v>0</v>
      </c>
      <c r="J16" s="123">
        <f>(H16-I16)*'General data'!$B$24-'General data'!$B$25</f>
        <v>2617.0431513306662</v>
      </c>
    </row>
    <row r="17" spans="1:12">
      <c r="A17" s="174" t="s">
        <v>243</v>
      </c>
      <c r="B17" s="123">
        <f>+D26</f>
        <v>6011</v>
      </c>
      <c r="C17" s="202">
        <v>242</v>
      </c>
      <c r="D17" s="129">
        <f>+C17*$B$21</f>
        <v>232.32</v>
      </c>
      <c r="E17" s="28">
        <f t="shared" ref="E17" si="0">B17*D17</f>
        <v>1396475.52</v>
      </c>
      <c r="F17" s="28">
        <f>(1-'General data'!$B$8)*(1-'General data'!$B$9)*E17*'General data'!$B$11*('General data'!$B$13+'General data'!$B$14)</f>
        <v>3856.098717955545</v>
      </c>
      <c r="G17" s="28">
        <f>(1-'General data'!$B$9)*E17*'General data'!$B$12*('General data'!$B$14+'General data'!$B$15)</f>
        <v>0</v>
      </c>
      <c r="H17" s="28">
        <f>F17*(('General data'!$B$16*'General data'!$B$17)+'General data'!$B$19)*'General data'!$B$22</f>
        <v>5419.9781140095956</v>
      </c>
      <c r="I17" s="28">
        <f>G17*(('General data'!$B$16*'General data'!$B$20)+'General data'!$B$21)*'General data'!$B$23</f>
        <v>0</v>
      </c>
      <c r="J17" s="123">
        <f>(H17-I17)*'General data'!$B$24-'General data'!$B$25</f>
        <v>5148.9792083091152</v>
      </c>
    </row>
    <row r="18" spans="1:12">
      <c r="A18" t="s">
        <v>106</v>
      </c>
      <c r="C18" s="19">
        <f>+SUM(C16:C17)</f>
        <v>365</v>
      </c>
      <c r="D18" s="145">
        <f>+SUM(D16:D17)</f>
        <v>350.4</v>
      </c>
      <c r="E18" s="19">
        <f>+SUM(E16:E17)</f>
        <v>2106254.4</v>
      </c>
      <c r="F18" s="19">
        <f>+SUM(F16:F17)</f>
        <v>5816.0166613792317</v>
      </c>
      <c r="G18" s="19"/>
      <c r="H18" s="19">
        <f>SUM(H16:H17)</f>
        <v>8174.7603785681913</v>
      </c>
      <c r="I18" s="19">
        <f>SUM(I16:I16)</f>
        <v>0</v>
      </c>
      <c r="J18" s="19">
        <f>SUM(J16:J17)</f>
        <v>7766.0223596397809</v>
      </c>
    </row>
    <row r="19" spans="1:12">
      <c r="F19" s="19" t="s">
        <v>235</v>
      </c>
      <c r="G19" s="19"/>
      <c r="H19" s="19"/>
      <c r="I19" s="19"/>
      <c r="J19" s="19"/>
    </row>
    <row r="20" spans="1:12">
      <c r="A20" s="1"/>
      <c r="B20" s="1"/>
      <c r="C20" s="1"/>
      <c r="D20" s="1"/>
      <c r="E20" s="39"/>
      <c r="F20" s="39"/>
      <c r="G20" s="39"/>
      <c r="H20" s="19"/>
      <c r="I20" s="19"/>
    </row>
    <row r="21" spans="1:12">
      <c r="A21" s="1" t="s">
        <v>107</v>
      </c>
      <c r="B21" s="1">
        <v>0.96</v>
      </c>
      <c r="C21" s="133"/>
      <c r="D21" s="1"/>
      <c r="E21" s="39"/>
      <c r="F21" s="39"/>
      <c r="G21" s="39"/>
      <c r="H21" s="19"/>
      <c r="I21" s="19"/>
    </row>
    <row r="22" spans="1:12">
      <c r="A22" s="1"/>
      <c r="B22" s="1"/>
      <c r="C22" s="1"/>
      <c r="D22" s="1"/>
      <c r="E22" s="1"/>
      <c r="F22" s="1"/>
      <c r="G22" s="1"/>
    </row>
    <row r="23" spans="1:12" ht="85.5" customHeight="1">
      <c r="A23" s="45" t="s">
        <v>108</v>
      </c>
      <c r="B23" s="205" t="s">
        <v>109</v>
      </c>
      <c r="C23" s="205"/>
      <c r="D23" s="47" t="s">
        <v>100</v>
      </c>
      <c r="E23" s="47" t="s">
        <v>110</v>
      </c>
      <c r="F23" s="50" t="s">
        <v>111</v>
      </c>
    </row>
    <row r="24" spans="1:12">
      <c r="A24" s="40" t="s">
        <v>112</v>
      </c>
      <c r="B24" s="124">
        <v>-23.322094</v>
      </c>
      <c r="C24" s="124">
        <v>43.694569999999999</v>
      </c>
      <c r="D24" s="42">
        <v>2984</v>
      </c>
      <c r="E24" s="51">
        <v>43600</v>
      </c>
      <c r="F24" s="119" t="s">
        <v>113</v>
      </c>
      <c r="K24" s="44"/>
    </row>
    <row r="25" spans="1:12">
      <c r="A25" s="10" t="s">
        <v>114</v>
      </c>
      <c r="B25" s="125">
        <v>-23.375257999999999</v>
      </c>
      <c r="C25" s="126">
        <v>43.717393999999999</v>
      </c>
      <c r="D25" s="42">
        <v>3027</v>
      </c>
      <c r="E25" s="51">
        <v>43600</v>
      </c>
      <c r="F25" s="51">
        <v>43729</v>
      </c>
      <c r="K25" s="44"/>
    </row>
    <row r="26" spans="1:12">
      <c r="A26" s="46" t="s">
        <v>106</v>
      </c>
      <c r="B26" s="46"/>
      <c r="D26" s="203">
        <f>SUM(D24:D25)</f>
        <v>6011</v>
      </c>
      <c r="E26" s="1"/>
      <c r="F26" s="1"/>
      <c r="K26" s="44"/>
    </row>
    <row r="27" spans="1:12">
      <c r="A27" s="1"/>
      <c r="B27" s="1"/>
      <c r="C27" s="1"/>
      <c r="D27" s="1"/>
      <c r="E27" s="1"/>
      <c r="F27" s="1"/>
      <c r="G27" s="1"/>
      <c r="L27" s="44"/>
    </row>
    <row r="28" spans="1:12">
      <c r="A28" s="1"/>
      <c r="C28" s="1"/>
      <c r="D28" s="1"/>
      <c r="E28" s="1"/>
      <c r="F28" s="1"/>
      <c r="G28" s="1"/>
      <c r="L28" s="44"/>
    </row>
    <row r="29" spans="1:12">
      <c r="L29" s="44"/>
    </row>
  </sheetData>
  <mergeCells count="2">
    <mergeCell ref="A14:A15"/>
    <mergeCell ref="B23:C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32"/>
  <sheetViews>
    <sheetView zoomScaleNormal="100" workbookViewId="0">
      <selection activeCell="A10" sqref="A10:XFD15"/>
    </sheetView>
  </sheetViews>
  <sheetFormatPr defaultColWidth="8.88671875" defaultRowHeight="14.4"/>
  <cols>
    <col min="1" max="1" width="27.6640625" customWidth="1"/>
    <col min="2" max="2" width="20.33203125" customWidth="1"/>
    <col min="3" max="3" width="18.33203125" customWidth="1"/>
    <col min="4" max="4" width="13" customWidth="1"/>
    <col min="5" max="5" width="11.88671875" customWidth="1"/>
    <col min="6" max="6" width="9.6640625" bestFit="1" customWidth="1"/>
    <col min="10" max="10" width="22.109375" customWidth="1"/>
    <col min="11" max="11" width="11.77734375" customWidth="1"/>
    <col min="12" max="12" width="12.77734375" customWidth="1"/>
    <col min="13" max="13" width="10.6640625" bestFit="1" customWidth="1"/>
  </cols>
  <sheetData>
    <row r="3" spans="1:13" ht="15" thickBot="1">
      <c r="A3" s="22" t="s">
        <v>115</v>
      </c>
      <c r="B3" s="23"/>
      <c r="C3" s="23"/>
      <c r="D3" s="23"/>
      <c r="E3" s="23"/>
    </row>
    <row r="4" spans="1:13" ht="57.6">
      <c r="A4" s="209" t="s">
        <v>116</v>
      </c>
      <c r="B4" s="20" t="s">
        <v>117</v>
      </c>
      <c r="C4" s="20" t="s">
        <v>118</v>
      </c>
      <c r="D4" s="20" t="s">
        <v>119</v>
      </c>
      <c r="E4" s="21" t="s">
        <v>120</v>
      </c>
    </row>
    <row r="5" spans="1:13" ht="18.600000000000001" thickBot="1">
      <c r="A5" s="210"/>
      <c r="B5" s="146" t="s">
        <v>121</v>
      </c>
      <c r="C5" s="146" t="s">
        <v>121</v>
      </c>
      <c r="D5" s="146" t="s">
        <v>121</v>
      </c>
      <c r="E5" s="147" t="s">
        <v>121</v>
      </c>
      <c r="F5" s="134" t="s">
        <v>122</v>
      </c>
    </row>
    <row r="6" spans="1:13">
      <c r="A6" s="141" t="str">
        <f>+ERs!A16</f>
        <v>2021 (31/08- 31/12)</v>
      </c>
      <c r="B6" s="148">
        <f>+ERs!I16</f>
        <v>0</v>
      </c>
      <c r="C6" s="148">
        <f>ERs!H16</f>
        <v>2754.7822645585961</v>
      </c>
      <c r="D6" s="148">
        <v>0</v>
      </c>
      <c r="E6" s="149">
        <f>ROUNDDOWN(ERs!J16,0)</f>
        <v>2617</v>
      </c>
      <c r="F6" s="135">
        <v>2021</v>
      </c>
    </row>
    <row r="7" spans="1:13" ht="15" thickBot="1">
      <c r="A7" s="142" t="str">
        <f>+ERs!A17</f>
        <v>2022 (1/01-30/08)</v>
      </c>
      <c r="B7" s="151">
        <f>+ERs!I17</f>
        <v>0</v>
      </c>
      <c r="C7" s="151">
        <f>ERs!H17</f>
        <v>5419.9781140095956</v>
      </c>
      <c r="D7" s="151">
        <v>0</v>
      </c>
      <c r="E7" s="152">
        <f>ROUNDDOWN(ERs!J17,0)</f>
        <v>5148</v>
      </c>
      <c r="F7" s="193">
        <v>2022</v>
      </c>
    </row>
    <row r="8" spans="1:13" ht="18.600000000000001" thickBot="1">
      <c r="A8" s="189" t="s">
        <v>123</v>
      </c>
      <c r="B8" s="143">
        <f>SUM(B6:B6)</f>
        <v>0</v>
      </c>
      <c r="C8" s="143">
        <f>SUM(C6:C7)</f>
        <v>8174.7603785681913</v>
      </c>
      <c r="D8" s="143">
        <f>SUM(D6:D6)</f>
        <v>0</v>
      </c>
      <c r="E8" s="144">
        <f>SUM(E6:E7)</f>
        <v>7765</v>
      </c>
      <c r="F8" s="19"/>
    </row>
    <row r="12" spans="1:13" ht="15" thickBot="1"/>
    <row r="13" spans="1:13" ht="15" thickBot="1">
      <c r="A13" s="206" t="s">
        <v>124</v>
      </c>
      <c r="B13" s="207"/>
      <c r="C13" s="207"/>
      <c r="D13" s="207"/>
      <c r="E13" s="207"/>
      <c r="F13" s="207"/>
      <c r="G13" s="207"/>
      <c r="H13" s="208"/>
    </row>
    <row r="14" spans="1:13" ht="57.6">
      <c r="A14" s="165" t="s">
        <v>99</v>
      </c>
      <c r="B14" s="166" t="s">
        <v>125</v>
      </c>
      <c r="C14" s="167" t="s">
        <v>93</v>
      </c>
      <c r="D14" s="167" t="s">
        <v>126</v>
      </c>
      <c r="E14" s="167" t="s">
        <v>127</v>
      </c>
      <c r="F14" s="168" t="s">
        <v>128</v>
      </c>
      <c r="G14" s="169" t="s">
        <v>129</v>
      </c>
      <c r="H14" s="170"/>
    </row>
    <row r="15" spans="1:13">
      <c r="A15" s="165"/>
      <c r="B15" s="171"/>
      <c r="C15" s="171" t="s">
        <v>63</v>
      </c>
      <c r="D15" s="171" t="s">
        <v>63</v>
      </c>
      <c r="E15" s="171" t="s">
        <v>63</v>
      </c>
      <c r="F15" s="172" t="s">
        <v>63</v>
      </c>
      <c r="G15" s="173" t="s">
        <v>63</v>
      </c>
      <c r="H15" s="170"/>
      <c r="J15" s="211" t="s">
        <v>244</v>
      </c>
      <c r="K15" s="211"/>
      <c r="L15" s="211"/>
      <c r="M15" s="211"/>
    </row>
    <row r="16" spans="1:13" ht="28.8">
      <c r="A16" s="174" t="str">
        <f>+A6</f>
        <v>2021 (31/08- 31/12)</v>
      </c>
      <c r="B16" s="175">
        <f>+ERs!B16</f>
        <v>6011</v>
      </c>
      <c r="C16" s="176">
        <f>+ERs!H16</f>
        <v>2754.7822645585961</v>
      </c>
      <c r="D16" s="177">
        <f>+ERs!I16</f>
        <v>0</v>
      </c>
      <c r="E16" s="177">
        <f>+D6</f>
        <v>0</v>
      </c>
      <c r="F16" s="178">
        <f>+ERs!J16</f>
        <v>2617.0431513306662</v>
      </c>
      <c r="G16" s="179">
        <f>+(E26/365)*ERs!C16</f>
        <v>2799.2604337347393</v>
      </c>
      <c r="H16" s="170"/>
      <c r="K16" s="15" t="s">
        <v>245</v>
      </c>
      <c r="L16" s="15" t="s">
        <v>246</v>
      </c>
      <c r="M16" s="10" t="s">
        <v>8</v>
      </c>
    </row>
    <row r="17" spans="1:13">
      <c r="A17" s="180" t="str">
        <f>+A7</f>
        <v>2022 (1/01-30/08)</v>
      </c>
      <c r="B17" s="175">
        <f>+ERs!B17</f>
        <v>6011</v>
      </c>
      <c r="C17" s="176">
        <f>+ERs!H17</f>
        <v>5419.9781140095956</v>
      </c>
      <c r="D17" s="177">
        <f>+ERs!I17</f>
        <v>0</v>
      </c>
      <c r="E17" s="177">
        <f>+D7</f>
        <v>0</v>
      </c>
      <c r="F17" s="178">
        <f>+ERs!J17</f>
        <v>5148.9792083091152</v>
      </c>
      <c r="G17" s="179">
        <f>+(E27/365)*ERs!C17</f>
        <v>5507.4880078358292</v>
      </c>
      <c r="H17" s="170"/>
      <c r="J17" s="65" t="s">
        <v>125</v>
      </c>
      <c r="K17" s="176">
        <v>6000</v>
      </c>
      <c r="L17" s="28">
        <f>+ERs!D26</f>
        <v>6011</v>
      </c>
      <c r="M17" s="10" t="s">
        <v>247</v>
      </c>
    </row>
    <row r="18" spans="1:13" ht="31.8" thickBot="1">
      <c r="A18" s="181" t="s">
        <v>130</v>
      </c>
      <c r="B18" s="182"/>
      <c r="C18" s="183">
        <f>SUM(C16:C17)</f>
        <v>8174.7603785681913</v>
      </c>
      <c r="D18" s="183">
        <f>SUM(D16:D17)</f>
        <v>0</v>
      </c>
      <c r="E18" s="183">
        <f>SUM(E16:E17)</f>
        <v>0</v>
      </c>
      <c r="F18" s="184">
        <f>SUM(F16:F17)</f>
        <v>7766.0223596397809</v>
      </c>
      <c r="G18" s="185">
        <f>SUM(G16:G17)</f>
        <v>8306.7484415705694</v>
      </c>
      <c r="H18" s="170"/>
      <c r="J18" s="65" t="s">
        <v>77</v>
      </c>
      <c r="K18" s="36">
        <v>0.4</v>
      </c>
      <c r="L18" s="36">
        <f>+'General data'!B33</f>
        <v>0.4</v>
      </c>
      <c r="M18" s="10" t="s">
        <v>248</v>
      </c>
    </row>
    <row r="19" spans="1:13">
      <c r="A19" s="186"/>
      <c r="D19" s="19"/>
      <c r="H19" s="170"/>
      <c r="J19" s="65" t="s">
        <v>249</v>
      </c>
      <c r="K19" s="10">
        <v>0.1</v>
      </c>
      <c r="L19" s="10">
        <f>+'General data'!B34</f>
        <v>0.125</v>
      </c>
      <c r="M19" s="10" t="s">
        <v>248</v>
      </c>
    </row>
    <row r="20" spans="1:13">
      <c r="A20" s="186"/>
      <c r="H20" s="170"/>
    </row>
    <row r="21" spans="1:13" ht="15" thickBot="1">
      <c r="A21" s="187" t="s">
        <v>131</v>
      </c>
      <c r="B21" s="136"/>
      <c r="C21" s="136"/>
      <c r="H21" s="170"/>
    </row>
    <row r="22" spans="1:13" ht="57.6">
      <c r="A22" s="161" t="s">
        <v>116</v>
      </c>
      <c r="B22" s="20" t="s">
        <v>117</v>
      </c>
      <c r="C22" s="20" t="s">
        <v>118</v>
      </c>
      <c r="D22" s="20" t="s">
        <v>119</v>
      </c>
      <c r="E22" s="21" t="s">
        <v>120</v>
      </c>
      <c r="H22" s="170"/>
    </row>
    <row r="23" spans="1:13">
      <c r="A23" s="188"/>
      <c r="B23" s="146" t="s">
        <v>132</v>
      </c>
      <c r="C23" s="146" t="s">
        <v>132</v>
      </c>
      <c r="D23" s="146" t="s">
        <v>132</v>
      </c>
      <c r="E23" s="147" t="s">
        <v>132</v>
      </c>
      <c r="H23" s="170"/>
    </row>
    <row r="24" spans="1:13">
      <c r="A24" s="141" t="s">
        <v>133</v>
      </c>
      <c r="B24" s="148">
        <v>255.39774508329583</v>
      </c>
      <c r="C24" s="148">
        <v>2553.9774508329588</v>
      </c>
      <c r="D24" s="148">
        <v>0</v>
      </c>
      <c r="E24" s="149">
        <v>2298.5797057496629</v>
      </c>
      <c r="H24" s="170"/>
    </row>
    <row r="25" spans="1:13">
      <c r="A25" s="150">
        <v>2020</v>
      </c>
      <c r="B25" s="28">
        <v>922.97204906339539</v>
      </c>
      <c r="C25" s="28">
        <v>9229.720490633963</v>
      </c>
      <c r="D25" s="28">
        <v>0</v>
      </c>
      <c r="E25" s="76">
        <v>8306.7484415705676</v>
      </c>
      <c r="H25" s="170"/>
    </row>
    <row r="26" spans="1:13">
      <c r="A26" s="150">
        <v>2021</v>
      </c>
      <c r="B26" s="28">
        <v>922.97204906339539</v>
      </c>
      <c r="C26" s="28">
        <v>9229.720490633963</v>
      </c>
      <c r="D26" s="28">
        <v>0</v>
      </c>
      <c r="E26" s="76">
        <v>8306.7484415705676</v>
      </c>
      <c r="H26" s="170"/>
    </row>
    <row r="27" spans="1:13">
      <c r="A27" s="150">
        <v>2022</v>
      </c>
      <c r="B27" s="28">
        <v>922.97204906339539</v>
      </c>
      <c r="C27" s="28">
        <v>9229.720490633963</v>
      </c>
      <c r="D27" s="28">
        <v>0</v>
      </c>
      <c r="E27" s="76">
        <v>8306.7484415705676</v>
      </c>
      <c r="H27" s="170"/>
    </row>
    <row r="28" spans="1:13">
      <c r="A28" s="150">
        <v>2023</v>
      </c>
      <c r="B28" s="28">
        <v>922.97204906339539</v>
      </c>
      <c r="C28" s="28">
        <v>9229.720490633963</v>
      </c>
      <c r="D28" s="28">
        <v>0</v>
      </c>
      <c r="E28" s="76">
        <v>8306.7484415705676</v>
      </c>
      <c r="H28" s="170"/>
    </row>
    <row r="29" spans="1:13" ht="15" thickBot="1">
      <c r="A29" s="142" t="s">
        <v>134</v>
      </c>
      <c r="B29" s="151">
        <v>667.57430398010001</v>
      </c>
      <c r="C29" s="151">
        <v>6675.7430398010038</v>
      </c>
      <c r="D29" s="151">
        <v>0</v>
      </c>
      <c r="E29" s="152">
        <v>6008.1687358209037</v>
      </c>
      <c r="H29" s="170"/>
    </row>
    <row r="30" spans="1:13" ht="16.2" thickBot="1">
      <c r="A30" s="189" t="s">
        <v>135</v>
      </c>
      <c r="B30" s="143">
        <v>4614.8602453169769</v>
      </c>
      <c r="C30" s="143">
        <v>46148.602453169813</v>
      </c>
      <c r="D30" s="143">
        <v>0</v>
      </c>
      <c r="E30" s="144">
        <v>41533.74220785284</v>
      </c>
      <c r="H30" s="170"/>
    </row>
    <row r="31" spans="1:13" ht="63" thickBot="1">
      <c r="A31" s="164" t="s">
        <v>136</v>
      </c>
      <c r="B31" s="162">
        <v>922.97204906339539</v>
      </c>
      <c r="C31" s="162">
        <v>9229.720490633963</v>
      </c>
      <c r="D31" s="162">
        <v>0</v>
      </c>
      <c r="E31" s="163">
        <v>8306.7484415705676</v>
      </c>
      <c r="H31" s="170"/>
    </row>
    <row r="32" spans="1:13" ht="15" thickBot="1">
      <c r="A32" s="190"/>
      <c r="B32" s="191"/>
      <c r="C32" s="191"/>
      <c r="D32" s="191"/>
      <c r="E32" s="191"/>
      <c r="F32" s="191"/>
      <c r="G32" s="191"/>
      <c r="H32" s="192"/>
    </row>
  </sheetData>
  <mergeCells count="3">
    <mergeCell ref="A13:H13"/>
    <mergeCell ref="A4:A5"/>
    <mergeCell ref="J15:M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D0B0-0363-4C7D-A620-13D8530D34B9}">
  <dimension ref="A2:F33"/>
  <sheetViews>
    <sheetView topLeftCell="A21" zoomScaleNormal="100" workbookViewId="0">
      <selection activeCell="H22" sqref="H22"/>
    </sheetView>
  </sheetViews>
  <sheetFormatPr defaultRowHeight="14.4"/>
  <cols>
    <col min="1" max="1" width="45" customWidth="1"/>
    <col min="2" max="2" width="9.88671875" customWidth="1"/>
    <col min="3" max="3" width="9.5546875" customWidth="1"/>
    <col min="4" max="4" width="8.109375" customWidth="1"/>
    <col min="5" max="5" width="10.88671875" customWidth="1"/>
    <col min="6" max="6" width="21" customWidth="1"/>
  </cols>
  <sheetData>
    <row r="2" spans="1:6">
      <c r="A2" s="67" t="s">
        <v>65</v>
      </c>
      <c r="B2" s="74">
        <f>+ERs!D26</f>
        <v>6011</v>
      </c>
      <c r="C2" s="70" t="s">
        <v>66</v>
      </c>
      <c r="D2" s="72"/>
      <c r="E2" s="72"/>
      <c r="F2" s="72"/>
    </row>
    <row r="3" spans="1:6">
      <c r="A3" s="41" t="s">
        <v>137</v>
      </c>
      <c r="B3" s="40">
        <f>+'General data'!B9</f>
        <v>0.02</v>
      </c>
      <c r="C3" s="57" t="s">
        <v>18</v>
      </c>
    </row>
    <row r="4" spans="1:6" ht="15.6">
      <c r="A4" s="8" t="s">
        <v>12</v>
      </c>
      <c r="B4" s="40">
        <f>+'General data'!B8</f>
        <v>0.14899999999999999</v>
      </c>
      <c r="C4" s="58" t="s">
        <v>14</v>
      </c>
    </row>
    <row r="5" spans="1:6" ht="15.6">
      <c r="A5" s="41" t="s">
        <v>138</v>
      </c>
      <c r="B5" s="40">
        <f>+'General data'!B24</f>
        <v>0.95</v>
      </c>
      <c r="C5" s="58" t="s">
        <v>61</v>
      </c>
    </row>
    <row r="6" spans="1:6">
      <c r="B6" s="56"/>
    </row>
    <row r="7" spans="1:6">
      <c r="B7" s="56"/>
    </row>
    <row r="8" spans="1:6">
      <c r="A8" t="s">
        <v>139</v>
      </c>
      <c r="B8" s="56"/>
    </row>
    <row r="9" spans="1:6" ht="16.2">
      <c r="A9" s="75" t="s">
        <v>140</v>
      </c>
    </row>
    <row r="10" spans="1:6" ht="15" thickBot="1"/>
    <row r="11" spans="1:6" ht="15" thickBot="1">
      <c r="A11" s="212" t="s">
        <v>141</v>
      </c>
      <c r="B11" s="213"/>
      <c r="C11" s="213"/>
      <c r="D11" s="214"/>
    </row>
    <row r="12" spans="1:6" ht="72">
      <c r="A12" s="53" t="s">
        <v>99</v>
      </c>
      <c r="B12" s="54" t="s">
        <v>142</v>
      </c>
      <c r="C12" s="54" t="s">
        <v>143</v>
      </c>
      <c r="D12" s="55" t="s">
        <v>144</v>
      </c>
    </row>
    <row r="13" spans="1:6">
      <c r="A13" s="61"/>
      <c r="B13" s="62"/>
      <c r="C13" s="62"/>
      <c r="D13" s="63"/>
    </row>
    <row r="14" spans="1:6">
      <c r="A14" s="150" t="str">
        <f>+'Summary SDG 13'!A6</f>
        <v>2021 (31/08- 31/12)</v>
      </c>
      <c r="B14" s="28">
        <f>C14-D14</f>
        <v>1249</v>
      </c>
      <c r="C14" s="28">
        <f>+$B$2</f>
        <v>6011</v>
      </c>
      <c r="D14" s="76">
        <f>ROUNDDOWN($B$2*(1-$B$3)*(1-$B$4)*$B$5, 0)</f>
        <v>4762</v>
      </c>
    </row>
    <row r="15" spans="1:6" ht="15" thickBot="1">
      <c r="A15" s="142" t="str">
        <f>+'Summary SDG 13'!A7</f>
        <v>2022 (1/01-30/08)</v>
      </c>
      <c r="B15" s="151">
        <f t="shared" ref="B15" si="0">C15-D15</f>
        <v>1249</v>
      </c>
      <c r="C15" s="151">
        <f t="shared" ref="C15" si="1">+$B$2</f>
        <v>6011</v>
      </c>
      <c r="D15" s="76">
        <f>ROUNDDOWN($B$2*(1-$B$3)*(1-$B$4)*$B$5, 0)</f>
        <v>4762</v>
      </c>
    </row>
    <row r="18" spans="1:4">
      <c r="A18" t="s">
        <v>145</v>
      </c>
    </row>
    <row r="19" spans="1:4" ht="16.2">
      <c r="A19" s="71" t="s">
        <v>146</v>
      </c>
      <c r="B19" s="72"/>
      <c r="C19" s="72"/>
      <c r="D19" s="72"/>
    </row>
    <row r="20" spans="1:4" ht="15" thickBot="1"/>
    <row r="21" spans="1:4" ht="15" thickBot="1">
      <c r="A21" s="215" t="s">
        <v>147</v>
      </c>
      <c r="B21" s="216"/>
      <c r="C21" s="216"/>
      <c r="D21" s="217"/>
    </row>
    <row r="22" spans="1:4" ht="72">
      <c r="A22" s="52" t="s">
        <v>99</v>
      </c>
      <c r="B22" s="20" t="s">
        <v>142</v>
      </c>
      <c r="C22" s="20" t="s">
        <v>143</v>
      </c>
      <c r="D22" s="21" t="s">
        <v>148</v>
      </c>
    </row>
    <row r="23" spans="1:4">
      <c r="A23" s="64"/>
      <c r="B23" s="65"/>
      <c r="C23" s="65"/>
      <c r="D23" s="66"/>
    </row>
    <row r="24" spans="1:4">
      <c r="A24" s="150" t="str">
        <f>+A14</f>
        <v>2021 (31/08- 31/12)</v>
      </c>
      <c r="B24" s="28">
        <f>C24-D24</f>
        <v>998</v>
      </c>
      <c r="C24" s="28">
        <f>'General data'!$B$26</f>
        <v>6011</v>
      </c>
      <c r="D24" s="73">
        <f>ROUNDDOWN($B$2*(1-$B$3)*(1-$B$4), 0)</f>
        <v>5013</v>
      </c>
    </row>
    <row r="25" spans="1:4" ht="15" thickBot="1">
      <c r="A25" s="153" t="str">
        <f>+A15</f>
        <v>2022 (1/01-30/08)</v>
      </c>
      <c r="B25" s="151">
        <f t="shared" ref="B25" si="2">C25-D25</f>
        <v>998</v>
      </c>
      <c r="C25" s="151">
        <f>'General data'!$B$26</f>
        <v>6011</v>
      </c>
      <c r="D25" s="73">
        <f>ROUNDDOWN($B$2*(1-$B$3)*(1-$B$4), 0)</f>
        <v>5013</v>
      </c>
    </row>
    <row r="28" spans="1:4" ht="15" thickBot="1"/>
    <row r="29" spans="1:4" ht="15" thickBot="1">
      <c r="A29" s="218" t="s">
        <v>149</v>
      </c>
      <c r="B29" s="219"/>
      <c r="C29" s="219"/>
      <c r="D29" s="220"/>
    </row>
    <row r="30" spans="1:4" ht="144.6" thickBot="1">
      <c r="A30" s="154" t="s">
        <v>116</v>
      </c>
      <c r="B30" s="155" t="s">
        <v>150</v>
      </c>
      <c r="C30" s="155" t="s">
        <v>151</v>
      </c>
      <c r="D30" s="156" t="s">
        <v>152</v>
      </c>
    </row>
    <row r="31" spans="1:4">
      <c r="A31" s="141" t="str">
        <f>+A24</f>
        <v>2021 (31/08- 31/12)</v>
      </c>
      <c r="B31" s="157">
        <v>0</v>
      </c>
      <c r="C31" s="157">
        <v>0</v>
      </c>
      <c r="D31" s="158">
        <v>0</v>
      </c>
    </row>
    <row r="32" spans="1:4" ht="15" thickBot="1">
      <c r="A32" s="153" t="str">
        <f>+A25</f>
        <v>2022 (1/01-30/08)</v>
      </c>
      <c r="B32" s="159">
        <v>0</v>
      </c>
      <c r="C32" s="159">
        <v>1</v>
      </c>
      <c r="D32" s="160">
        <v>1</v>
      </c>
    </row>
    <row r="33" spans="1:4" ht="15" thickBot="1">
      <c r="A33" s="137" t="s">
        <v>106</v>
      </c>
      <c r="B33" s="138">
        <v>0</v>
      </c>
      <c r="C33" s="138">
        <f>+SUM(C31:C32)</f>
        <v>1</v>
      </c>
      <c r="D33" s="139">
        <f>+SUM(D31:D32)</f>
        <v>1</v>
      </c>
    </row>
  </sheetData>
  <mergeCells count="3">
    <mergeCell ref="A11:D11"/>
    <mergeCell ref="A21:D21"/>
    <mergeCell ref="A29:D29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workbookViewId="0">
      <selection activeCell="O19" sqref="O19"/>
    </sheetView>
  </sheetViews>
  <sheetFormatPr defaultColWidth="8.88671875" defaultRowHeight="14.4"/>
  <cols>
    <col min="2" max="2" width="59.44140625" customWidth="1"/>
    <col min="3" max="3" width="10.109375" bestFit="1" customWidth="1"/>
  </cols>
  <sheetData>
    <row r="1" spans="1:17">
      <c r="A1" t="s">
        <v>153</v>
      </c>
    </row>
    <row r="2" spans="1:17">
      <c r="A2" t="s">
        <v>154</v>
      </c>
    </row>
    <row r="5" spans="1:17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7">
      <c r="A6" s="24"/>
      <c r="B6" s="25" t="s">
        <v>155</v>
      </c>
      <c r="C6" s="26">
        <f>C7*1000</f>
        <v>25.163599999999999</v>
      </c>
      <c r="D6" s="24"/>
      <c r="E6" s="24"/>
      <c r="F6" s="24"/>
      <c r="G6" s="24"/>
      <c r="H6" s="24"/>
      <c r="I6" s="24"/>
      <c r="J6" s="24"/>
      <c r="K6" s="24"/>
      <c r="L6" s="24"/>
      <c r="M6" s="24"/>
      <c r="P6">
        <v>7.6</v>
      </c>
      <c r="Q6" t="s">
        <v>156</v>
      </c>
    </row>
    <row r="7" spans="1:17">
      <c r="A7" s="24"/>
      <c r="B7" s="25" t="s">
        <v>157</v>
      </c>
      <c r="C7" s="27">
        <f>'General data'!B13*'General data'!B11*P6</f>
        <v>2.5163599999999998E-2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7">
      <c r="A8" s="24"/>
      <c r="B8" s="25" t="s">
        <v>158</v>
      </c>
      <c r="C8" s="28">
        <f>'General data'!B22*277780</f>
        <v>4333.3679999999995</v>
      </c>
      <c r="E8" s="24"/>
      <c r="F8" s="24"/>
      <c r="G8" s="24"/>
      <c r="H8" s="24"/>
      <c r="I8" s="24"/>
      <c r="J8" s="24"/>
      <c r="K8" s="24"/>
      <c r="L8" s="24"/>
      <c r="M8" s="24"/>
    </row>
    <row r="9" spans="1:17" ht="15" thickBot="1">
      <c r="A9" s="24"/>
      <c r="B9" s="25" t="s">
        <v>159</v>
      </c>
      <c r="C9" s="29">
        <f>C8*C7</f>
        <v>109.04313900479998</v>
      </c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7">
      <c r="A10" s="24"/>
      <c r="B10" s="25" t="s">
        <v>160</v>
      </c>
      <c r="C10" s="25">
        <v>1</v>
      </c>
      <c r="D10" s="30">
        <v>2</v>
      </c>
      <c r="E10" s="25">
        <v>3</v>
      </c>
      <c r="F10" s="25">
        <v>4</v>
      </c>
      <c r="G10" s="31">
        <v>5</v>
      </c>
      <c r="H10" s="32">
        <v>6</v>
      </c>
      <c r="I10" s="30">
        <v>7</v>
      </c>
      <c r="J10" s="25">
        <v>8</v>
      </c>
      <c r="K10" s="25">
        <v>9</v>
      </c>
      <c r="L10" s="25">
        <v>10</v>
      </c>
      <c r="M10" s="24"/>
    </row>
    <row r="11" spans="1:17" ht="15" thickBot="1">
      <c r="A11" s="24"/>
      <c r="B11" s="25" t="s">
        <v>161</v>
      </c>
      <c r="C11" s="29">
        <f>$C$9/C10</f>
        <v>109.04313900479998</v>
      </c>
      <c r="D11" s="33">
        <f>$C$9/D10</f>
        <v>54.521569502399991</v>
      </c>
      <c r="E11" s="29">
        <f t="shared" ref="E11:L11" si="0">$C$9/E10</f>
        <v>36.347713001599992</v>
      </c>
      <c r="F11" s="29">
        <f t="shared" si="0"/>
        <v>27.260784751199996</v>
      </c>
      <c r="G11" s="34">
        <f t="shared" si="0"/>
        <v>21.808627800959997</v>
      </c>
      <c r="H11" s="35">
        <f t="shared" si="0"/>
        <v>18.173856500799996</v>
      </c>
      <c r="I11" s="33">
        <f t="shared" si="0"/>
        <v>15.577591286399997</v>
      </c>
      <c r="J11" s="29">
        <f t="shared" si="0"/>
        <v>13.630392375599998</v>
      </c>
      <c r="K11" s="29">
        <f t="shared" si="0"/>
        <v>12.115904333866665</v>
      </c>
      <c r="L11" s="29">
        <f t="shared" si="0"/>
        <v>10.904313900479998</v>
      </c>
      <c r="M11" s="24"/>
    </row>
    <row r="12" spans="1:17">
      <c r="A12" s="24"/>
      <c r="B12" s="25" t="s">
        <v>162</v>
      </c>
      <c r="C12" s="38">
        <v>0.2</v>
      </c>
    </row>
    <row r="13" spans="1:17">
      <c r="A13" s="24"/>
      <c r="B13" s="25" t="s">
        <v>163</v>
      </c>
      <c r="C13" s="36">
        <f>$C$12*C11</f>
        <v>21.808627800959997</v>
      </c>
      <c r="D13" s="36">
        <f t="shared" ref="D13:L13" si="1">$C$12*D11</f>
        <v>10.904313900479998</v>
      </c>
      <c r="E13" s="36">
        <f t="shared" si="1"/>
        <v>7.2695426003199985</v>
      </c>
      <c r="F13" s="36">
        <f t="shared" si="1"/>
        <v>5.4521569502399991</v>
      </c>
      <c r="G13" s="36">
        <f t="shared" si="1"/>
        <v>4.3617255601919993</v>
      </c>
      <c r="H13" s="36">
        <f t="shared" si="1"/>
        <v>3.6347713001599993</v>
      </c>
      <c r="I13" s="36">
        <f t="shared" si="1"/>
        <v>3.1155182572799998</v>
      </c>
      <c r="J13" s="36">
        <f t="shared" si="1"/>
        <v>2.7260784751199996</v>
      </c>
      <c r="K13" s="36">
        <f t="shared" si="1"/>
        <v>2.423180866773333</v>
      </c>
      <c r="L13" s="36">
        <f t="shared" si="1"/>
        <v>2.1808627800959997</v>
      </c>
    </row>
    <row r="14" spans="1:17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7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7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D7A9-10D7-48F3-A317-6BE7B9C54FA9}">
  <dimension ref="A2:AD1048310"/>
  <sheetViews>
    <sheetView zoomScale="70" zoomScaleNormal="70" workbookViewId="0">
      <selection activeCell="G7" sqref="G7"/>
    </sheetView>
  </sheetViews>
  <sheetFormatPr defaultColWidth="8.88671875" defaultRowHeight="14.7" customHeight="1"/>
  <cols>
    <col min="1" max="1" width="42.109375" style="77" bestFit="1" customWidth="1"/>
    <col min="2" max="2" width="13.6640625" style="77" customWidth="1"/>
    <col min="3" max="3" width="11.109375" style="77" customWidth="1"/>
    <col min="4" max="4" width="11.88671875" style="77" customWidth="1"/>
    <col min="5" max="5" width="19.109375" style="77" customWidth="1"/>
    <col min="6" max="6" width="14.88671875" style="77" customWidth="1"/>
    <col min="7" max="7" width="10.6640625" style="77" customWidth="1"/>
    <col min="8" max="8" width="9.109375" style="77" customWidth="1"/>
    <col min="9" max="9" width="15.88671875" style="77" bestFit="1" customWidth="1"/>
    <col min="10" max="10" width="4.33203125" style="77" customWidth="1"/>
    <col min="11" max="11" width="7" style="77" customWidth="1"/>
    <col min="12" max="12" width="7.109375" style="77" customWidth="1"/>
    <col min="13" max="13" width="8.5546875" style="77" customWidth="1"/>
    <col min="14" max="14" width="8.6640625" style="77" customWidth="1"/>
    <col min="15" max="15" width="8.88671875" style="77" customWidth="1"/>
    <col min="16" max="16" width="9" style="77" customWidth="1"/>
    <col min="17" max="18" width="9.33203125" style="77" customWidth="1"/>
    <col min="19" max="20" width="8.6640625" style="77" customWidth="1"/>
    <col min="21" max="21" width="8.88671875" style="77" customWidth="1"/>
    <col min="22" max="22" width="9.33203125" style="77" customWidth="1"/>
    <col min="23" max="23" width="12.6640625" style="77" customWidth="1"/>
    <col min="24" max="24" width="2" style="77" customWidth="1"/>
    <col min="25" max="25" width="7" style="77" customWidth="1"/>
    <col min="26" max="26" width="7.109375" style="77" customWidth="1"/>
    <col min="27" max="27" width="7.5546875" style="77" customWidth="1"/>
    <col min="28" max="28" width="8.6640625" style="77" customWidth="1"/>
    <col min="29" max="29" width="12.6640625" style="77" customWidth="1"/>
    <col min="30" max="30" width="13" style="77" customWidth="1"/>
    <col min="31" max="31" width="7.5546875" style="77" customWidth="1"/>
    <col min="32" max="171" width="11.88671875" style="77" customWidth="1"/>
    <col min="172" max="172" width="9.6640625" style="77" customWidth="1"/>
    <col min="173" max="16384" width="8.88671875" style="77"/>
  </cols>
  <sheetData>
    <row r="2" spans="1:30" ht="14.7" customHeight="1">
      <c r="A2" s="77" t="s">
        <v>164</v>
      </c>
      <c r="B2" s="77" t="s">
        <v>165</v>
      </c>
      <c r="C2" s="78" t="s">
        <v>166</v>
      </c>
      <c r="D2" s="79">
        <f>2500/3600</f>
        <v>0.69444444444444442</v>
      </c>
    </row>
    <row r="3" spans="1:30" ht="14.7" customHeight="1">
      <c r="A3" s="77" t="s">
        <v>167</v>
      </c>
      <c r="B3" s="77" t="s">
        <v>168</v>
      </c>
      <c r="C3" s="78" t="s">
        <v>166</v>
      </c>
      <c r="D3" s="79">
        <f>20/(80+7)</f>
        <v>0.22988505747126436</v>
      </c>
      <c r="E3" s="78" t="s">
        <v>169</v>
      </c>
    </row>
    <row r="4" spans="1:30" ht="14.7" customHeight="1">
      <c r="A4" s="77" t="s">
        <v>170</v>
      </c>
      <c r="B4" s="77" t="s">
        <v>171</v>
      </c>
    </row>
    <row r="5" spans="1:30" ht="14.7" customHeight="1" thickBot="1"/>
    <row r="6" spans="1:30" ht="14.85" customHeight="1" thickBot="1">
      <c r="A6" s="243" t="s">
        <v>172</v>
      </c>
      <c r="B6" s="244"/>
      <c r="C6" s="244"/>
      <c r="D6" s="244"/>
      <c r="E6" s="245"/>
      <c r="F6" s="80"/>
      <c r="G6" s="81"/>
      <c r="H6" s="81"/>
      <c r="I6" s="81"/>
      <c r="J6" s="246"/>
      <c r="K6" s="246"/>
      <c r="L6" s="246"/>
      <c r="M6" s="246"/>
      <c r="N6" s="246"/>
      <c r="O6" s="246"/>
      <c r="P6" s="246"/>
    </row>
    <row r="7" spans="1:30" ht="19.2" customHeight="1">
      <c r="A7" s="247" t="s">
        <v>173</v>
      </c>
      <c r="B7" s="248"/>
      <c r="C7" s="249"/>
      <c r="D7" s="250" t="s">
        <v>174</v>
      </c>
      <c r="E7" s="251"/>
      <c r="F7" s="80"/>
      <c r="I7" s="252" t="s">
        <v>175</v>
      </c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Y7" s="243" t="s">
        <v>176</v>
      </c>
      <c r="Z7" s="244"/>
      <c r="AA7" s="244"/>
      <c r="AB7" s="244"/>
      <c r="AC7" s="244"/>
      <c r="AD7" s="244"/>
    </row>
    <row r="8" spans="1:30" ht="70.2" customHeight="1">
      <c r="A8" s="221" t="s">
        <v>177</v>
      </c>
      <c r="B8" s="222"/>
      <c r="C8" s="222"/>
      <c r="D8" s="195" t="s">
        <v>178</v>
      </c>
      <c r="E8" s="82" t="s">
        <v>179</v>
      </c>
      <c r="F8" s="83"/>
      <c r="I8" s="84" t="s">
        <v>180</v>
      </c>
      <c r="K8" s="84" t="s">
        <v>181</v>
      </c>
      <c r="L8" s="84" t="s">
        <v>182</v>
      </c>
      <c r="M8" s="85" t="s">
        <v>183</v>
      </c>
      <c r="N8" s="85" t="s">
        <v>184</v>
      </c>
      <c r="O8" s="85" t="s">
        <v>185</v>
      </c>
      <c r="P8" s="85" t="s">
        <v>186</v>
      </c>
      <c r="Q8" s="85" t="s">
        <v>187</v>
      </c>
      <c r="R8" s="85" t="s">
        <v>188</v>
      </c>
      <c r="S8" s="85" t="s">
        <v>189</v>
      </c>
      <c r="T8" s="85" t="s">
        <v>190</v>
      </c>
      <c r="U8" s="85" t="s">
        <v>191</v>
      </c>
      <c r="V8" s="85" t="s">
        <v>192</v>
      </c>
      <c r="W8" s="85" t="s">
        <v>193</v>
      </c>
      <c r="Z8" s="84" t="s">
        <v>181</v>
      </c>
      <c r="AA8" s="84" t="s">
        <v>182</v>
      </c>
      <c r="AB8" s="85" t="s">
        <v>183</v>
      </c>
      <c r="AC8" s="85" t="s">
        <v>194</v>
      </c>
      <c r="AD8" s="85" t="s">
        <v>193</v>
      </c>
    </row>
    <row r="9" spans="1:30" ht="14.7" customHeight="1" thickBot="1">
      <c r="A9" s="223" t="s">
        <v>195</v>
      </c>
      <c r="B9" s="224"/>
      <c r="C9" s="86">
        <v>3000</v>
      </c>
      <c r="D9" s="87">
        <v>10</v>
      </c>
      <c r="E9" s="88">
        <f>D9*C9</f>
        <v>30000</v>
      </c>
      <c r="F9" s="89"/>
      <c r="I9" s="90"/>
      <c r="J9" s="90">
        <v>1</v>
      </c>
      <c r="K9" s="91">
        <v>1</v>
      </c>
      <c r="L9" s="92">
        <v>0</v>
      </c>
      <c r="M9" s="93">
        <f>+$M$32</f>
        <v>3000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94">
        <v>0</v>
      </c>
      <c r="U9" s="94">
        <v>0</v>
      </c>
      <c r="V9" s="94">
        <v>0</v>
      </c>
      <c r="W9" s="93">
        <f>SUM(N9:V9)*3600</f>
        <v>0</v>
      </c>
      <c r="Y9" s="90">
        <v>1</v>
      </c>
      <c r="Z9" s="91">
        <v>1</v>
      </c>
      <c r="AA9" s="92">
        <v>0</v>
      </c>
      <c r="AB9" s="93">
        <f>$AB$32</f>
        <v>3000</v>
      </c>
      <c r="AC9" s="94">
        <v>0</v>
      </c>
      <c r="AD9" s="93">
        <f>+AC9*3600</f>
        <v>0</v>
      </c>
    </row>
    <row r="10" spans="1:30" ht="14.7" customHeight="1">
      <c r="E10" s="95">
        <f>+E9</f>
        <v>30000</v>
      </c>
      <c r="F10" s="96"/>
      <c r="I10" s="90"/>
      <c r="J10" s="90">
        <v>2</v>
      </c>
      <c r="K10" s="91">
        <v>4.1666666666666664E-2</v>
      </c>
      <c r="L10" s="92">
        <v>0</v>
      </c>
      <c r="M10" s="93">
        <f t="shared" ref="M10:M14" si="0">+$M$32</f>
        <v>3000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0</v>
      </c>
      <c r="U10" s="94">
        <v>0</v>
      </c>
      <c r="V10" s="94">
        <v>0</v>
      </c>
      <c r="W10" s="93">
        <f t="shared" ref="W10:W32" si="1">SUM(N10:V10)*3600+W9</f>
        <v>0</v>
      </c>
      <c r="Y10" s="90">
        <v>2</v>
      </c>
      <c r="Z10" s="91">
        <v>4.1666666666666664E-2</v>
      </c>
      <c r="AA10" s="92">
        <v>0</v>
      </c>
      <c r="AB10" s="93">
        <f t="shared" ref="AB10:AB14" si="2">$AB$32</f>
        <v>3000</v>
      </c>
      <c r="AC10" s="94">
        <v>0</v>
      </c>
      <c r="AD10" s="93">
        <f>SUM(AC10)*3600+AD9</f>
        <v>0</v>
      </c>
    </row>
    <row r="11" spans="1:30" ht="14.85" customHeight="1">
      <c r="F11" s="97"/>
      <c r="I11" s="90"/>
      <c r="J11" s="90">
        <v>3</v>
      </c>
      <c r="K11" s="91">
        <v>8.3333333333333329E-2</v>
      </c>
      <c r="L11" s="92">
        <v>0</v>
      </c>
      <c r="M11" s="93">
        <f t="shared" si="0"/>
        <v>3000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0</v>
      </c>
      <c r="U11" s="94">
        <v>0</v>
      </c>
      <c r="V11" s="94">
        <v>0</v>
      </c>
      <c r="W11" s="93">
        <f>SUM(N11:V11)*3600+W10</f>
        <v>0</v>
      </c>
      <c r="Y11" s="90">
        <v>3</v>
      </c>
      <c r="Z11" s="91">
        <v>8.3333333333333329E-2</v>
      </c>
      <c r="AA11" s="92">
        <v>0</v>
      </c>
      <c r="AB11" s="93">
        <f t="shared" si="2"/>
        <v>3000</v>
      </c>
      <c r="AC11" s="94">
        <v>0</v>
      </c>
      <c r="AD11" s="93">
        <f t="shared" ref="AD11:AD32" si="3">SUM(AC11)*3600+AD10</f>
        <v>0</v>
      </c>
    </row>
    <row r="12" spans="1:30" ht="14.85" customHeight="1">
      <c r="A12" s="225" t="s">
        <v>196</v>
      </c>
      <c r="B12" s="225"/>
      <c r="C12" s="225"/>
      <c r="D12" s="225"/>
      <c r="E12" s="225"/>
      <c r="F12" s="225"/>
      <c r="G12" s="225"/>
      <c r="I12" s="90"/>
      <c r="J12" s="90">
        <v>4</v>
      </c>
      <c r="K12" s="91">
        <v>0.125</v>
      </c>
      <c r="L12" s="92">
        <v>0</v>
      </c>
      <c r="M12" s="93">
        <f t="shared" si="0"/>
        <v>3000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  <c r="W12" s="93">
        <f>SUM(N12:V12)*3600+W11</f>
        <v>0</v>
      </c>
      <c r="Y12" s="90">
        <v>4</v>
      </c>
      <c r="Z12" s="91">
        <v>0.125</v>
      </c>
      <c r="AA12" s="92">
        <v>0</v>
      </c>
      <c r="AB12" s="93">
        <f t="shared" si="2"/>
        <v>3000</v>
      </c>
      <c r="AC12" s="94">
        <v>0</v>
      </c>
      <c r="AD12" s="93">
        <f t="shared" si="3"/>
        <v>0</v>
      </c>
    </row>
    <row r="13" spans="1:30" ht="38.25" customHeight="1">
      <c r="A13" s="98" t="s">
        <v>197</v>
      </c>
      <c r="B13" s="98" t="s">
        <v>198</v>
      </c>
      <c r="C13" s="98" t="s">
        <v>166</v>
      </c>
      <c r="D13" s="98" t="s">
        <v>199</v>
      </c>
      <c r="E13" s="195" t="s">
        <v>200</v>
      </c>
      <c r="F13" s="98" t="s">
        <v>201</v>
      </c>
      <c r="G13" s="98" t="s">
        <v>202</v>
      </c>
      <c r="I13" s="90"/>
      <c r="J13" s="90">
        <v>5</v>
      </c>
      <c r="K13" s="91">
        <v>0.16666666666666666</v>
      </c>
      <c r="L13" s="92">
        <v>0</v>
      </c>
      <c r="M13" s="93">
        <f t="shared" si="0"/>
        <v>3000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  <c r="U13" s="94">
        <v>0</v>
      </c>
      <c r="V13" s="94">
        <v>0</v>
      </c>
      <c r="W13" s="93">
        <f>SUM(N13:V13)*3600+W12</f>
        <v>0</v>
      </c>
      <c r="Y13" s="90">
        <v>5</v>
      </c>
      <c r="Z13" s="91">
        <v>0.16666666666666666</v>
      </c>
      <c r="AA13" s="92">
        <v>0</v>
      </c>
      <c r="AB13" s="93">
        <f t="shared" si="2"/>
        <v>3000</v>
      </c>
      <c r="AC13" s="94">
        <v>0</v>
      </c>
      <c r="AD13" s="93">
        <f t="shared" si="3"/>
        <v>0</v>
      </c>
    </row>
    <row r="14" spans="1:30" ht="14.7" customHeight="1">
      <c r="A14" s="226" t="s">
        <v>203</v>
      </c>
      <c r="B14" s="99">
        <v>1</v>
      </c>
      <c r="C14" s="100">
        <f>+$D$3</f>
        <v>0.22988505747126436</v>
      </c>
      <c r="D14" s="101">
        <f>+C14</f>
        <v>0.22988505747126436</v>
      </c>
      <c r="E14" s="102">
        <v>5</v>
      </c>
      <c r="F14" s="103">
        <f>D14*E14*3600/$D$9</f>
        <v>413.79310344827582</v>
      </c>
      <c r="G14" s="103">
        <f>BenConsAndStorage!F14*BenConsAndStorage!$D$9</f>
        <v>4137.9310344827582</v>
      </c>
      <c r="I14" s="90"/>
      <c r="J14" s="90">
        <v>6</v>
      </c>
      <c r="K14" s="91">
        <v>0.20833333333333334</v>
      </c>
      <c r="L14" s="92">
        <v>0</v>
      </c>
      <c r="M14" s="93">
        <f t="shared" si="0"/>
        <v>3000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  <c r="W14" s="93">
        <f>SUM(N14:V14)*3600+W13</f>
        <v>0</v>
      </c>
      <c r="Y14" s="90">
        <v>6</v>
      </c>
      <c r="Z14" s="91">
        <v>0.20833333333333334</v>
      </c>
      <c r="AA14" s="92">
        <v>0</v>
      </c>
      <c r="AB14" s="93">
        <f t="shared" si="2"/>
        <v>3000</v>
      </c>
      <c r="AC14" s="94">
        <v>0</v>
      </c>
      <c r="AD14" s="93">
        <f t="shared" si="3"/>
        <v>0</v>
      </c>
    </row>
    <row r="15" spans="1:30" ht="14.7" customHeight="1">
      <c r="A15" s="227"/>
      <c r="B15" s="99">
        <v>2</v>
      </c>
      <c r="C15" s="100">
        <f t="shared" ref="C15:C22" si="4">+$D$3</f>
        <v>0.22988505747126436</v>
      </c>
      <c r="D15" s="101">
        <f t="shared" ref="D15:D22" si="5">+C15</f>
        <v>0.22988505747126436</v>
      </c>
      <c r="E15" s="102">
        <v>5</v>
      </c>
      <c r="F15" s="103">
        <f t="shared" ref="F15:F22" si="6">D15*E15*3600/$D$9</f>
        <v>413.79310344827582</v>
      </c>
      <c r="G15" s="103">
        <f>BenConsAndStorage!F15*BenConsAndStorage!$D$9</f>
        <v>4137.9310344827582</v>
      </c>
      <c r="I15" s="90"/>
      <c r="J15" s="90">
        <v>7</v>
      </c>
      <c r="K15" s="91">
        <v>0.25</v>
      </c>
      <c r="L15" s="92">
        <v>0</v>
      </c>
      <c r="M15" s="93">
        <f>(L15*3600)+M14-SUM(N15:V15)*3600</f>
        <v>1344.8275862068965</v>
      </c>
      <c r="N15" s="94">
        <f>+$D$14</f>
        <v>0.22988505747126436</v>
      </c>
      <c r="O15" s="94">
        <f t="shared" ref="O15:O19" si="7">+$D$15</f>
        <v>0.22988505747126436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  <c r="U15" s="94">
        <v>0</v>
      </c>
      <c r="V15" s="94">
        <v>0</v>
      </c>
      <c r="W15" s="93">
        <f>SUM(N15:V15)*3600+W14</f>
        <v>1655.1724137931035</v>
      </c>
      <c r="Y15" s="90">
        <v>7</v>
      </c>
      <c r="Z15" s="91">
        <v>0.25</v>
      </c>
      <c r="AA15" s="92">
        <v>0</v>
      </c>
      <c r="AB15" s="93">
        <f t="shared" ref="AB15:AB22" si="8">+(AA15*3600)-(AC15*3600)+AB14</f>
        <v>517.24137931034466</v>
      </c>
      <c r="AC15" s="94">
        <f>+$D$14*3</f>
        <v>0.68965517241379315</v>
      </c>
      <c r="AD15" s="93">
        <f t="shared" si="3"/>
        <v>2482.7586206896553</v>
      </c>
    </row>
    <row r="16" spans="1:30" ht="14.7" customHeight="1">
      <c r="A16" s="227"/>
      <c r="B16" s="99">
        <v>3</v>
      </c>
      <c r="C16" s="100">
        <f t="shared" si="4"/>
        <v>0.22988505747126436</v>
      </c>
      <c r="D16" s="101">
        <f t="shared" si="5"/>
        <v>0.22988505747126436</v>
      </c>
      <c r="E16" s="102">
        <v>4</v>
      </c>
      <c r="F16" s="103">
        <f t="shared" si="6"/>
        <v>331.0344827586207</v>
      </c>
      <c r="G16" s="103">
        <f>BenConsAndStorage!F16*BenConsAndStorage!$D$9</f>
        <v>3310.344827586207</v>
      </c>
      <c r="I16" s="116" t="s">
        <v>204</v>
      </c>
      <c r="J16" s="90">
        <v>8</v>
      </c>
      <c r="K16" s="91">
        <v>0.29166666666666669</v>
      </c>
      <c r="L16" s="92">
        <f>+$D$2</f>
        <v>0.69444444444444442</v>
      </c>
      <c r="M16" s="93">
        <f t="shared" ref="M16:M32" si="9">(L16*3600)+M15-SUM(N16:V16)*3600</f>
        <v>2189.6551724137935</v>
      </c>
      <c r="N16" s="94">
        <f t="shared" ref="N16:N19" si="10">+$D$14</f>
        <v>0.22988505747126436</v>
      </c>
      <c r="O16" s="94">
        <f t="shared" si="7"/>
        <v>0.22988505747126436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  <c r="W16" s="93">
        <f t="shared" si="1"/>
        <v>3310.344827586207</v>
      </c>
      <c r="Y16" s="90">
        <v>8</v>
      </c>
      <c r="Z16" s="91">
        <v>0.29166666666666669</v>
      </c>
      <c r="AA16" s="92">
        <f>+$D$2</f>
        <v>0.69444444444444442</v>
      </c>
      <c r="AB16" s="93">
        <f t="shared" si="8"/>
        <v>534.48275862068931</v>
      </c>
      <c r="AC16" s="94">
        <f t="shared" ref="AC16:AC26" si="11">+$D$14*3</f>
        <v>0.68965517241379315</v>
      </c>
      <c r="AD16" s="93">
        <f t="shared" si="3"/>
        <v>4965.5172413793107</v>
      </c>
    </row>
    <row r="17" spans="1:30" ht="14.7" customHeight="1">
      <c r="A17" s="227"/>
      <c r="B17" s="99">
        <v>4</v>
      </c>
      <c r="C17" s="100">
        <f t="shared" si="4"/>
        <v>0.22988505747126436</v>
      </c>
      <c r="D17" s="101">
        <f t="shared" si="5"/>
        <v>0.22988505747126436</v>
      </c>
      <c r="E17" s="102">
        <v>4</v>
      </c>
      <c r="F17" s="103">
        <f t="shared" si="6"/>
        <v>331.0344827586207</v>
      </c>
      <c r="G17" s="103">
        <f>BenConsAndStorage!F17*BenConsAndStorage!$D$9</f>
        <v>3310.344827586207</v>
      </c>
      <c r="I17" s="116" t="s">
        <v>204</v>
      </c>
      <c r="J17" s="90">
        <v>9</v>
      </c>
      <c r="K17" s="91">
        <v>0.33333333333333331</v>
      </c>
      <c r="L17" s="92">
        <f t="shared" ref="L17:L29" si="12">+$D$2</f>
        <v>0.69444444444444442</v>
      </c>
      <c r="M17" s="93">
        <f t="shared" si="9"/>
        <v>2206.8965517241381</v>
      </c>
      <c r="N17" s="94">
        <f t="shared" si="10"/>
        <v>0.22988505747126436</v>
      </c>
      <c r="O17" s="94">
        <f t="shared" si="7"/>
        <v>0.22988505747126436</v>
      </c>
      <c r="P17" s="94">
        <f t="shared" ref="P17:P20" si="13">+$D$16</f>
        <v>0.22988505747126436</v>
      </c>
      <c r="Q17" s="94">
        <v>0</v>
      </c>
      <c r="R17" s="94">
        <v>0</v>
      </c>
      <c r="S17" s="94">
        <v>0</v>
      </c>
      <c r="T17" s="94">
        <v>0</v>
      </c>
      <c r="U17" s="94">
        <v>0</v>
      </c>
      <c r="V17" s="94">
        <v>0</v>
      </c>
      <c r="W17" s="93">
        <f t="shared" si="1"/>
        <v>5793.1034482758623</v>
      </c>
      <c r="Y17" s="90">
        <v>9</v>
      </c>
      <c r="Z17" s="91">
        <v>0.33333333333333331</v>
      </c>
      <c r="AA17" s="92">
        <f t="shared" ref="AA17:AA29" si="14">+$D$2</f>
        <v>0.69444444444444442</v>
      </c>
      <c r="AB17" s="93">
        <f t="shared" si="8"/>
        <v>551.72413793103397</v>
      </c>
      <c r="AC17" s="94">
        <f t="shared" si="11"/>
        <v>0.68965517241379315</v>
      </c>
      <c r="AD17" s="93">
        <f t="shared" si="3"/>
        <v>7448.2758620689656</v>
      </c>
    </row>
    <row r="18" spans="1:30" ht="15.6" customHeight="1">
      <c r="A18" s="227"/>
      <c r="B18" s="99">
        <v>5</v>
      </c>
      <c r="C18" s="100">
        <f t="shared" si="4"/>
        <v>0.22988505747126436</v>
      </c>
      <c r="D18" s="101">
        <f t="shared" si="5"/>
        <v>0.22988505747126436</v>
      </c>
      <c r="E18" s="102">
        <v>4</v>
      </c>
      <c r="F18" s="103">
        <f t="shared" si="6"/>
        <v>331.0344827586207</v>
      </c>
      <c r="G18" s="103">
        <f>BenConsAndStorage!F18*BenConsAndStorage!$D$9</f>
        <v>3310.344827586207</v>
      </c>
      <c r="I18" s="116" t="s">
        <v>204</v>
      </c>
      <c r="J18" s="90">
        <v>10</v>
      </c>
      <c r="K18" s="91">
        <v>0.375</v>
      </c>
      <c r="L18" s="92">
        <f t="shared" si="12"/>
        <v>0.69444444444444442</v>
      </c>
      <c r="M18" s="93">
        <f t="shared" si="9"/>
        <v>2224.1379310344823</v>
      </c>
      <c r="N18" s="94">
        <f t="shared" si="10"/>
        <v>0.22988505747126436</v>
      </c>
      <c r="O18" s="94">
        <f t="shared" si="7"/>
        <v>0.22988505747126436</v>
      </c>
      <c r="P18" s="94">
        <f t="shared" si="13"/>
        <v>0.22988505747126436</v>
      </c>
      <c r="Q18" s="94">
        <v>0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  <c r="W18" s="93">
        <f t="shared" si="1"/>
        <v>8275.8620689655181</v>
      </c>
      <c r="Y18" s="90">
        <v>10</v>
      </c>
      <c r="Z18" s="91">
        <v>0.375</v>
      </c>
      <c r="AA18" s="92">
        <f t="shared" si="14"/>
        <v>0.69444444444444442</v>
      </c>
      <c r="AB18" s="93">
        <f t="shared" si="8"/>
        <v>568.96551724137862</v>
      </c>
      <c r="AC18" s="94">
        <f t="shared" si="11"/>
        <v>0.68965517241379315</v>
      </c>
      <c r="AD18" s="93">
        <f t="shared" si="3"/>
        <v>9931.0344827586214</v>
      </c>
    </row>
    <row r="19" spans="1:30" ht="14.7" customHeight="1">
      <c r="A19" s="227"/>
      <c r="B19" s="99">
        <v>6</v>
      </c>
      <c r="C19" s="100">
        <f t="shared" si="4"/>
        <v>0.22988505747126436</v>
      </c>
      <c r="D19" s="101">
        <f t="shared" si="5"/>
        <v>0.22988505747126436</v>
      </c>
      <c r="E19" s="102">
        <v>4</v>
      </c>
      <c r="F19" s="103">
        <f t="shared" si="6"/>
        <v>331.0344827586207</v>
      </c>
      <c r="G19" s="103">
        <f>BenConsAndStorage!F19*BenConsAndStorage!$D$9</f>
        <v>3310.344827586207</v>
      </c>
      <c r="I19" s="116" t="s">
        <v>204</v>
      </c>
      <c r="J19" s="90">
        <v>11</v>
      </c>
      <c r="K19" s="91">
        <v>0.41666666666666669</v>
      </c>
      <c r="L19" s="92">
        <f t="shared" si="12"/>
        <v>0.69444444444444442</v>
      </c>
      <c r="M19" s="93">
        <f t="shared" si="9"/>
        <v>1413.7931034482749</v>
      </c>
      <c r="N19" s="94">
        <f t="shared" si="10"/>
        <v>0.22988505747126436</v>
      </c>
      <c r="O19" s="94">
        <f t="shared" si="7"/>
        <v>0.22988505747126436</v>
      </c>
      <c r="P19" s="94">
        <f t="shared" si="13"/>
        <v>0.22988505747126436</v>
      </c>
      <c r="Q19" s="94">
        <f t="shared" ref="Q19:Q22" si="15">+$D$17</f>
        <v>0.22988505747126436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  <c r="W19" s="93">
        <f t="shared" si="1"/>
        <v>11586.206896551725</v>
      </c>
      <c r="Y19" s="90">
        <v>11</v>
      </c>
      <c r="Z19" s="91">
        <v>0.41666666666666669</v>
      </c>
      <c r="AA19" s="92">
        <f t="shared" si="14"/>
        <v>0.69444444444444442</v>
      </c>
      <c r="AB19" s="93">
        <f t="shared" si="8"/>
        <v>586.20689655172328</v>
      </c>
      <c r="AC19" s="94">
        <f t="shared" si="11"/>
        <v>0.68965517241379315</v>
      </c>
      <c r="AD19" s="93">
        <f t="shared" si="3"/>
        <v>12413.793103448277</v>
      </c>
    </row>
    <row r="20" spans="1:30" ht="14.7" customHeight="1">
      <c r="A20" s="227"/>
      <c r="B20" s="99">
        <v>7</v>
      </c>
      <c r="C20" s="100">
        <f t="shared" si="4"/>
        <v>0.22988505747126436</v>
      </c>
      <c r="D20" s="101">
        <f t="shared" si="5"/>
        <v>0.22988505747126436</v>
      </c>
      <c r="E20" s="102">
        <v>4</v>
      </c>
      <c r="F20" s="103">
        <f t="shared" si="6"/>
        <v>331.0344827586207</v>
      </c>
      <c r="G20" s="103">
        <f>BenConsAndStorage!F20*BenConsAndStorage!$D$9</f>
        <v>3310.344827586207</v>
      </c>
      <c r="I20" s="116" t="s">
        <v>204</v>
      </c>
      <c r="J20" s="90">
        <v>12</v>
      </c>
      <c r="K20" s="91">
        <v>0.45833333333333331</v>
      </c>
      <c r="L20" s="92">
        <f t="shared" si="12"/>
        <v>0.69444444444444442</v>
      </c>
      <c r="M20" s="93">
        <f t="shared" si="9"/>
        <v>1431.0344827586196</v>
      </c>
      <c r="N20" s="94">
        <v>0</v>
      </c>
      <c r="O20" s="94">
        <v>0</v>
      </c>
      <c r="P20" s="94">
        <f t="shared" si="13"/>
        <v>0.22988505747126436</v>
      </c>
      <c r="Q20" s="94">
        <f t="shared" si="15"/>
        <v>0.22988505747126436</v>
      </c>
      <c r="R20" s="94">
        <f t="shared" ref="R20:R23" si="16">+$D$18</f>
        <v>0.22988505747126436</v>
      </c>
      <c r="S20" s="94">
        <v>0</v>
      </c>
      <c r="T20" s="94">
        <v>0</v>
      </c>
      <c r="U20" s="94">
        <v>0</v>
      </c>
      <c r="V20" s="94">
        <v>0</v>
      </c>
      <c r="W20" s="93">
        <f t="shared" si="1"/>
        <v>14068.96551724138</v>
      </c>
      <c r="Y20" s="90">
        <v>12</v>
      </c>
      <c r="Z20" s="91">
        <v>0.45833333333333331</v>
      </c>
      <c r="AA20" s="92">
        <f t="shared" si="14"/>
        <v>0.69444444444444442</v>
      </c>
      <c r="AB20" s="93">
        <f t="shared" si="8"/>
        <v>603.44827586206793</v>
      </c>
      <c r="AC20" s="94">
        <f t="shared" si="11"/>
        <v>0.68965517241379315</v>
      </c>
      <c r="AD20" s="93">
        <f t="shared" si="3"/>
        <v>14896.551724137933</v>
      </c>
    </row>
    <row r="21" spans="1:30" ht="14.7" customHeight="1">
      <c r="A21" s="227"/>
      <c r="B21" s="99">
        <v>8</v>
      </c>
      <c r="C21" s="100">
        <f t="shared" si="4"/>
        <v>0.22988505747126436</v>
      </c>
      <c r="D21" s="101">
        <f t="shared" si="5"/>
        <v>0.22988505747126436</v>
      </c>
      <c r="E21" s="102">
        <v>4</v>
      </c>
      <c r="F21" s="103">
        <f t="shared" si="6"/>
        <v>331.0344827586207</v>
      </c>
      <c r="G21" s="103">
        <f>BenConsAndStorage!F21*BenConsAndStorage!$D$9</f>
        <v>3310.344827586207</v>
      </c>
      <c r="I21" s="116" t="s">
        <v>204</v>
      </c>
      <c r="J21" s="90">
        <v>13</v>
      </c>
      <c r="K21" s="91">
        <v>0.5</v>
      </c>
      <c r="L21" s="92">
        <f t="shared" si="12"/>
        <v>0.69444444444444442</v>
      </c>
      <c r="M21" s="93">
        <f t="shared" si="9"/>
        <v>1448.2758620689642</v>
      </c>
      <c r="N21" s="94">
        <v>0</v>
      </c>
      <c r="O21" s="94">
        <v>0</v>
      </c>
      <c r="P21" s="94">
        <v>0</v>
      </c>
      <c r="Q21" s="94">
        <f t="shared" si="15"/>
        <v>0.22988505747126436</v>
      </c>
      <c r="R21" s="94">
        <f t="shared" si="16"/>
        <v>0.22988505747126436</v>
      </c>
      <c r="S21" s="94">
        <f t="shared" ref="S21:S24" si="17">+$D$19</f>
        <v>0.22988505747126436</v>
      </c>
      <c r="T21" s="94">
        <v>0</v>
      </c>
      <c r="U21" s="94">
        <v>0</v>
      </c>
      <c r="V21" s="94">
        <v>0</v>
      </c>
      <c r="W21" s="93">
        <f t="shared" si="1"/>
        <v>16551.724137931036</v>
      </c>
      <c r="Y21" s="90">
        <v>13</v>
      </c>
      <c r="Z21" s="91">
        <v>0.5</v>
      </c>
      <c r="AA21" s="92">
        <f t="shared" si="14"/>
        <v>0.69444444444444442</v>
      </c>
      <c r="AB21" s="93">
        <f t="shared" si="8"/>
        <v>620.68965517241259</v>
      </c>
      <c r="AC21" s="94">
        <f t="shared" si="11"/>
        <v>0.68965517241379315</v>
      </c>
      <c r="AD21" s="93">
        <f t="shared" si="3"/>
        <v>17379.310344827587</v>
      </c>
    </row>
    <row r="22" spans="1:30" ht="14.7" customHeight="1">
      <c r="A22" s="228"/>
      <c r="B22" s="99">
        <v>9</v>
      </c>
      <c r="C22" s="100">
        <f t="shared" si="4"/>
        <v>0.22988505747126436</v>
      </c>
      <c r="D22" s="101">
        <f t="shared" si="5"/>
        <v>0.22988505747126436</v>
      </c>
      <c r="E22" s="102">
        <v>4</v>
      </c>
      <c r="F22" s="103">
        <f t="shared" si="6"/>
        <v>331.0344827586207</v>
      </c>
      <c r="G22" s="103">
        <f>BenConsAndStorage!F22*BenConsAndStorage!$D$9</f>
        <v>3310.344827586207</v>
      </c>
      <c r="I22" s="116" t="s">
        <v>204</v>
      </c>
      <c r="J22" s="90">
        <v>14</v>
      </c>
      <c r="K22" s="91">
        <v>0.54166666666666663</v>
      </c>
      <c r="L22" s="92">
        <f t="shared" si="12"/>
        <v>0.69444444444444442</v>
      </c>
      <c r="M22" s="93">
        <f t="shared" si="9"/>
        <v>1465.5172413793089</v>
      </c>
      <c r="N22" s="94">
        <v>0</v>
      </c>
      <c r="O22" s="94">
        <v>0</v>
      </c>
      <c r="P22" s="94">
        <v>0</v>
      </c>
      <c r="Q22" s="94">
        <f t="shared" si="15"/>
        <v>0.22988505747126436</v>
      </c>
      <c r="R22" s="94">
        <f t="shared" si="16"/>
        <v>0.22988505747126436</v>
      </c>
      <c r="S22" s="94">
        <f t="shared" si="17"/>
        <v>0.22988505747126436</v>
      </c>
      <c r="T22" s="94">
        <v>0</v>
      </c>
      <c r="U22" s="94">
        <v>0</v>
      </c>
      <c r="V22" s="94">
        <v>0</v>
      </c>
      <c r="W22" s="93">
        <f t="shared" si="1"/>
        <v>19034.482758620692</v>
      </c>
      <c r="Y22" s="90">
        <v>14</v>
      </c>
      <c r="Z22" s="91">
        <v>0.54166666666666663</v>
      </c>
      <c r="AA22" s="92">
        <f t="shared" si="14"/>
        <v>0.69444444444444442</v>
      </c>
      <c r="AB22" s="93">
        <f t="shared" si="8"/>
        <v>637.93103448275724</v>
      </c>
      <c r="AC22" s="94">
        <f t="shared" si="11"/>
        <v>0.68965517241379315</v>
      </c>
      <c r="AD22" s="93">
        <f t="shared" si="3"/>
        <v>19862.068965517243</v>
      </c>
    </row>
    <row r="23" spans="1:30" ht="14.7" customHeight="1">
      <c r="A23" s="229" t="s">
        <v>205</v>
      </c>
      <c r="B23" s="229"/>
      <c r="C23" s="229"/>
      <c r="D23" s="104">
        <f>+SUM(D14:D22)</f>
        <v>2.068965517241379</v>
      </c>
      <c r="E23" s="104" t="s">
        <v>206</v>
      </c>
      <c r="F23" s="105">
        <f>+SUM(F14:F22)</f>
        <v>3144.8275862068958</v>
      </c>
      <c r="G23" s="105">
        <f>+SUM(G14:G22)</f>
        <v>31448.275862068964</v>
      </c>
      <c r="I23" s="116" t="s">
        <v>204</v>
      </c>
      <c r="J23" s="90">
        <v>15</v>
      </c>
      <c r="K23" s="91">
        <v>0.58333333333333337</v>
      </c>
      <c r="L23" s="92">
        <f t="shared" si="12"/>
        <v>0.69444444444444442</v>
      </c>
      <c r="M23" s="93">
        <f t="shared" si="9"/>
        <v>1482.7586206896535</v>
      </c>
      <c r="N23" s="94">
        <v>0</v>
      </c>
      <c r="O23" s="94">
        <v>0</v>
      </c>
      <c r="P23" s="94">
        <v>0</v>
      </c>
      <c r="Q23" s="94">
        <v>0</v>
      </c>
      <c r="R23" s="94">
        <f t="shared" si="16"/>
        <v>0.22988505747126436</v>
      </c>
      <c r="S23" s="94">
        <f t="shared" si="17"/>
        <v>0.22988505747126436</v>
      </c>
      <c r="T23" s="94">
        <f t="shared" ref="T23:T26" si="18">+$D$20</f>
        <v>0.22988505747126436</v>
      </c>
      <c r="U23" s="94">
        <v>0</v>
      </c>
      <c r="V23" s="94">
        <v>0</v>
      </c>
      <c r="W23" s="93">
        <f t="shared" si="1"/>
        <v>21517.241379310348</v>
      </c>
      <c r="Y23" s="90">
        <v>15</v>
      </c>
      <c r="Z23" s="91">
        <v>0.58333333333333337</v>
      </c>
      <c r="AA23" s="92">
        <f t="shared" si="14"/>
        <v>0.69444444444444442</v>
      </c>
      <c r="AB23" s="93">
        <f>+(AA23*3600)-(AC23*3600)+AB22</f>
        <v>655.1724137931019</v>
      </c>
      <c r="AC23" s="94">
        <f t="shared" si="11"/>
        <v>0.68965517241379315</v>
      </c>
      <c r="AD23" s="93">
        <f t="shared" si="3"/>
        <v>22344.827586206899</v>
      </c>
    </row>
    <row r="24" spans="1:30" ht="14.7" customHeight="1">
      <c r="B24" s="106"/>
      <c r="I24" s="116" t="s">
        <v>204</v>
      </c>
      <c r="J24" s="90">
        <v>16</v>
      </c>
      <c r="K24" s="91">
        <v>0.625</v>
      </c>
      <c r="L24" s="92">
        <f t="shared" si="12"/>
        <v>0.69444444444444442</v>
      </c>
      <c r="M24" s="93">
        <f t="shared" si="9"/>
        <v>672.41379310344655</v>
      </c>
      <c r="N24" s="94">
        <v>0</v>
      </c>
      <c r="O24" s="94">
        <v>0</v>
      </c>
      <c r="P24" s="94">
        <v>0</v>
      </c>
      <c r="Q24" s="94">
        <v>0</v>
      </c>
      <c r="R24" s="94">
        <v>0</v>
      </c>
      <c r="S24" s="94">
        <f t="shared" si="17"/>
        <v>0.22988505747126436</v>
      </c>
      <c r="T24" s="94">
        <f t="shared" si="18"/>
        <v>0.22988505747126436</v>
      </c>
      <c r="U24" s="94">
        <f t="shared" ref="U24:U27" si="19">+$D$21</f>
        <v>0.22988505747126436</v>
      </c>
      <c r="V24" s="94">
        <f t="shared" ref="V24:V27" si="20">+$D$22</f>
        <v>0.22988505747126436</v>
      </c>
      <c r="W24" s="93">
        <f t="shared" si="1"/>
        <v>24827.586206896554</v>
      </c>
      <c r="Y24" s="90">
        <v>16</v>
      </c>
      <c r="Z24" s="91">
        <v>0.625</v>
      </c>
      <c r="AA24" s="92">
        <f t="shared" si="14"/>
        <v>0.69444444444444442</v>
      </c>
      <c r="AB24" s="93">
        <f t="shared" ref="AB24:AB32" si="21">+(AA24*3600)-(AC24*3600)+AB23</f>
        <v>672.41379310344655</v>
      </c>
      <c r="AC24" s="94">
        <f t="shared" si="11"/>
        <v>0.68965517241379315</v>
      </c>
      <c r="AD24" s="93">
        <f t="shared" si="3"/>
        <v>24827.586206896554</v>
      </c>
    </row>
    <row r="25" spans="1:30" ht="14.7" customHeight="1">
      <c r="A25" s="239" t="s">
        <v>207</v>
      </c>
      <c r="B25" s="239"/>
      <c r="I25" s="116" t="s">
        <v>204</v>
      </c>
      <c r="J25" s="90">
        <v>17</v>
      </c>
      <c r="K25" s="91">
        <v>0.66666666666666663</v>
      </c>
      <c r="L25" s="92">
        <f t="shared" si="12"/>
        <v>0.69444444444444442</v>
      </c>
      <c r="M25" s="93">
        <f t="shared" si="9"/>
        <v>689.65517241379121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f t="shared" si="18"/>
        <v>0.22988505747126436</v>
      </c>
      <c r="U25" s="94">
        <f t="shared" si="19"/>
        <v>0.22988505747126436</v>
      </c>
      <c r="V25" s="94">
        <f t="shared" si="20"/>
        <v>0.22988505747126436</v>
      </c>
      <c r="W25" s="93">
        <f t="shared" si="1"/>
        <v>27310.34482758621</v>
      </c>
      <c r="Y25" s="90">
        <v>17</v>
      </c>
      <c r="Z25" s="91">
        <v>0.66666666666666663</v>
      </c>
      <c r="AA25" s="92">
        <f t="shared" si="14"/>
        <v>0.69444444444444442</v>
      </c>
      <c r="AB25" s="93">
        <f t="shared" si="21"/>
        <v>689.65517241379121</v>
      </c>
      <c r="AC25" s="94">
        <f t="shared" si="11"/>
        <v>0.68965517241379315</v>
      </c>
      <c r="AD25" s="93">
        <f t="shared" si="3"/>
        <v>27310.34482758621</v>
      </c>
    </row>
    <row r="26" spans="1:30" ht="14.7" customHeight="1">
      <c r="A26" s="107" t="s">
        <v>208</v>
      </c>
      <c r="B26" s="107">
        <v>3</v>
      </c>
      <c r="I26" s="118" t="s">
        <v>209</v>
      </c>
      <c r="J26" s="90">
        <v>18</v>
      </c>
      <c r="K26" s="91">
        <v>0.70833333333333337</v>
      </c>
      <c r="L26" s="92">
        <f t="shared" si="12"/>
        <v>0.69444444444444442</v>
      </c>
      <c r="M26" s="93">
        <f t="shared" si="9"/>
        <v>706.89655172413586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f t="shared" si="18"/>
        <v>0.22988505747126436</v>
      </c>
      <c r="U26" s="94">
        <f t="shared" si="19"/>
        <v>0.22988505747126436</v>
      </c>
      <c r="V26" s="94">
        <f t="shared" si="20"/>
        <v>0.22988505747126436</v>
      </c>
      <c r="W26" s="93">
        <f t="shared" si="1"/>
        <v>29793.103448275866</v>
      </c>
      <c r="Y26" s="90">
        <v>18</v>
      </c>
      <c r="Z26" s="91">
        <v>0.70833333333333337</v>
      </c>
      <c r="AA26" s="92">
        <f t="shared" si="14"/>
        <v>0.69444444444444442</v>
      </c>
      <c r="AB26" s="93">
        <f t="shared" si="21"/>
        <v>706.89655172413586</v>
      </c>
      <c r="AC26" s="94">
        <f t="shared" si="11"/>
        <v>0.68965517241379315</v>
      </c>
      <c r="AD26" s="93">
        <f t="shared" si="3"/>
        <v>29793.103448275866</v>
      </c>
    </row>
    <row r="27" spans="1:30" ht="14.7" customHeight="1">
      <c r="A27" s="108" t="s">
        <v>106</v>
      </c>
      <c r="B27" s="109">
        <f>+B26</f>
        <v>3</v>
      </c>
      <c r="I27" s="118" t="s">
        <v>209</v>
      </c>
      <c r="J27" s="90">
        <v>19</v>
      </c>
      <c r="K27" s="91">
        <v>0.75</v>
      </c>
      <c r="L27" s="92">
        <f t="shared" si="12"/>
        <v>0.69444444444444442</v>
      </c>
      <c r="M27" s="93">
        <f t="shared" si="9"/>
        <v>1551.7241379310324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f t="shared" si="19"/>
        <v>0.22988505747126436</v>
      </c>
      <c r="V27" s="94">
        <f t="shared" si="20"/>
        <v>0.22988505747126436</v>
      </c>
      <c r="W27" s="110">
        <f t="shared" si="1"/>
        <v>31448.275862068971</v>
      </c>
      <c r="Y27" s="90">
        <v>19</v>
      </c>
      <c r="Z27" s="91">
        <v>0.75</v>
      </c>
      <c r="AA27" s="92">
        <f t="shared" si="14"/>
        <v>0.69444444444444442</v>
      </c>
      <c r="AB27" s="93">
        <f t="shared" si="21"/>
        <v>1551.7241379310324</v>
      </c>
      <c r="AC27" s="94">
        <f>+$D$14*2</f>
        <v>0.45977011494252873</v>
      </c>
      <c r="AD27" s="93">
        <f t="shared" si="3"/>
        <v>31448.275862068971</v>
      </c>
    </row>
    <row r="28" spans="1:30" ht="14.7" customHeight="1" thickBot="1">
      <c r="F28" s="77" t="s">
        <v>232</v>
      </c>
      <c r="I28" s="118" t="s">
        <v>209</v>
      </c>
      <c r="J28" s="90">
        <v>20</v>
      </c>
      <c r="K28" s="91">
        <v>0.79166666666666663</v>
      </c>
      <c r="L28" s="92">
        <f t="shared" si="12"/>
        <v>0.69444444444444442</v>
      </c>
      <c r="M28" s="93">
        <f t="shared" si="9"/>
        <v>4051.7241379310326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  <c r="V28" s="94">
        <v>0</v>
      </c>
      <c r="W28" s="110">
        <f t="shared" si="1"/>
        <v>31448.275862068971</v>
      </c>
      <c r="Y28" s="90">
        <v>20</v>
      </c>
      <c r="Z28" s="91">
        <v>0.79166666666666663</v>
      </c>
      <c r="AA28" s="92">
        <f t="shared" si="14"/>
        <v>0.69444444444444442</v>
      </c>
      <c r="AB28" s="93">
        <f t="shared" si="21"/>
        <v>4051.7241379310326</v>
      </c>
      <c r="AC28" s="94">
        <v>0</v>
      </c>
      <c r="AD28" s="93">
        <f t="shared" si="3"/>
        <v>31448.275862068971</v>
      </c>
    </row>
    <row r="29" spans="1:30" ht="14.7" customHeight="1" thickBot="1">
      <c r="A29" s="240" t="s">
        <v>210</v>
      </c>
      <c r="B29" s="241"/>
      <c r="C29" s="242"/>
      <c r="I29" s="118" t="s">
        <v>209</v>
      </c>
      <c r="J29" s="90">
        <v>21</v>
      </c>
      <c r="K29" s="91">
        <v>0.83333333333333337</v>
      </c>
      <c r="L29" s="92">
        <f t="shared" si="12"/>
        <v>0.69444444444444442</v>
      </c>
      <c r="M29" s="93">
        <f t="shared" si="9"/>
        <v>6551.7241379310326</v>
      </c>
      <c r="N29" s="94">
        <v>0</v>
      </c>
      <c r="O29" s="94">
        <v>0</v>
      </c>
      <c r="P29" s="94">
        <v>0</v>
      </c>
      <c r="Q29" s="94">
        <v>0</v>
      </c>
      <c r="R29" s="94">
        <v>0</v>
      </c>
      <c r="S29" s="94">
        <v>0</v>
      </c>
      <c r="T29" s="94">
        <v>0</v>
      </c>
      <c r="U29" s="94">
        <v>0</v>
      </c>
      <c r="V29" s="94">
        <v>0</v>
      </c>
      <c r="W29" s="110">
        <f t="shared" si="1"/>
        <v>31448.275862068971</v>
      </c>
      <c r="Y29" s="90">
        <v>21</v>
      </c>
      <c r="Z29" s="91">
        <v>0.83333333333333337</v>
      </c>
      <c r="AA29" s="92">
        <f t="shared" si="14"/>
        <v>0.69444444444444442</v>
      </c>
      <c r="AB29" s="93">
        <f t="shared" si="21"/>
        <v>6551.7241379310326</v>
      </c>
      <c r="AC29" s="94">
        <v>0</v>
      </c>
      <c r="AD29" s="93">
        <f t="shared" si="3"/>
        <v>31448.275862068971</v>
      </c>
    </row>
    <row r="30" spans="1:30" ht="14.7" customHeight="1">
      <c r="A30" s="99" t="s">
        <v>211</v>
      </c>
      <c r="B30" s="99" t="s">
        <v>212</v>
      </c>
      <c r="C30" s="99">
        <v>200</v>
      </c>
      <c r="I30" s="90"/>
      <c r="J30" s="90">
        <v>22</v>
      </c>
      <c r="K30" s="91">
        <v>0.875</v>
      </c>
      <c r="L30" s="92">
        <v>0</v>
      </c>
      <c r="M30" s="93">
        <v>3000</v>
      </c>
      <c r="N30" s="94">
        <v>0</v>
      </c>
      <c r="O30" s="94">
        <v>0</v>
      </c>
      <c r="P30" s="94">
        <v>0</v>
      </c>
      <c r="Q30" s="94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110">
        <f t="shared" si="1"/>
        <v>31448.275862068971</v>
      </c>
      <c r="Y30" s="90">
        <v>22</v>
      </c>
      <c r="Z30" s="91">
        <v>0.875</v>
      </c>
      <c r="AA30" s="92">
        <v>0</v>
      </c>
      <c r="AB30" s="93">
        <v>3000</v>
      </c>
      <c r="AC30" s="94">
        <v>0</v>
      </c>
      <c r="AD30" s="93">
        <f t="shared" si="3"/>
        <v>31448.275862068971</v>
      </c>
    </row>
    <row r="31" spans="1:30" ht="14.7" customHeight="1">
      <c r="A31" s="99" t="s">
        <v>213</v>
      </c>
      <c r="B31" s="99" t="s">
        <v>214</v>
      </c>
      <c r="C31" s="99">
        <v>12</v>
      </c>
      <c r="I31" s="90"/>
      <c r="J31" s="90">
        <v>23</v>
      </c>
      <c r="K31" s="91">
        <v>0.91666666666666663</v>
      </c>
      <c r="L31" s="92">
        <v>0</v>
      </c>
      <c r="M31" s="93">
        <f t="shared" si="9"/>
        <v>3000</v>
      </c>
      <c r="N31" s="94">
        <v>0</v>
      </c>
      <c r="O31" s="94">
        <v>0</v>
      </c>
      <c r="P31" s="94">
        <v>0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4">
        <v>0</v>
      </c>
      <c r="W31" s="110">
        <f t="shared" si="1"/>
        <v>31448.275862068971</v>
      </c>
      <c r="Y31" s="90">
        <v>23</v>
      </c>
      <c r="Z31" s="91">
        <v>0.91666666666666663</v>
      </c>
      <c r="AA31" s="92">
        <v>0</v>
      </c>
      <c r="AB31" s="93">
        <f t="shared" si="21"/>
        <v>3000</v>
      </c>
      <c r="AC31" s="94">
        <v>0</v>
      </c>
      <c r="AD31" s="93">
        <f t="shared" si="3"/>
        <v>31448.275862068971</v>
      </c>
    </row>
    <row r="32" spans="1:30" ht="14.7" customHeight="1">
      <c r="A32" s="99" t="s">
        <v>215</v>
      </c>
      <c r="B32" s="99" t="s">
        <v>216</v>
      </c>
      <c r="C32" s="113">
        <f>+C30/C31</f>
        <v>16.666666666666668</v>
      </c>
      <c r="I32" s="90"/>
      <c r="J32" s="90">
        <v>24</v>
      </c>
      <c r="K32" s="91">
        <v>0.95833333333333337</v>
      </c>
      <c r="L32" s="92">
        <v>0</v>
      </c>
      <c r="M32" s="93">
        <f t="shared" si="9"/>
        <v>3000</v>
      </c>
      <c r="N32" s="94">
        <v>0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0</v>
      </c>
      <c r="U32" s="94">
        <v>0</v>
      </c>
      <c r="V32" s="94">
        <v>0</v>
      </c>
      <c r="W32" s="110">
        <f t="shared" si="1"/>
        <v>31448.275862068971</v>
      </c>
      <c r="Y32" s="90">
        <v>24</v>
      </c>
      <c r="Z32" s="91">
        <v>0.95833333333333337</v>
      </c>
      <c r="AA32" s="92">
        <v>0</v>
      </c>
      <c r="AB32" s="93">
        <f t="shared" si="21"/>
        <v>3000</v>
      </c>
      <c r="AC32" s="94">
        <v>0</v>
      </c>
      <c r="AD32" s="93">
        <f t="shared" si="3"/>
        <v>31448.275862068971</v>
      </c>
    </row>
    <row r="33" spans="1:22" ht="14.7" customHeight="1" thickBot="1">
      <c r="D33" s="112"/>
      <c r="E33" s="112"/>
    </row>
    <row r="34" spans="1:22" ht="14.7" customHeight="1" thickBot="1">
      <c r="A34" s="240" t="s">
        <v>217</v>
      </c>
      <c r="B34" s="241"/>
      <c r="C34" s="242"/>
    </row>
    <row r="35" spans="1:22" ht="34.950000000000003" customHeight="1">
      <c r="A35" s="99" t="s">
        <v>218</v>
      </c>
      <c r="B35" s="99" t="s">
        <v>219</v>
      </c>
      <c r="C35" s="99">
        <v>150</v>
      </c>
      <c r="I35" s="236" t="s">
        <v>220</v>
      </c>
      <c r="J35" s="237"/>
      <c r="K35" s="237"/>
      <c r="L35" s="238"/>
      <c r="V35" s="111"/>
    </row>
    <row r="36" spans="1:22" ht="22.95" customHeight="1">
      <c r="A36" s="99" t="s">
        <v>221</v>
      </c>
      <c r="B36" s="99" t="s">
        <v>222</v>
      </c>
      <c r="C36" s="114">
        <v>0.5</v>
      </c>
      <c r="I36" s="230" t="s">
        <v>223</v>
      </c>
      <c r="J36" s="231"/>
      <c r="K36" s="232"/>
      <c r="L36" s="115" t="s">
        <v>224</v>
      </c>
      <c r="M36" s="77" t="s">
        <v>225</v>
      </c>
    </row>
    <row r="37" spans="1:22" ht="21" customHeight="1" thickBot="1">
      <c r="A37" s="99" t="s">
        <v>226</v>
      </c>
      <c r="B37" s="99" t="s">
        <v>219</v>
      </c>
      <c r="C37" s="99">
        <f>+C35*C36</f>
        <v>75</v>
      </c>
      <c r="G37" s="81"/>
      <c r="I37" s="233" t="s">
        <v>227</v>
      </c>
      <c r="J37" s="234"/>
      <c r="K37" s="235"/>
      <c r="L37" s="117" t="s">
        <v>228</v>
      </c>
      <c r="M37" s="77" t="s">
        <v>229</v>
      </c>
    </row>
    <row r="38" spans="1:22" ht="14.7" customHeight="1">
      <c r="A38" s="99" t="s">
        <v>230</v>
      </c>
      <c r="B38" s="99" t="s">
        <v>231</v>
      </c>
      <c r="C38" s="99">
        <f>+C37/C32</f>
        <v>4.5</v>
      </c>
    </row>
    <row r="39" spans="1:22" ht="22.5" customHeight="1"/>
    <row r="40" spans="1:22" ht="22.5" customHeight="1"/>
    <row r="41" spans="1:22" ht="21" customHeight="1"/>
    <row r="42" spans="1:22" ht="24.75" customHeight="1"/>
    <row r="1048297" ht="12.75" customHeight="1"/>
    <row r="1048298" ht="12.75" customHeight="1"/>
    <row r="1048299" ht="12.75" customHeight="1"/>
    <row r="1048300" ht="12.75" customHeight="1"/>
    <row r="1048301" ht="12.75" customHeight="1"/>
    <row r="1048302" ht="12.75" customHeight="1"/>
    <row r="1048303" ht="12.75" customHeight="1"/>
    <row r="1048304" ht="12.75" customHeight="1"/>
    <row r="1048305" ht="12.75" customHeight="1"/>
    <row r="1048306" ht="12.75" customHeight="1"/>
    <row r="1048307" ht="12.75" customHeight="1"/>
    <row r="1048308" ht="12.75" customHeight="1"/>
    <row r="1048309" ht="12.75" customHeight="1"/>
    <row r="1048310" ht="12.75" customHeight="1"/>
  </sheetData>
  <mergeCells count="17">
    <mergeCell ref="Y7:AD7"/>
    <mergeCell ref="A6:E6"/>
    <mergeCell ref="J6:P6"/>
    <mergeCell ref="A7:C7"/>
    <mergeCell ref="D7:E7"/>
    <mergeCell ref="I7:W7"/>
    <mergeCell ref="I36:K36"/>
    <mergeCell ref="I37:K37"/>
    <mergeCell ref="I35:L35"/>
    <mergeCell ref="A25:B25"/>
    <mergeCell ref="A34:C34"/>
    <mergeCell ref="A29:C29"/>
    <mergeCell ref="A8:C8"/>
    <mergeCell ref="A9:B9"/>
    <mergeCell ref="A12:G12"/>
    <mergeCell ref="A14:A22"/>
    <mergeCell ref="A23:C23"/>
  </mergeCells>
  <conditionalFormatting sqref="N9:V13 N14:U15 N16:Q32 R16:R28 S16:U32 V14:V32">
    <cfRule type="cellIs" dxfId="7" priority="10" stopIfTrue="1" operator="greaterThan">
      <formula>0</formula>
    </cfRule>
  </conditionalFormatting>
  <conditionalFormatting sqref="M9:M32">
    <cfRule type="cellIs" dxfId="6" priority="9" operator="greaterThan">
      <formula>3000</formula>
    </cfRule>
  </conditionalFormatting>
  <conditionalFormatting sqref="V35 W9:W32">
    <cfRule type="cellIs" dxfId="5" priority="8" stopIfTrue="1" operator="greaterThan">
      <formula>0</formula>
    </cfRule>
  </conditionalFormatting>
  <conditionalFormatting sqref="AC9:AD9 AC10:AC32">
    <cfRule type="cellIs" dxfId="4" priority="7" stopIfTrue="1" operator="greaterThan">
      <formula>0</formula>
    </cfRule>
  </conditionalFormatting>
  <conditionalFormatting sqref="AD10:AD32">
    <cfRule type="cellIs" dxfId="3" priority="6" stopIfTrue="1" operator="greaterThan">
      <formula>0</formula>
    </cfRule>
  </conditionalFormatting>
  <conditionalFormatting sqref="AB15:AB32">
    <cfRule type="cellIs" dxfId="2" priority="5" operator="greaterThan">
      <formula>3000</formula>
    </cfRule>
  </conditionalFormatting>
  <conditionalFormatting sqref="R29:R32">
    <cfRule type="cellIs" dxfId="1" priority="4" stopIfTrue="1" operator="greaterThan">
      <formula>0</formula>
    </cfRule>
  </conditionalFormatting>
  <conditionalFormatting sqref="AB9:AB14">
    <cfRule type="cellIs" dxfId="0" priority="1" operator="greaterThan">
      <formula>3000</formula>
    </cfRule>
  </conditionalFormatting>
  <pageMargins left="0" right="0" top="0.4" bottom="0.39375000000000004" header="0" footer="0"/>
  <pageSetup paperSize="9" fitToWidth="0" fitToHeight="0" pageOrder="overThenDown" orientation="portrait" r:id="rId1"/>
  <headerFooter>
    <oddHeader>&amp;C&amp;A</oddHeader>
    <oddFooter>&amp;CPage 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925e9-62f9-4c0f-8da0-decd32304526">
      <Terms xmlns="http://schemas.microsoft.com/office/infopath/2007/PartnerControls"/>
    </lcf76f155ced4ddcb4097134ff3c332f>
    <TaxCatchAll xmlns="9c4a530c-780c-40fc-8e25-601909665c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B5F068D79AC640BE3528811841450E" ma:contentTypeVersion="16" ma:contentTypeDescription="Creare un nuovo documento." ma:contentTypeScope="" ma:versionID="53dbde95beb54b8aa57f253c490b2461">
  <xsd:schema xmlns:xsd="http://www.w3.org/2001/XMLSchema" xmlns:xs="http://www.w3.org/2001/XMLSchema" xmlns:p="http://schemas.microsoft.com/office/2006/metadata/properties" xmlns:ns2="414925e9-62f9-4c0f-8da0-decd32304526" xmlns:ns3="9c4a530c-780c-40fc-8e25-601909665c79" targetNamespace="http://schemas.microsoft.com/office/2006/metadata/properties" ma:root="true" ma:fieldsID="9212e45d3d00817448506f4d24c86285" ns2:_="" ns3:_="">
    <xsd:import namespace="414925e9-62f9-4c0f-8da0-decd32304526"/>
    <xsd:import namespace="9c4a530c-780c-40fc-8e25-601909665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925e9-62f9-4c0f-8da0-decd32304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fc2e63b2-4aa5-49b0-b805-2027eafab1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530c-780c-40fc-8e25-601909665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c42177-22bd-4496-927c-79c54953b126}" ma:internalName="TaxCatchAll" ma:showField="CatchAllData" ma:web="9c4a530c-780c-40fc-8e25-601909665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B2FBB7-E5B8-4D80-8986-2C22D34ACC65}">
  <ds:schemaRefs>
    <ds:schemaRef ds:uri="http://schemas.microsoft.com/office/2006/metadata/properties"/>
    <ds:schemaRef ds:uri="http://schemas.microsoft.com/office/infopath/2007/PartnerControls"/>
    <ds:schemaRef ds:uri="414925e9-62f9-4c0f-8da0-decd32304526"/>
    <ds:schemaRef ds:uri="9c4a530c-780c-40fc-8e25-601909665c79"/>
  </ds:schemaRefs>
</ds:datastoreItem>
</file>

<file path=customXml/itemProps2.xml><?xml version="1.0" encoding="utf-8"?>
<ds:datastoreItem xmlns:ds="http://schemas.openxmlformats.org/officeDocument/2006/customXml" ds:itemID="{0F4E3B9B-DB29-4CF1-A69B-C3539A0FA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925e9-62f9-4c0f-8da0-decd32304526"/>
    <ds:schemaRef ds:uri="9c4a530c-780c-40fc-8e25-601909665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DC31FC-A997-4EAB-A907-3391EDD586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data</vt:lpstr>
      <vt:lpstr>ERs</vt:lpstr>
      <vt:lpstr>Summary SDG 13</vt:lpstr>
      <vt:lpstr>Summary other SDGs</vt:lpstr>
      <vt:lpstr>Energy output</vt:lpstr>
      <vt:lpstr>BenConsAndStorage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CarbonSink</dc:creator>
  <cp:keywords/>
  <dc:description/>
  <cp:lastModifiedBy>Martina</cp:lastModifiedBy>
  <cp:revision/>
  <dcterms:created xsi:type="dcterms:W3CDTF">2014-10-20T10:19:01Z</dcterms:created>
  <dcterms:modified xsi:type="dcterms:W3CDTF">2023-04-12T10:23:37Z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0x01010079B5F068D79AC640BE3528811841450E</vt:lpwstr>
  </property>
  <property fmtid="{D5CDD505-2E9C-101B-9397-08002B2CF9AE}" pid="3" name="AuthorIds_UIVersion_4608">
    <vt:lpwstr>15</vt:lpwstr>
  </property>
  <property fmtid="{D5CDD505-2E9C-101B-9397-08002B2CF9AE}" pid="4" name="MediaServiceImageTags">
    <vt:lpwstr/>
  </property>
</Properties>
</file>