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24226"/>
  <mc:AlternateContent xmlns:mc="http://schemas.openxmlformats.org/markup-compatibility/2006">
    <mc:Choice Requires="x15">
      <x15ac:absPath xmlns:x15ac="http://schemas.microsoft.com/office/spreadsheetml/2010/11/ac" url="C:\Users\karen.vega\Desktop\Tareas Rev\Temporal TRs\TR_Pack TQC 9924\"/>
    </mc:Choice>
  </mc:AlternateContent>
  <xr:revisionPtr revIDLastSave="0" documentId="13_ncr:1_{B96BAE5C-5BF7-49AB-950C-17560F27951A}" xr6:coauthVersionLast="36" xr6:coauthVersionMax="47" xr10:uidLastSave="{00000000-0000-0000-0000-000000000000}"/>
  <bookViews>
    <workbookView xWindow="28680" yWindow="-120" windowWidth="29040" windowHeight="15720" tabRatio="909" xr2:uid="{00000000-000D-0000-FFFF-FFFF00000000}"/>
  </bookViews>
  <sheets>
    <sheet name="ER Calculations" sheetId="8" r:id="rId1"/>
    <sheet name="Burgula_(AP)" sheetId="1" r:id="rId2"/>
    <sheet name="Savalsang_(Karnataka)" sheetId="2" r:id="rId3"/>
    <sheet name="Vagarai_TN" sheetId="4" r:id="rId4"/>
  </sheets>
  <calcPr calcId="191029"/>
</workbook>
</file>

<file path=xl/calcChain.xml><?xml version="1.0" encoding="utf-8"?>
<calcChain xmlns="http://schemas.openxmlformats.org/spreadsheetml/2006/main">
  <c r="G20" i="8" l="1"/>
  <c r="G4" i="4" l="1"/>
  <c r="G5" i="4"/>
  <c r="G6" i="4"/>
  <c r="G7" i="4"/>
  <c r="G8" i="4"/>
  <c r="G9" i="4"/>
  <c r="G10" i="4"/>
  <c r="E10" i="4"/>
  <c r="D11" i="4" l="1"/>
  <c r="H9" i="4" l="1"/>
  <c r="G3" i="4"/>
  <c r="G11" i="4" s="1"/>
  <c r="H3" i="4" l="1"/>
  <c r="AZ11" i="2"/>
  <c r="AM11" i="2"/>
  <c r="AD11" i="2"/>
  <c r="U11" i="2"/>
  <c r="L11" i="2"/>
  <c r="D11" i="2"/>
  <c r="AM48" i="2" l="1"/>
  <c r="AS19" i="2"/>
  <c r="AS18" i="2"/>
  <c r="AD48" i="2"/>
  <c r="AJ19" i="2"/>
  <c r="AJ18" i="2"/>
  <c r="U48" i="2"/>
  <c r="AA19" i="2"/>
  <c r="AA18" i="2"/>
  <c r="L48" i="2"/>
  <c r="R19" i="2"/>
  <c r="R18" i="2"/>
  <c r="L22" i="4"/>
  <c r="L23" i="4" s="1"/>
  <c r="L21" i="4"/>
  <c r="D10" i="1"/>
  <c r="J20" i="1"/>
  <c r="C49" i="1"/>
  <c r="C50" i="1"/>
  <c r="AS20" i="2" l="1"/>
  <c r="AA20" i="2"/>
  <c r="AJ20" i="2"/>
  <c r="R20" i="2"/>
  <c r="J19" i="1"/>
  <c r="J21" i="1" s="1"/>
  <c r="G11" i="8" l="1"/>
  <c r="G14" i="8" s="1"/>
  <c r="G41" i="8" l="1"/>
  <c r="H41" i="8" s="1"/>
  <c r="I41" i="8" s="1"/>
  <c r="H39" i="8"/>
  <c r="H38" i="8"/>
  <c r="K27" i="8"/>
  <c r="J27" i="8"/>
  <c r="H29" i="8"/>
  <c r="H36" i="8" s="1"/>
  <c r="G29" i="8"/>
  <c r="G36" i="8" s="1"/>
  <c r="I40" i="8"/>
  <c r="G40" i="8"/>
  <c r="I36" i="8"/>
  <c r="I33" i="8"/>
  <c r="I32" i="8"/>
  <c r="I42" i="8" l="1"/>
  <c r="G42" i="8"/>
  <c r="H40" i="8"/>
  <c r="H42" i="8" s="1"/>
  <c r="AV11" i="2" l="1"/>
  <c r="I19" i="2"/>
  <c r="I18" i="2"/>
  <c r="I20" i="2" l="1"/>
  <c r="C48" i="2"/>
  <c r="E11" i="1"/>
  <c r="G11" i="1"/>
  <c r="E14" i="4"/>
  <c r="AX11" i="2" l="1"/>
  <c r="AV10" i="2"/>
  <c r="AX10" i="2" s="1"/>
  <c r="AV9" i="2"/>
  <c r="AX9" i="2" s="1"/>
  <c r="AV8" i="2"/>
  <c r="AX8" i="2" s="1"/>
  <c r="AV7" i="2"/>
  <c r="AX7" i="2" s="1"/>
  <c r="AV6" i="2"/>
  <c r="AX6" i="2" s="1"/>
  <c r="AV5" i="2"/>
  <c r="AX5" i="2" s="1"/>
  <c r="AV4" i="2"/>
  <c r="AX4" i="2" s="1"/>
  <c r="AO11" i="2"/>
  <c r="AQ11" i="2" s="1"/>
  <c r="AO10" i="2"/>
  <c r="AQ10" i="2" s="1"/>
  <c r="AO9" i="2"/>
  <c r="AQ9" i="2" s="1"/>
  <c r="AO8" i="2"/>
  <c r="AQ8" i="2" s="1"/>
  <c r="AO7" i="2"/>
  <c r="AQ7" i="2" s="1"/>
  <c r="AO6" i="2"/>
  <c r="AQ6" i="2" s="1"/>
  <c r="AO5" i="2"/>
  <c r="AQ5" i="2" s="1"/>
  <c r="AO4" i="2"/>
  <c r="AQ4" i="2" s="1"/>
  <c r="AF11" i="2"/>
  <c r="AH11" i="2" s="1"/>
  <c r="AF10" i="2"/>
  <c r="AH10" i="2" s="1"/>
  <c r="AF9" i="2"/>
  <c r="AH9" i="2" s="1"/>
  <c r="AF8" i="2"/>
  <c r="AH8" i="2" s="1"/>
  <c r="AF7" i="2"/>
  <c r="AH7" i="2" s="1"/>
  <c r="AF6" i="2"/>
  <c r="AH6" i="2" s="1"/>
  <c r="AH5" i="2"/>
  <c r="AF4" i="2"/>
  <c r="AH4" i="2" s="1"/>
  <c r="W11" i="2"/>
  <c r="Y11" i="2" s="1"/>
  <c r="W10" i="2"/>
  <c r="Y10" i="2" s="1"/>
  <c r="W9" i="2"/>
  <c r="Y9" i="2" s="1"/>
  <c r="W8" i="2"/>
  <c r="Y8" i="2" s="1"/>
  <c r="W7" i="2"/>
  <c r="Y7" i="2" s="1"/>
  <c r="W6" i="2"/>
  <c r="Y6" i="2" s="1"/>
  <c r="W5" i="2"/>
  <c r="Y5" i="2" s="1"/>
  <c r="W4" i="2"/>
  <c r="Y4" i="2" s="1"/>
  <c r="N11" i="2"/>
  <c r="P11" i="2" s="1"/>
  <c r="N10" i="2"/>
  <c r="P10" i="2" s="1"/>
  <c r="N9" i="2"/>
  <c r="P9" i="2" s="1"/>
  <c r="N8" i="2"/>
  <c r="P8" i="2" s="1"/>
  <c r="N7" i="2"/>
  <c r="P7" i="2" s="1"/>
  <c r="N6" i="2"/>
  <c r="P6" i="2" s="1"/>
  <c r="N5" i="2"/>
  <c r="P5" i="2" s="1"/>
  <c r="N4" i="2"/>
  <c r="P4" i="2" s="1"/>
  <c r="F5" i="2"/>
  <c r="H5" i="2" s="1"/>
  <c r="F6" i="2"/>
  <c r="H6" i="2" s="1"/>
  <c r="F7" i="2"/>
  <c r="H7" i="2" s="1"/>
  <c r="F8" i="2"/>
  <c r="H8" i="2" s="1"/>
  <c r="F9" i="2"/>
  <c r="H9" i="2" s="1"/>
  <c r="F10" i="2"/>
  <c r="H10" i="2" s="1"/>
  <c r="F11" i="2"/>
  <c r="H11" i="2" s="1"/>
  <c r="F4" i="2"/>
  <c r="H4" i="2" s="1"/>
  <c r="C48" i="4"/>
  <c r="E13" i="4"/>
  <c r="E11" i="4"/>
  <c r="E15" i="4" l="1"/>
  <c r="BA5" i="2"/>
  <c r="BA6" i="2"/>
  <c r="BA7" i="2"/>
  <c r="BA8" i="2"/>
  <c r="BA9" i="2"/>
  <c r="BA10" i="2"/>
  <c r="BA11" i="2"/>
  <c r="BA4" i="2"/>
  <c r="I3" i="4" l="1"/>
  <c r="G26" i="8" s="1"/>
  <c r="D26" i="8"/>
  <c r="BA12" i="2"/>
  <c r="H9" i="1"/>
  <c r="F9" i="1"/>
  <c r="I9" i="4" l="1"/>
  <c r="H26" i="8" s="1"/>
  <c r="I26" i="8" s="1"/>
  <c r="E26" i="8"/>
  <c r="F26" i="8" s="1"/>
  <c r="AZ7" i="2"/>
  <c r="AZ10" i="2"/>
  <c r="AZ9" i="2"/>
  <c r="AZ5" i="2"/>
  <c r="AZ6" i="2"/>
  <c r="AZ8" i="2"/>
  <c r="H11" i="4"/>
  <c r="I11" i="4" l="1"/>
  <c r="BB10" i="2"/>
  <c r="BC10" i="2" l="1"/>
  <c r="H25" i="8" s="1"/>
  <c r="E25" i="8"/>
  <c r="D11" i="1"/>
  <c r="F10" i="1" l="1"/>
  <c r="F8" i="1"/>
  <c r="H8" i="1" s="1"/>
  <c r="F7" i="1"/>
  <c r="H7" i="1" s="1"/>
  <c r="H10" i="1" l="1"/>
  <c r="F11" i="1"/>
  <c r="I9" i="1"/>
  <c r="F3" i="1"/>
  <c r="H3" i="1" s="1"/>
  <c r="F4" i="1"/>
  <c r="H4" i="1" s="1"/>
  <c r="F5" i="1"/>
  <c r="H5" i="1" s="1"/>
  <c r="F6" i="1"/>
  <c r="H6" i="1" s="1"/>
  <c r="H11" i="1" l="1"/>
  <c r="J9" i="1"/>
  <c r="H24" i="8" s="1"/>
  <c r="H27" i="8" s="1"/>
  <c r="H31" i="8" s="1"/>
  <c r="H34" i="8" s="1"/>
  <c r="H37" i="8" s="1"/>
  <c r="H43" i="8" s="1"/>
  <c r="E24" i="8"/>
  <c r="I3" i="1"/>
  <c r="D24" i="8" s="1"/>
  <c r="F24" i="8" l="1"/>
  <c r="I11" i="1"/>
  <c r="J3" i="1"/>
  <c r="G24" i="8" l="1"/>
  <c r="J11" i="1"/>
  <c r="AZ4" i="2"/>
  <c r="AZ12" i="2" s="1"/>
  <c r="I24" i="8" l="1"/>
  <c r="BB4" i="2"/>
  <c r="BC4" i="2" l="1"/>
  <c r="G25" i="8" s="1"/>
  <c r="D25" i="8"/>
  <c r="BB12" i="2"/>
  <c r="E27" i="8" s="1"/>
  <c r="H30" i="8" s="1"/>
  <c r="BC12" i="2" l="1"/>
  <c r="F25" i="8"/>
  <c r="D27" i="8"/>
  <c r="G30" i="8" s="1"/>
  <c r="I30" i="8" s="1"/>
  <c r="I25" i="8"/>
  <c r="G27" i="8"/>
  <c r="F27" i="8" l="1"/>
  <c r="G15" i="8" s="1"/>
  <c r="I27" i="8"/>
  <c r="G16" i="8" s="1"/>
  <c r="G31" i="8"/>
  <c r="G19" i="8" l="1"/>
  <c r="G34" i="8"/>
  <c r="I31" i="8"/>
  <c r="G37" i="8" l="1"/>
  <c r="I34" i="8"/>
  <c r="I37" i="8" l="1"/>
  <c r="I43" i="8" s="1"/>
  <c r="G4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tc={A5C0946F-E252-49F7-B774-5471EBE2ED0F}</author>
  </authors>
  <commentList>
    <comment ref="C10" authorId="0" shapeId="0" xr:uid="{A5C0946F-E252-49F7-B774-5471EBE2ED0F}">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The Time of Reading taken is on 00:00. </t>
        </r>
      </text>
    </comment>
  </commentList>
</comments>
</file>

<file path=xl/sharedStrings.xml><?xml version="1.0" encoding="utf-8"?>
<sst xmlns="http://schemas.openxmlformats.org/spreadsheetml/2006/main" count="207" uniqueCount="116">
  <si>
    <t>Monitoring Period</t>
  </si>
  <si>
    <t>%</t>
  </si>
  <si>
    <t>MWh</t>
  </si>
  <si>
    <t>Leakage Emissions</t>
  </si>
  <si>
    <t>Total</t>
  </si>
  <si>
    <t xml:space="preserve">Monitoring period </t>
  </si>
  <si>
    <t xml:space="preserve">Monitoring Period </t>
  </si>
  <si>
    <t xml:space="preserve">Note </t>
  </si>
  <si>
    <t>REC component of project activity, not considered for VCU calcuations to avoid double accounting</t>
  </si>
  <si>
    <t>Non REC (37 * 1500 Kw)</t>
  </si>
  <si>
    <t>REC (30 * 1500 kW)</t>
  </si>
  <si>
    <t>Ph-1 (0.85 *13)</t>
  </si>
  <si>
    <t xml:space="preserve">Ph-3 (0.85 MW *19) </t>
  </si>
  <si>
    <t>Ph-4 (0.85 MW *21)</t>
  </si>
  <si>
    <t>Ph-5 (0.85 MW x 18)</t>
  </si>
  <si>
    <t>Ph-6 (0.85 MW *21)</t>
  </si>
  <si>
    <t>Ph-2 (0.85 MW * 20)</t>
  </si>
  <si>
    <t>Export in KWh</t>
  </si>
  <si>
    <t>Import in KWh</t>
  </si>
  <si>
    <t>Total net generation in KWh</t>
  </si>
  <si>
    <t>Transmission Loss in KWh</t>
  </si>
  <si>
    <t>Net Generation in KWh</t>
  </si>
  <si>
    <t>Total Net Generation in KWh</t>
  </si>
  <si>
    <t>Start Date of Monitoring Period</t>
  </si>
  <si>
    <t>End Date of Monitoring Period</t>
  </si>
  <si>
    <t>Number of Days for Current Monitoring Period</t>
  </si>
  <si>
    <t>Annual (365 Days) estimation as per Registered PDD</t>
  </si>
  <si>
    <t>Actual ER for Current Monitoring Period</t>
  </si>
  <si>
    <t>Change in Emission Reductions</t>
  </si>
  <si>
    <t>Invoice (kWh)</t>
  </si>
  <si>
    <t>Date</t>
  </si>
  <si>
    <t>Cumulative Generation</t>
  </si>
  <si>
    <t>Project Title</t>
  </si>
  <si>
    <t>WIND BASED POWER GENERATION BY MYTRAH ENERGY (INDIA) LIMITED (EKIESL- VCS-JANUARY-16-01)</t>
  </si>
  <si>
    <t>VCS reference Number</t>
  </si>
  <si>
    <t>VCS 1521</t>
  </si>
  <si>
    <t>ER Version</t>
  </si>
  <si>
    <t>ER Date</t>
  </si>
  <si>
    <t>01/07/2023 to 21/02/2024</t>
  </si>
  <si>
    <t>Min(kWH)</t>
  </si>
  <si>
    <t>Export in kWh</t>
  </si>
  <si>
    <t>Import in kWh</t>
  </si>
  <si>
    <t>Net generation in kWh as per JMR</t>
  </si>
  <si>
    <t>As per Invoice</t>
  </si>
  <si>
    <t>Vintage_Wise (MWh)</t>
  </si>
  <si>
    <t>Total Generation from 01/02/2024 to 29/02/2024:</t>
  </si>
  <si>
    <t>Total Generation from 01/02/2024 to 21/02/2024:</t>
  </si>
  <si>
    <t>Generation Ratio 01/02/2024 to 21/02/2024:</t>
  </si>
  <si>
    <t>Total Generation in KWh (As per invoices)</t>
  </si>
  <si>
    <t>Total Generation in KWh (As per JMR)</t>
  </si>
  <si>
    <t xml:space="preserve">Due to mismatch in meter reading date and start date of Monitoring period, the Export values have been apportionate using the DGR values. As an conservative approach, full month import values has been considered. The respective cells have been highlighted using light brown colour. </t>
  </si>
  <si>
    <t>DGR</t>
  </si>
  <si>
    <t>Import @ 115% in KWh</t>
  </si>
  <si>
    <t>date</t>
  </si>
  <si>
    <t>Number</t>
  </si>
  <si>
    <t>ER Estimation for Current Monitoirng Period based on operational days</t>
  </si>
  <si>
    <t>Generation achieved in this monitoring period</t>
  </si>
  <si>
    <t xml:space="preserve">Baseline Emissions </t>
  </si>
  <si>
    <t xml:space="preserve">Project Emissions </t>
  </si>
  <si>
    <t xml:space="preserve">Total </t>
  </si>
  <si>
    <t>Total (MW)</t>
  </si>
  <si>
    <t>Vintage Wise Emission Reductions (tCO2e)</t>
  </si>
  <si>
    <t>Burgula (AP)</t>
  </si>
  <si>
    <t>Savalsang (Karnataka)</t>
  </si>
  <si>
    <t>Vagarai (Talangana)</t>
  </si>
  <si>
    <t>Day</t>
  </si>
  <si>
    <t>Gen (KWH)</t>
  </si>
  <si>
    <t>Total generation (kWH) from 01/02/2012 to 29/02/2024:</t>
  </si>
  <si>
    <t>Total generation (kWH) from 01/02/2024 to 20/02/2024</t>
  </si>
  <si>
    <t>Generation ratio from 01/02/2024 to 20/02/2024</t>
  </si>
  <si>
    <t>Parameter</t>
  </si>
  <si>
    <t>Symbol</t>
  </si>
  <si>
    <t>Unit</t>
  </si>
  <si>
    <t>01/07/2023 to 31/03/2024</t>
  </si>
  <si>
    <t>Net Electricity exported by the project activity</t>
  </si>
  <si>
    <t>Baseline Emission</t>
  </si>
  <si>
    <t>Project Emission</t>
  </si>
  <si>
    <t>Leakage Emission</t>
  </si>
  <si>
    <t xml:space="preserve">Description </t>
  </si>
  <si>
    <t>01/07/2023 to 20/02/2024</t>
  </si>
  <si>
    <t>01/01/2024 to 20/02/2024</t>
  </si>
  <si>
    <t xml:space="preserve">SPVs Name </t>
  </si>
  <si>
    <t>01/07/2023</t>
  </si>
  <si>
    <t>20/02/2024</t>
  </si>
  <si>
    <t>Vintage Breakup</t>
  </si>
  <si>
    <t xml:space="preserve">Actual Emission Reduction considering the monitoring period </t>
  </si>
  <si>
    <t>tCO2e/year</t>
  </si>
  <si>
    <t xml:space="preserve">Number </t>
  </si>
  <si>
    <t>tCO2e</t>
  </si>
  <si>
    <t xml:space="preserve">Monitoring Period Start Date </t>
  </si>
  <si>
    <t xml:space="preserve">Monitoring Period End Date </t>
  </si>
  <si>
    <t xml:space="preserve">Total Days </t>
  </si>
  <si>
    <t xml:space="preserve">Estimated Emission Reduction as per Registered PDD (for 365 days)  </t>
  </si>
  <si>
    <t xml:space="preserve">Emission Reduction as per the registered PDD </t>
  </si>
  <si>
    <t>Variation in the emission reduction</t>
  </si>
  <si>
    <t>Value</t>
  </si>
  <si>
    <r>
      <t>Grid Emission factor (tCO</t>
    </r>
    <r>
      <rPr>
        <b/>
        <vertAlign val="subscript"/>
        <sz val="11"/>
        <rFont val="Aptos"/>
        <family val="2"/>
      </rPr>
      <t>2</t>
    </r>
    <r>
      <rPr>
        <b/>
        <sz val="11"/>
        <rFont val="Aptos"/>
        <family val="2"/>
      </rPr>
      <t>e/MWh)</t>
    </r>
  </si>
  <si>
    <t>tCO2e/MWh</t>
  </si>
  <si>
    <r>
      <t>EG</t>
    </r>
    <r>
      <rPr>
        <vertAlign val="subscript"/>
        <sz val="11"/>
        <rFont val="Aptos"/>
        <family val="2"/>
      </rPr>
      <t>PJ, y</t>
    </r>
  </si>
  <si>
    <r>
      <t>BE</t>
    </r>
    <r>
      <rPr>
        <vertAlign val="subscript"/>
        <sz val="11"/>
        <rFont val="Aptos"/>
        <family val="2"/>
      </rPr>
      <t>y</t>
    </r>
    <r>
      <rPr>
        <sz val="11"/>
        <rFont val="Aptos"/>
        <family val="2"/>
      </rPr>
      <t xml:space="preserve"> </t>
    </r>
  </si>
  <si>
    <r>
      <t>tCO</t>
    </r>
    <r>
      <rPr>
        <vertAlign val="subscript"/>
        <sz val="11"/>
        <rFont val="Aptos"/>
        <family val="2"/>
      </rPr>
      <t>2</t>
    </r>
    <r>
      <rPr>
        <sz val="11"/>
        <rFont val="Aptos"/>
        <family val="2"/>
      </rPr>
      <t>e</t>
    </r>
  </si>
  <si>
    <r>
      <t>PE</t>
    </r>
    <r>
      <rPr>
        <vertAlign val="subscript"/>
        <sz val="11"/>
        <rFont val="Aptos"/>
        <family val="2"/>
      </rPr>
      <t>y</t>
    </r>
  </si>
  <si>
    <r>
      <t>LE</t>
    </r>
    <r>
      <rPr>
        <vertAlign val="subscript"/>
        <sz val="11"/>
        <rFont val="Aptos"/>
        <family val="2"/>
      </rPr>
      <t>y</t>
    </r>
  </si>
  <si>
    <r>
      <t>Emission Reductions (tCO</t>
    </r>
    <r>
      <rPr>
        <vertAlign val="subscript"/>
        <sz val="11"/>
        <rFont val="Aptos"/>
        <family val="2"/>
      </rPr>
      <t>2</t>
    </r>
    <r>
      <rPr>
        <sz val="11"/>
        <rFont val="Aptos"/>
        <family val="2"/>
      </rPr>
      <t>)= Baseline emission-Project emissions-Leakage Emission</t>
    </r>
  </si>
  <si>
    <r>
      <t>ER</t>
    </r>
    <r>
      <rPr>
        <vertAlign val="subscript"/>
        <sz val="11"/>
        <rFont val="Aptos"/>
        <family val="2"/>
      </rPr>
      <t>y</t>
    </r>
  </si>
  <si>
    <t>Vintage Wise (MWh)</t>
  </si>
  <si>
    <t>SDG 07 (MWh)</t>
  </si>
  <si>
    <t>SDG 08 (Number)</t>
  </si>
  <si>
    <t>SDG 13 (tCO2e)</t>
  </si>
  <si>
    <t xml:space="preserve">Training </t>
  </si>
  <si>
    <t>Employement</t>
  </si>
  <si>
    <t xml:space="preserve"> </t>
  </si>
  <si>
    <t>Non REC (37 * 1500 Kw) As per Invoice</t>
  </si>
  <si>
    <t>Non REC (37 * 1500 Kw) with error factor</t>
  </si>
  <si>
    <t>Error factor is used for delay in calibration of meter.</t>
  </si>
  <si>
    <t>01/07/2023 to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</si>
</sst>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 #,##0.00_ ;_ * \-#,##0.00_ ;_ * &quot;-&quot;??_ ;_ @_ "/>
    <numFmt numFmtId="165" formatCode="_(* #,##0.00_);_(* \(#,##0.00\);_(* &quot;-&quot;??_);_(@_)"/>
    <numFmt numFmtId="166" formatCode="[$-409]d/mmm/yy;@"/>
    <numFmt numFmtId="167" formatCode="_(* #,##0_);_(* \(#,##0\);_(* &quot;-&quot;??_);_(@_)"/>
    <numFmt numFmtId="168" formatCode="_(* #,##0.0000_);_(* \(#,##0.0000\);_(* &quot;-&quot;??_);_(@_)"/>
    <numFmt numFmtId="169" formatCode="[$-409]d\-mmm\-yy;@"/>
    <numFmt numFmtId="170" formatCode="_-* #,##0_-;\-* #,##0_-;_-* &quot;-&quot;??_-;_-@_-"/>
    <numFmt numFmtId="171" formatCode="[$-409]d/mmm/yyyy;@"/>
    <numFmt numFmtId="172" formatCode="_ * #,##0_ ;_ * \-#,##0_ ;_ * &quot;-&quot;??_ ;_ @_ "/>
    <numFmt numFmtId="173" formatCode="&quot;$&quot;#,##0.00"/>
    <numFmt numFmtId="174" formatCode="0.0"/>
    <numFmt numFmtId="175" formatCode="[$-14009]dd/mm/yy;@"/>
    <numFmt numFmtId="176" formatCode="_(* #,##0.00000_);_(* \(#,##0.00000\);_(* &quot;-&quot;??_);_(@_)"/>
  </numFmts>
  <fonts count="18">
    <font>
      <sz val="11"/>
      <color theme="1"/>
      <name val="Calibri"/>
      <family val="2"/>
      <scheme val="minor"/>
    </font>
    <font>
      <b/>
      <sz val="11"/>
      <color theme="1"/>
      <name val="Calibri"/>
      <family val="2"/>
      <scheme val="minor"/>
    </font>
    <font>
      <sz val="10"/>
      <name val="Arial"/>
      <family val="2"/>
    </font>
    <font>
      <b/>
      <sz val="10"/>
      <name val="Calibri"/>
      <family val="2"/>
      <scheme val="minor"/>
    </font>
    <font>
      <sz val="11"/>
      <color theme="1"/>
      <name val="Calibri"/>
      <family val="2"/>
      <scheme val="minor"/>
    </font>
    <font>
      <b/>
      <sz val="12"/>
      <color theme="1"/>
      <name val="Calibri"/>
      <family val="2"/>
      <scheme val="minor"/>
    </font>
    <font>
      <sz val="11"/>
      <color indexed="8"/>
      <name val="Calibri"/>
      <family val="2"/>
      <charset val="134"/>
    </font>
    <font>
      <sz val="12"/>
      <color theme="1"/>
      <name val="Calibri"/>
      <family val="2"/>
      <scheme val="minor"/>
    </font>
    <font>
      <b/>
      <sz val="11"/>
      <color theme="0"/>
      <name val="Calibri"/>
      <family val="2"/>
      <scheme val="minor"/>
    </font>
    <font>
      <sz val="11"/>
      <color theme="1"/>
      <name val="Aptos"/>
      <family val="2"/>
    </font>
    <font>
      <b/>
      <sz val="11"/>
      <color theme="1"/>
      <name val="Aptos"/>
      <family val="2"/>
    </font>
    <font>
      <b/>
      <sz val="11"/>
      <color theme="0"/>
      <name val="Aptos"/>
      <family val="2"/>
    </font>
    <font>
      <i/>
      <sz val="11"/>
      <color theme="1"/>
      <name val="Aptos"/>
      <family val="2"/>
    </font>
    <font>
      <b/>
      <sz val="11"/>
      <name val="Aptos"/>
      <family val="2"/>
    </font>
    <font>
      <b/>
      <vertAlign val="subscript"/>
      <sz val="11"/>
      <name val="Aptos"/>
      <family val="2"/>
    </font>
    <font>
      <sz val="11"/>
      <name val="Aptos"/>
      <family val="2"/>
    </font>
    <font>
      <b/>
      <sz val="11"/>
      <color theme="0" tint="-4.9989318521683403E-2"/>
      <name val="Aptos"/>
      <family val="2"/>
    </font>
    <font>
      <vertAlign val="subscript"/>
      <sz val="11"/>
      <name val="Aptos"/>
      <family val="2"/>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rgb="FF92D050"/>
        <bgColor indexed="64"/>
      </patternFill>
    </fill>
    <fill>
      <patternFill patternType="solid">
        <fgColor theme="7"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s>
  <cellStyleXfs count="11">
    <xf numFmtId="0" fontId="0" fillId="0" borderId="0"/>
    <xf numFmtId="165" fontId="4" fillId="0" borderId="0" applyFont="0" applyFill="0" applyBorder="0" applyAlignment="0" applyProtection="0"/>
    <xf numFmtId="0" fontId="2" fillId="0" borderId="0"/>
    <xf numFmtId="9" fontId="4" fillId="0" borderId="0" applyFont="0" applyFill="0" applyBorder="0" applyAlignment="0" applyProtection="0"/>
    <xf numFmtId="0" fontId="4" fillId="0" borderId="0"/>
    <xf numFmtId="0" fontId="2" fillId="0" borderId="0"/>
    <xf numFmtId="0" fontId="6" fillId="0" borderId="0">
      <alignment vertical="center"/>
    </xf>
    <xf numFmtId="0" fontId="4" fillId="0" borderId="0"/>
    <xf numFmtId="165" fontId="4" fillId="0" borderId="0" applyFont="0" applyFill="0" applyBorder="0" applyAlignment="0" applyProtection="0"/>
    <xf numFmtId="0" fontId="2" fillId="0" borderId="0"/>
    <xf numFmtId="9" fontId="2" fillId="0" borderId="0" applyFont="0" applyFill="0" applyBorder="0" applyAlignment="0" applyProtection="0"/>
  </cellStyleXfs>
  <cellXfs count="257">
    <xf numFmtId="0" fontId="0" fillId="0" borderId="0" xfId="0"/>
    <xf numFmtId="166" fontId="0" fillId="0" borderId="0" xfId="0" applyNumberFormat="1"/>
    <xf numFmtId="0" fontId="0" fillId="0" borderId="1" xfId="0" applyBorder="1"/>
    <xf numFmtId="165" fontId="0" fillId="0" borderId="0" xfId="0" applyNumberFormat="1"/>
    <xf numFmtId="166" fontId="1" fillId="0" borderId="0" xfId="0" applyNumberFormat="1" applyFont="1"/>
    <xf numFmtId="0" fontId="0" fillId="2" borderId="1" xfId="0" applyFill="1" applyBorder="1"/>
    <xf numFmtId="166" fontId="0" fillId="0" borderId="1" xfId="0" applyNumberFormat="1" applyBorder="1" applyAlignment="1">
      <alignment horizontal="right" vertical="center"/>
    </xf>
    <xf numFmtId="166" fontId="0" fillId="0" borderId="8" xfId="0" applyNumberFormat="1" applyBorder="1" applyAlignment="1">
      <alignment vertical="center"/>
    </xf>
    <xf numFmtId="166" fontId="0" fillId="0" borderId="10" xfId="0" applyNumberFormat="1" applyBorder="1" applyAlignment="1">
      <alignment horizontal="right" vertical="center"/>
    </xf>
    <xf numFmtId="166" fontId="0" fillId="0" borderId="11" xfId="0" applyNumberFormat="1" applyBorder="1" applyAlignment="1">
      <alignment horizontal="right" vertical="center"/>
    </xf>
    <xf numFmtId="0" fontId="0" fillId="0" borderId="0" xfId="0" applyAlignment="1">
      <alignment vertical="center" wrapText="1"/>
    </xf>
    <xf numFmtId="169" fontId="4" fillId="0" borderId="0" xfId="4" applyNumberFormat="1" applyAlignment="1">
      <alignment horizontal="right" vertical="center" wrapText="1"/>
    </xf>
    <xf numFmtId="169" fontId="4" fillId="3" borderId="0" xfId="4" applyNumberFormat="1" applyFill="1" applyAlignment="1">
      <alignment horizontal="right" vertical="center" wrapText="1"/>
    </xf>
    <xf numFmtId="0" fontId="0" fillId="0" borderId="0" xfId="0" applyAlignment="1">
      <alignment horizontal="right" vertical="center" wrapText="1"/>
    </xf>
    <xf numFmtId="3" fontId="0" fillId="0" borderId="0" xfId="0" applyNumberFormat="1" applyAlignment="1">
      <alignment horizontal="right" vertical="center" wrapText="1"/>
    </xf>
    <xf numFmtId="1" fontId="3" fillId="0" borderId="0" xfId="5" applyNumberFormat="1" applyFont="1" applyAlignment="1">
      <alignment horizontal="right" vertical="center" wrapText="1"/>
    </xf>
    <xf numFmtId="170" fontId="1" fillId="0" borderId="0" xfId="0" applyNumberFormat="1" applyFont="1" applyAlignment="1">
      <alignment horizontal="right" vertical="center" wrapText="1"/>
    </xf>
    <xf numFmtId="10" fontId="0" fillId="0" borderId="0" xfId="3" applyNumberFormat="1" applyFont="1" applyBorder="1" applyAlignment="1">
      <alignment horizontal="right" vertical="center" wrapText="1"/>
    </xf>
    <xf numFmtId="0" fontId="0" fillId="3" borderId="0" xfId="0" applyFill="1"/>
    <xf numFmtId="167" fontId="0" fillId="0" borderId="0" xfId="0" applyNumberFormat="1"/>
    <xf numFmtId="0" fontId="1" fillId="4" borderId="1" xfId="0" applyFont="1" applyFill="1" applyBorder="1" applyAlignment="1">
      <alignment horizontal="center"/>
    </xf>
    <xf numFmtId="0" fontId="1" fillId="4" borderId="1" xfId="0" applyFont="1" applyFill="1" applyBorder="1" applyAlignment="1">
      <alignment horizontal="center" wrapText="1"/>
    </xf>
    <xf numFmtId="169" fontId="0" fillId="0" borderId="1" xfId="0" applyNumberFormat="1" applyBorder="1" applyAlignment="1">
      <alignment horizontal="center"/>
    </xf>
    <xf numFmtId="1" fontId="0" fillId="0" borderId="1" xfId="0" applyNumberFormat="1" applyBorder="1" applyAlignment="1">
      <alignment horizontal="center" wrapText="1"/>
    </xf>
    <xf numFmtId="1" fontId="0" fillId="0" borderId="1" xfId="0" applyNumberFormat="1" applyBorder="1" applyAlignment="1">
      <alignment horizontal="center"/>
    </xf>
    <xf numFmtId="1" fontId="0" fillId="0" borderId="1" xfId="0" applyNumberFormat="1" applyBorder="1" applyAlignment="1">
      <alignment horizontal="center" vertical="center"/>
    </xf>
    <xf numFmtId="167" fontId="0" fillId="3" borderId="27" xfId="1" applyNumberFormat="1" applyFont="1" applyFill="1" applyBorder="1"/>
    <xf numFmtId="166" fontId="0" fillId="0" borderId="3" xfId="0" applyNumberFormat="1" applyBorder="1" applyAlignment="1">
      <alignment horizontal="right" vertical="center"/>
    </xf>
    <xf numFmtId="0" fontId="1" fillId="2" borderId="27" xfId="0" applyFont="1" applyFill="1" applyBorder="1" applyAlignment="1">
      <alignment horizontal="center" wrapText="1"/>
    </xf>
    <xf numFmtId="166" fontId="0" fillId="3" borderId="28" xfId="0" applyNumberFormat="1" applyFill="1" applyBorder="1" applyAlignment="1">
      <alignment vertical="center"/>
    </xf>
    <xf numFmtId="167" fontId="1" fillId="0" borderId="22" xfId="1" applyNumberFormat="1" applyFont="1" applyFill="1" applyBorder="1" applyAlignment="1">
      <alignment horizontal="center" vertical="top"/>
    </xf>
    <xf numFmtId="166" fontId="0" fillId="0" borderId="14" xfId="0" applyNumberFormat="1" applyBorder="1" applyAlignment="1">
      <alignment horizontal="right" vertical="center"/>
    </xf>
    <xf numFmtId="166" fontId="0" fillId="0" borderId="9" xfId="0" applyNumberFormat="1" applyBorder="1" applyAlignment="1">
      <alignment horizontal="right" vertical="center"/>
    </xf>
    <xf numFmtId="167" fontId="1" fillId="0" borderId="15" xfId="1" applyNumberFormat="1" applyFont="1" applyFill="1" applyBorder="1" applyAlignment="1">
      <alignment horizontal="center" vertical="top"/>
    </xf>
    <xf numFmtId="167" fontId="0" fillId="3" borderId="0" xfId="1" applyNumberFormat="1" applyFont="1" applyFill="1" applyBorder="1" applyAlignment="1">
      <alignment horizontal="center" vertical="top"/>
    </xf>
    <xf numFmtId="167" fontId="1" fillId="0" borderId="0" xfId="1" applyNumberFormat="1" applyFont="1" applyFill="1" applyBorder="1"/>
    <xf numFmtId="0" fontId="1" fillId="0" borderId="0" xfId="0" applyFont="1" applyAlignment="1">
      <alignment horizontal="center" vertical="top" wrapText="1"/>
    </xf>
    <xf numFmtId="0" fontId="0" fillId="0" borderId="0" xfId="0" applyAlignment="1">
      <alignment vertical="top" wrapText="1"/>
    </xf>
    <xf numFmtId="165" fontId="0" fillId="3" borderId="19" xfId="1" applyFont="1" applyFill="1" applyBorder="1" applyAlignment="1">
      <alignment horizontal="center"/>
    </xf>
    <xf numFmtId="165" fontId="0" fillId="3" borderId="6" xfId="1" applyFont="1" applyFill="1" applyBorder="1" applyAlignment="1">
      <alignment horizontal="center"/>
    </xf>
    <xf numFmtId="165" fontId="0" fillId="3" borderId="0" xfId="1" applyFont="1" applyFill="1" applyBorder="1" applyAlignment="1">
      <alignment horizontal="center"/>
    </xf>
    <xf numFmtId="0" fontId="1" fillId="0" borderId="1" xfId="0" applyFont="1" applyBorder="1"/>
    <xf numFmtId="169" fontId="0" fillId="0" borderId="2" xfId="0" applyNumberFormat="1" applyBorder="1" applyAlignment="1">
      <alignment horizontal="center"/>
    </xf>
    <xf numFmtId="1" fontId="0" fillId="0" borderId="2" xfId="0" applyNumberFormat="1" applyBorder="1" applyAlignment="1">
      <alignment horizontal="center" vertical="center"/>
    </xf>
    <xf numFmtId="0" fontId="5" fillId="0" borderId="1" xfId="0" applyFont="1" applyBorder="1" applyAlignment="1">
      <alignment horizontal="center"/>
    </xf>
    <xf numFmtId="1" fontId="5" fillId="0" borderId="1" xfId="0" applyNumberFormat="1" applyFont="1" applyBorder="1" applyAlignment="1">
      <alignment horizontal="center"/>
    </xf>
    <xf numFmtId="167" fontId="0" fillId="0" borderId="0" xfId="1" applyNumberFormat="1" applyFont="1" applyFill="1" applyBorder="1" applyAlignment="1">
      <alignment horizontal="center"/>
    </xf>
    <xf numFmtId="167" fontId="0" fillId="0" borderId="1" xfId="1" applyNumberFormat="1" applyFont="1" applyFill="1" applyBorder="1" applyAlignment="1">
      <alignment horizontal="center"/>
    </xf>
    <xf numFmtId="166" fontId="0" fillId="3" borderId="1" xfId="0" applyNumberFormat="1" applyFill="1" applyBorder="1" applyAlignment="1">
      <alignment vertical="center"/>
    </xf>
    <xf numFmtId="166" fontId="0" fillId="0" borderId="1" xfId="0" applyNumberFormat="1" applyBorder="1" applyAlignment="1">
      <alignment vertical="center"/>
    </xf>
    <xf numFmtId="166" fontId="0" fillId="6" borderId="1" xfId="0" applyNumberFormat="1" applyFill="1" applyBorder="1" applyAlignment="1">
      <alignment vertical="center"/>
    </xf>
    <xf numFmtId="166" fontId="0" fillId="6" borderId="1" xfId="0" applyNumberFormat="1" applyFill="1" applyBorder="1" applyAlignment="1">
      <alignment horizontal="right" vertical="center"/>
    </xf>
    <xf numFmtId="167" fontId="1" fillId="0" borderId="1" xfId="1" applyNumberFormat="1" applyFont="1" applyFill="1" applyBorder="1"/>
    <xf numFmtId="167" fontId="0" fillId="0" borderId="21" xfId="0" applyNumberFormat="1" applyBorder="1"/>
    <xf numFmtId="167" fontId="0" fillId="0" borderId="21" xfId="0" applyNumberFormat="1" applyBorder="1" applyAlignment="1">
      <alignment vertical="center"/>
    </xf>
    <xf numFmtId="165" fontId="0" fillId="0" borderId="1" xfId="1" applyFont="1" applyBorder="1"/>
    <xf numFmtId="165" fontId="0" fillId="0" borderId="1" xfId="0" applyNumberFormat="1" applyBorder="1" applyAlignment="1">
      <alignment horizontal="left" vertical="center"/>
    </xf>
    <xf numFmtId="0" fontId="0" fillId="0" borderId="1" xfId="0" applyBorder="1" applyAlignment="1">
      <alignment horizontal="center" vertical="center"/>
    </xf>
    <xf numFmtId="175" fontId="0" fillId="0" borderId="1" xfId="0" applyNumberFormat="1" applyBorder="1" applyAlignment="1">
      <alignment horizontal="center" vertical="center"/>
    </xf>
    <xf numFmtId="165" fontId="4" fillId="0" borderId="1" xfId="1" applyFont="1" applyFill="1" applyBorder="1" applyAlignment="1">
      <alignment horizontal="center" vertical="center"/>
    </xf>
    <xf numFmtId="165" fontId="7" fillId="0" borderId="1" xfId="1" applyFont="1" applyFill="1" applyBorder="1" applyAlignment="1">
      <alignment horizontal="center" vertical="center"/>
    </xf>
    <xf numFmtId="176" fontId="0" fillId="0" borderId="1" xfId="1" applyNumberFormat="1" applyFont="1" applyBorder="1"/>
    <xf numFmtId="166" fontId="0" fillId="5" borderId="8" xfId="0" applyNumberFormat="1" applyFill="1" applyBorder="1" applyAlignment="1">
      <alignment vertical="center"/>
    </xf>
    <xf numFmtId="166" fontId="0" fillId="5" borderId="1" xfId="0" applyNumberFormat="1" applyFill="1" applyBorder="1" applyAlignment="1">
      <alignment horizontal="right" vertical="center"/>
    </xf>
    <xf numFmtId="0" fontId="9" fillId="3" borderId="0" xfId="0" applyFont="1" applyFill="1"/>
    <xf numFmtId="0" fontId="10" fillId="3" borderId="13" xfId="0" applyFont="1" applyFill="1" applyBorder="1"/>
    <xf numFmtId="0" fontId="9" fillId="3" borderId="0" xfId="0" applyFont="1" applyFill="1" applyAlignment="1">
      <alignment horizontal="left"/>
    </xf>
    <xf numFmtId="0" fontId="10" fillId="3" borderId="39" xfId="0" applyFont="1" applyFill="1" applyBorder="1"/>
    <xf numFmtId="0" fontId="9" fillId="3" borderId="37" xfId="0" applyFont="1" applyFill="1" applyBorder="1" applyAlignment="1">
      <alignment horizontal="left"/>
    </xf>
    <xf numFmtId="0" fontId="10" fillId="3" borderId="16" xfId="0" applyFont="1" applyFill="1" applyBorder="1"/>
    <xf numFmtId="14" fontId="9" fillId="3" borderId="17" xfId="0" applyNumberFormat="1" applyFont="1" applyFill="1" applyBorder="1" applyAlignment="1">
      <alignment horizontal="left"/>
    </xf>
    <xf numFmtId="0" fontId="9" fillId="3" borderId="17" xfId="0" applyFont="1" applyFill="1" applyBorder="1" applyAlignment="1">
      <alignment horizontal="left"/>
    </xf>
    <xf numFmtId="0" fontId="9" fillId="3" borderId="38" xfId="0" applyFont="1" applyFill="1" applyBorder="1" applyAlignment="1">
      <alignment horizontal="left"/>
    </xf>
    <xf numFmtId="0" fontId="11" fillId="7" borderId="15" xfId="0" applyFont="1" applyFill="1" applyBorder="1"/>
    <xf numFmtId="0" fontId="11" fillId="7" borderId="42" xfId="0" applyFont="1" applyFill="1" applyBorder="1"/>
    <xf numFmtId="0" fontId="11" fillId="7" borderId="42" xfId="0" applyFont="1" applyFill="1" applyBorder="1" applyAlignment="1">
      <alignment horizontal="right"/>
    </xf>
    <xf numFmtId="0" fontId="11" fillId="7" borderId="41" xfId="0" applyFont="1" applyFill="1" applyBorder="1" applyAlignment="1">
      <alignment horizontal="center"/>
    </xf>
    <xf numFmtId="0" fontId="10" fillId="3" borderId="34" xfId="0" applyFont="1" applyFill="1" applyBorder="1"/>
    <xf numFmtId="169" fontId="9" fillId="3" borderId="34" xfId="4" applyNumberFormat="1" applyFont="1" applyFill="1" applyBorder="1" applyAlignment="1">
      <alignment horizontal="right" vertical="center" wrapText="1"/>
    </xf>
    <xf numFmtId="0" fontId="9" fillId="3" borderId="36" xfId="0" applyFont="1" applyFill="1" applyBorder="1" applyAlignment="1">
      <alignment horizontal="center" vertical="center"/>
    </xf>
    <xf numFmtId="0" fontId="10" fillId="3" borderId="0" xfId="0" applyFont="1" applyFill="1"/>
    <xf numFmtId="169" fontId="9" fillId="3" borderId="0" xfId="4" applyNumberFormat="1" applyFont="1" applyFill="1" applyAlignment="1">
      <alignment horizontal="right" vertical="center" wrapText="1"/>
    </xf>
    <xf numFmtId="0" fontId="9" fillId="3" borderId="37" xfId="0" applyFont="1" applyFill="1" applyBorder="1" applyAlignment="1">
      <alignment horizontal="center" vertical="center"/>
    </xf>
    <xf numFmtId="0" fontId="12" fillId="3" borderId="0" xfId="0" applyFont="1" applyFill="1"/>
    <xf numFmtId="0" fontId="9" fillId="3" borderId="0" xfId="0" applyFont="1" applyFill="1" applyAlignment="1">
      <alignment horizontal="right" vertical="center"/>
    </xf>
    <xf numFmtId="172" fontId="9" fillId="3" borderId="0" xfId="1" applyNumberFormat="1" applyFont="1" applyFill="1" applyBorder="1" applyAlignment="1">
      <alignment horizontal="right" vertical="center"/>
    </xf>
    <xf numFmtId="165" fontId="9" fillId="3" borderId="0" xfId="0" applyNumberFormat="1" applyFont="1" applyFill="1"/>
    <xf numFmtId="0" fontId="13" fillId="3" borderId="39" xfId="0" applyFont="1" applyFill="1" applyBorder="1"/>
    <xf numFmtId="168" fontId="15" fillId="3" borderId="0" xfId="1" applyNumberFormat="1" applyFont="1" applyFill="1" applyBorder="1" applyAlignment="1">
      <alignment horizontal="right"/>
    </xf>
    <xf numFmtId="167" fontId="9" fillId="3" borderId="0" xfId="1" applyNumberFormat="1" applyFont="1" applyFill="1" applyBorder="1" applyAlignment="1">
      <alignment horizontal="right" vertical="center"/>
    </xf>
    <xf numFmtId="172" fontId="9" fillId="3" borderId="0" xfId="0" applyNumberFormat="1" applyFont="1" applyFill="1"/>
    <xf numFmtId="164" fontId="9" fillId="3" borderId="0" xfId="0" applyNumberFormat="1" applyFont="1" applyFill="1"/>
    <xf numFmtId="0" fontId="10" fillId="3" borderId="17" xfId="0" applyFont="1" applyFill="1" applyBorder="1"/>
    <xf numFmtId="10" fontId="9" fillId="3" borderId="17" xfId="3" applyNumberFormat="1" applyFont="1" applyFill="1" applyBorder="1" applyAlignment="1">
      <alignment horizontal="right" vertical="center"/>
    </xf>
    <xf numFmtId="0" fontId="9" fillId="3" borderId="38" xfId="0" applyFont="1" applyFill="1" applyBorder="1" applyAlignment="1">
      <alignment horizontal="center" vertical="center"/>
    </xf>
    <xf numFmtId="0" fontId="10" fillId="3" borderId="0" xfId="0" applyFont="1" applyFill="1" applyAlignment="1">
      <alignment horizontal="center" vertical="center" wrapText="1"/>
    </xf>
    <xf numFmtId="0" fontId="16" fillId="7" borderId="2" xfId="7" applyFont="1" applyFill="1" applyBorder="1" applyAlignment="1">
      <alignment horizontal="center" vertical="center" wrapText="1"/>
    </xf>
    <xf numFmtId="1" fontId="16" fillId="7" borderId="1" xfId="0" applyNumberFormat="1" applyFont="1" applyFill="1" applyBorder="1" applyAlignment="1">
      <alignment horizontal="center" vertical="center" wrapText="1"/>
    </xf>
    <xf numFmtId="0" fontId="16" fillId="7" borderId="1" xfId="0" applyFont="1" applyFill="1" applyBorder="1" applyAlignment="1">
      <alignment horizontal="center" vertical="center" wrapText="1"/>
    </xf>
    <xf numFmtId="0" fontId="16" fillId="7" borderId="1" xfId="7" applyFont="1" applyFill="1" applyBorder="1" applyAlignment="1">
      <alignment horizontal="center" vertical="center" wrapText="1"/>
    </xf>
    <xf numFmtId="164" fontId="9" fillId="3" borderId="1" xfId="1" applyNumberFormat="1" applyFont="1" applyFill="1" applyBorder="1" applyAlignment="1">
      <alignment horizontal="center" vertical="center"/>
    </xf>
    <xf numFmtId="172" fontId="9" fillId="3" borderId="1" xfId="1" applyNumberFormat="1" applyFont="1" applyFill="1" applyBorder="1" applyAlignment="1">
      <alignment horizontal="center"/>
    </xf>
    <xf numFmtId="172" fontId="9" fillId="3" borderId="1" xfId="1" applyNumberFormat="1" applyFont="1" applyFill="1" applyBorder="1" applyAlignment="1">
      <alignment horizontal="center" vertical="center"/>
    </xf>
    <xf numFmtId="3" fontId="9" fillId="3" borderId="1" xfId="0" applyNumberFormat="1" applyFont="1" applyFill="1" applyBorder="1" applyAlignment="1">
      <alignment horizontal="right" vertical="center"/>
    </xf>
    <xf numFmtId="0" fontId="9" fillId="3" borderId="0" xfId="0" applyFont="1" applyFill="1" applyAlignment="1">
      <alignment horizontal="right"/>
    </xf>
    <xf numFmtId="165" fontId="9" fillId="3" borderId="0" xfId="1" applyFont="1" applyFill="1"/>
    <xf numFmtId="172" fontId="9" fillId="3" borderId="1" xfId="1" applyNumberFormat="1" applyFont="1" applyFill="1" applyBorder="1" applyAlignment="1">
      <alignment horizontal="right" vertical="center"/>
    </xf>
    <xf numFmtId="172" fontId="9" fillId="3" borderId="0" xfId="1" applyNumberFormat="1" applyFont="1" applyFill="1" applyBorder="1"/>
    <xf numFmtId="0" fontId="16" fillId="7" borderId="1" xfId="0" applyFont="1" applyFill="1" applyBorder="1" applyAlignment="1">
      <alignment horizontal="center"/>
    </xf>
    <xf numFmtId="173" fontId="15" fillId="3" borderId="1" xfId="0" applyNumberFormat="1" applyFont="1" applyFill="1" applyBorder="1" applyAlignment="1">
      <alignment horizontal="center" vertical="center" wrapText="1"/>
    </xf>
    <xf numFmtId="174" fontId="15" fillId="3" borderId="1" xfId="8" applyNumberFormat="1" applyFont="1" applyFill="1" applyBorder="1" applyAlignment="1">
      <alignment horizontal="center" vertical="center" wrapText="1"/>
    </xf>
    <xf numFmtId="0" fontId="11" fillId="7" borderId="1" xfId="9" applyFont="1" applyFill="1" applyBorder="1" applyAlignment="1">
      <alignment horizontal="center" vertical="center"/>
    </xf>
    <xf numFmtId="1" fontId="11" fillId="7" borderId="1" xfId="9" applyNumberFormat="1" applyFont="1" applyFill="1" applyBorder="1" applyAlignment="1">
      <alignment horizontal="center" vertical="center" wrapText="1"/>
    </xf>
    <xf numFmtId="0" fontId="11" fillId="7" borderId="1" xfId="9" applyFont="1" applyFill="1" applyBorder="1" applyAlignment="1">
      <alignment horizontal="center" vertical="center" wrapText="1"/>
    </xf>
    <xf numFmtId="49" fontId="11" fillId="7" borderId="1" xfId="9" applyNumberFormat="1" applyFont="1" applyFill="1" applyBorder="1" applyAlignment="1">
      <alignment horizontal="center" vertical="center" wrapText="1"/>
    </xf>
    <xf numFmtId="0" fontId="15" fillId="3" borderId="1" xfId="9" applyFont="1" applyFill="1" applyBorder="1" applyAlignment="1">
      <alignment horizontal="center" vertical="center"/>
    </xf>
    <xf numFmtId="165" fontId="15" fillId="3" borderId="1" xfId="1" applyFont="1" applyFill="1" applyBorder="1" applyAlignment="1">
      <alignment horizontal="center" vertical="center"/>
    </xf>
    <xf numFmtId="165" fontId="15" fillId="3" borderId="1" xfId="1" applyFont="1" applyFill="1" applyBorder="1" applyAlignment="1">
      <alignment horizontal="right" vertical="center"/>
    </xf>
    <xf numFmtId="167" fontId="15" fillId="3" borderId="1" xfId="1" applyNumberFormat="1" applyFont="1" applyFill="1" applyBorder="1" applyAlignment="1">
      <alignment horizontal="right" vertical="center"/>
    </xf>
    <xf numFmtId="1" fontId="15" fillId="3" borderId="1" xfId="1" applyNumberFormat="1" applyFont="1" applyFill="1" applyBorder="1" applyAlignment="1">
      <alignment horizontal="right" vertical="center"/>
    </xf>
    <xf numFmtId="172" fontId="15" fillId="3" borderId="1" xfId="1" applyNumberFormat="1" applyFont="1" applyFill="1" applyBorder="1" applyAlignment="1">
      <alignment horizontal="right" vertical="center"/>
    </xf>
    <xf numFmtId="0" fontId="15" fillId="3" borderId="1" xfId="9" applyFont="1" applyFill="1" applyBorder="1" applyAlignment="1">
      <alignment vertical="center" wrapText="1"/>
    </xf>
    <xf numFmtId="172" fontId="15" fillId="3" borderId="1" xfId="1" applyNumberFormat="1" applyFont="1" applyFill="1" applyBorder="1" applyAlignment="1">
      <alignment horizontal="right" vertical="center" wrapText="1"/>
    </xf>
    <xf numFmtId="14" fontId="15" fillId="3" borderId="1" xfId="1" applyNumberFormat="1" applyFont="1" applyFill="1" applyBorder="1" applyAlignment="1">
      <alignment horizontal="right" vertical="center" wrapText="1"/>
    </xf>
    <xf numFmtId="49" fontId="15" fillId="3" borderId="1" xfId="9" applyNumberFormat="1" applyFont="1" applyFill="1" applyBorder="1" applyAlignment="1">
      <alignment horizontal="right" vertical="center" wrapText="1"/>
    </xf>
    <xf numFmtId="49" fontId="15" fillId="3" borderId="1" xfId="1" applyNumberFormat="1" applyFont="1" applyFill="1" applyBorder="1" applyAlignment="1">
      <alignment horizontal="right" vertical="center" wrapText="1"/>
    </xf>
    <xf numFmtId="1" fontId="15" fillId="3" borderId="1" xfId="9" applyNumberFormat="1" applyFont="1" applyFill="1" applyBorder="1" applyAlignment="1">
      <alignment horizontal="right" vertical="center" wrapText="1"/>
    </xf>
    <xf numFmtId="10" fontId="15" fillId="3" borderId="1" xfId="10" applyNumberFormat="1" applyFont="1" applyFill="1" applyBorder="1" applyAlignment="1">
      <alignment horizontal="right" vertical="center" wrapText="1"/>
    </xf>
    <xf numFmtId="0" fontId="8" fillId="7" borderId="22"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27" xfId="0" applyFont="1" applyFill="1" applyBorder="1" applyAlignment="1">
      <alignment horizontal="center" vertical="center" wrapText="1"/>
    </xf>
    <xf numFmtId="0" fontId="8" fillId="7" borderId="21"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33"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21" xfId="0" applyFont="1" applyFill="1" applyBorder="1" applyAlignment="1">
      <alignment horizontal="center" vertical="center" wrapText="1"/>
    </xf>
    <xf numFmtId="0" fontId="8" fillId="8" borderId="33" xfId="0" applyFont="1" applyFill="1" applyBorder="1" applyAlignment="1">
      <alignment horizontal="center" vertical="center" wrapText="1"/>
    </xf>
    <xf numFmtId="165" fontId="9" fillId="3" borderId="1" xfId="1" applyFont="1" applyFill="1" applyBorder="1" applyAlignment="1">
      <alignment horizontal="center"/>
    </xf>
    <xf numFmtId="0" fontId="13" fillId="3" borderId="1" xfId="7" applyFont="1" applyFill="1" applyBorder="1" applyAlignment="1">
      <alignment horizontal="center"/>
    </xf>
    <xf numFmtId="2" fontId="15" fillId="3" borderId="1" xfId="0" applyNumberFormat="1" applyFont="1" applyFill="1" applyBorder="1" applyAlignment="1">
      <alignment horizontal="right"/>
    </xf>
    <xf numFmtId="3" fontId="9" fillId="3" borderId="1" xfId="0" applyNumberFormat="1" applyFont="1" applyFill="1" applyBorder="1" applyAlignment="1">
      <alignment horizontal="right"/>
    </xf>
    <xf numFmtId="165" fontId="9" fillId="3" borderId="1" xfId="1" applyFont="1" applyFill="1" applyBorder="1" applyAlignment="1">
      <alignment horizontal="right"/>
    </xf>
    <xf numFmtId="1" fontId="15" fillId="3" borderId="1" xfId="0" applyNumberFormat="1" applyFont="1" applyFill="1" applyBorder="1" applyAlignment="1">
      <alignment horizontal="center"/>
    </xf>
    <xf numFmtId="1" fontId="15" fillId="3" borderId="1" xfId="1" applyNumberFormat="1" applyFont="1" applyFill="1" applyBorder="1" applyAlignment="1">
      <alignment horizontal="center" vertical="center"/>
    </xf>
    <xf numFmtId="167" fontId="0" fillId="9" borderId="1" xfId="1" applyNumberFormat="1" applyFont="1" applyFill="1" applyBorder="1" applyAlignment="1">
      <alignment horizont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left" vertical="center"/>
    </xf>
    <xf numFmtId="2" fontId="0" fillId="0" borderId="1" xfId="0" applyNumberFormat="1" applyBorder="1"/>
    <xf numFmtId="175" fontId="1" fillId="0" borderId="1" xfId="0" applyNumberFormat="1" applyFont="1" applyBorder="1" applyAlignment="1">
      <alignment horizontal="center" vertical="center"/>
    </xf>
    <xf numFmtId="2" fontId="1" fillId="0" borderId="1" xfId="0" applyNumberFormat="1" applyFont="1" applyBorder="1"/>
    <xf numFmtId="0" fontId="1" fillId="0" borderId="1" xfId="0" applyFont="1" applyBorder="1" applyAlignment="1">
      <alignment horizontal="center" vertical="center"/>
    </xf>
    <xf numFmtId="0" fontId="0" fillId="0" borderId="0" xfId="0" applyAlignment="1">
      <alignment horizontal="center" vertical="top" wrapText="1"/>
    </xf>
    <xf numFmtId="167" fontId="1" fillId="0" borderId="1" xfId="1" applyNumberFormat="1" applyFont="1" applyFill="1" applyBorder="1" applyAlignment="1">
      <alignment horizontal="center"/>
    </xf>
    <xf numFmtId="167" fontId="1" fillId="3" borderId="1" xfId="1" applyNumberFormat="1" applyFont="1" applyFill="1" applyBorder="1" applyAlignment="1">
      <alignment horizontal="center"/>
    </xf>
    <xf numFmtId="165" fontId="0" fillId="0" borderId="0" xfId="0" applyNumberFormat="1" applyAlignment="1">
      <alignment horizontal="left" vertical="center"/>
    </xf>
    <xf numFmtId="176" fontId="0" fillId="0" borderId="0" xfId="1" applyNumberFormat="1" applyFont="1" applyBorder="1"/>
    <xf numFmtId="165" fontId="0" fillId="0" borderId="0" xfId="1" applyFont="1" applyBorder="1"/>
    <xf numFmtId="165" fontId="0" fillId="5" borderId="20" xfId="1" applyFont="1" applyFill="1" applyBorder="1"/>
    <xf numFmtId="165" fontId="0" fillId="0" borderId="15" xfId="1" applyFont="1" applyFill="1" applyBorder="1"/>
    <xf numFmtId="167" fontId="0" fillId="3" borderId="41" xfId="1" applyNumberFormat="1" applyFont="1" applyFill="1" applyBorder="1" applyAlignment="1">
      <alignment vertical="center"/>
    </xf>
    <xf numFmtId="165" fontId="0" fillId="0" borderId="1" xfId="1" applyFont="1" applyFill="1" applyBorder="1"/>
    <xf numFmtId="1" fontId="15" fillId="3" borderId="1" xfId="8" applyNumberFormat="1" applyFont="1" applyFill="1" applyBorder="1" applyAlignment="1">
      <alignment vertical="center" wrapText="1"/>
    </xf>
    <xf numFmtId="165" fontId="10" fillId="3" borderId="0" xfId="1" applyFont="1" applyFill="1" applyBorder="1" applyAlignment="1">
      <alignment horizontal="right" vertical="center"/>
    </xf>
    <xf numFmtId="172" fontId="13" fillId="3" borderId="0" xfId="1" applyNumberFormat="1" applyFont="1" applyFill="1" applyBorder="1" applyAlignment="1">
      <alignment horizontal="right" vertical="center"/>
    </xf>
    <xf numFmtId="165" fontId="0" fillId="10" borderId="1" xfId="1" applyFont="1" applyFill="1" applyBorder="1"/>
    <xf numFmtId="165" fontId="0" fillId="10" borderId="0" xfId="1" applyFont="1" applyFill="1" applyBorder="1"/>
    <xf numFmtId="0" fontId="0" fillId="10" borderId="0" xfId="0" applyFill="1"/>
    <xf numFmtId="165" fontId="1" fillId="10" borderId="0" xfId="1" applyFont="1" applyFill="1" applyBorder="1"/>
    <xf numFmtId="165" fontId="0" fillId="6" borderId="0" xfId="1" applyFont="1" applyFill="1"/>
    <xf numFmtId="167" fontId="0" fillId="6" borderId="1" xfId="1" applyNumberFormat="1" applyFont="1" applyFill="1" applyBorder="1" applyAlignment="1">
      <alignment horizontal="center"/>
    </xf>
    <xf numFmtId="166" fontId="0" fillId="6" borderId="30" xfId="0" applyNumberFormat="1" applyFill="1" applyBorder="1" applyAlignment="1">
      <alignment vertical="center"/>
    </xf>
    <xf numFmtId="166" fontId="0" fillId="6" borderId="32" xfId="0" applyNumberFormat="1" applyFill="1" applyBorder="1" applyAlignment="1">
      <alignment horizontal="right" vertical="center"/>
    </xf>
    <xf numFmtId="165" fontId="0" fillId="0" borderId="7" xfId="1" applyFont="1" applyFill="1" applyBorder="1" applyAlignment="1">
      <alignment horizontal="center"/>
    </xf>
    <xf numFmtId="165" fontId="0" fillId="0" borderId="3" xfId="1" applyFont="1" applyFill="1" applyBorder="1" applyAlignment="1">
      <alignment horizontal="center"/>
    </xf>
    <xf numFmtId="165" fontId="0" fillId="0" borderId="29" xfId="1" applyFont="1" applyFill="1" applyBorder="1" applyAlignment="1">
      <alignment horizontal="center"/>
    </xf>
    <xf numFmtId="165" fontId="0" fillId="0" borderId="23" xfId="1" applyFont="1" applyFill="1" applyBorder="1" applyAlignment="1">
      <alignment horizontal="center"/>
    </xf>
    <xf numFmtId="165" fontId="0" fillId="0" borderId="4" xfId="1" applyFont="1" applyFill="1" applyBorder="1" applyAlignment="1">
      <alignment horizontal="center"/>
    </xf>
    <xf numFmtId="165" fontId="0" fillId="0" borderId="1" xfId="1" applyFont="1" applyFill="1" applyBorder="1" applyAlignment="1">
      <alignment horizontal="center"/>
    </xf>
    <xf numFmtId="165" fontId="0" fillId="0" borderId="5" xfId="1" applyFont="1" applyFill="1" applyBorder="1" applyAlignment="1">
      <alignment horizontal="center"/>
    </xf>
    <xf numFmtId="165" fontId="0" fillId="0" borderId="24" xfId="1" applyFont="1" applyFill="1" applyBorder="1" applyAlignment="1">
      <alignment horizontal="center"/>
    </xf>
    <xf numFmtId="165" fontId="0" fillId="0" borderId="2" xfId="1" applyFont="1" applyFill="1" applyBorder="1" applyAlignment="1">
      <alignment horizontal="center"/>
    </xf>
    <xf numFmtId="165" fontId="0" fillId="0" borderId="31" xfId="1" applyFont="1" applyFill="1" applyBorder="1" applyAlignment="1">
      <alignment horizontal="center"/>
    </xf>
    <xf numFmtId="165" fontId="0" fillId="0" borderId="26" xfId="1" applyFont="1" applyFill="1" applyBorder="1" applyAlignment="1">
      <alignment horizontal="center"/>
    </xf>
    <xf numFmtId="165" fontId="0" fillId="0" borderId="48" xfId="1" applyFont="1" applyFill="1" applyBorder="1"/>
    <xf numFmtId="165" fontId="0" fillId="0" borderId="20" xfId="1" applyFont="1" applyFill="1" applyBorder="1"/>
    <xf numFmtId="0" fontId="9" fillId="3" borderId="34" xfId="0" applyFont="1" applyFill="1" applyBorder="1" applyAlignment="1">
      <alignment horizontal="left" vertical="top"/>
    </xf>
    <xf numFmtId="0" fontId="9" fillId="3" borderId="36" xfId="0" applyFont="1" applyFill="1" applyBorder="1" applyAlignment="1">
      <alignment horizontal="left" vertical="top"/>
    </xf>
    <xf numFmtId="0" fontId="15" fillId="3" borderId="1" xfId="9" applyFont="1" applyFill="1" applyBorder="1" applyAlignment="1">
      <alignment horizontal="left" vertical="center" wrapText="1"/>
    </xf>
    <xf numFmtId="0" fontId="16" fillId="7" borderId="5" xfId="0" applyFont="1" applyFill="1" applyBorder="1" applyAlignment="1">
      <alignment horizontal="center"/>
    </xf>
    <xf numFmtId="0" fontId="16" fillId="7" borderId="6" xfId="0" applyFont="1" applyFill="1" applyBorder="1" applyAlignment="1">
      <alignment horizontal="center"/>
    </xf>
    <xf numFmtId="0" fontId="16" fillId="7" borderId="4" xfId="0" applyFont="1" applyFill="1" applyBorder="1" applyAlignment="1">
      <alignment horizontal="center"/>
    </xf>
    <xf numFmtId="0" fontId="16" fillId="7" borderId="5"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11" fillId="7" borderId="5" xfId="9" applyFont="1" applyFill="1" applyBorder="1" applyAlignment="1">
      <alignment horizontal="left" vertical="center"/>
    </xf>
    <xf numFmtId="0" fontId="11" fillId="7" borderId="4" xfId="9" applyFont="1" applyFill="1" applyBorder="1" applyAlignment="1">
      <alignment horizontal="left" vertical="center"/>
    </xf>
    <xf numFmtId="1" fontId="9" fillId="3" borderId="2" xfId="1" applyNumberFormat="1" applyFont="1" applyFill="1" applyBorder="1" applyAlignment="1">
      <alignment horizontal="center" vertical="center"/>
    </xf>
    <xf numFmtId="1" fontId="9" fillId="3" borderId="43" xfId="1" applyNumberFormat="1" applyFont="1" applyFill="1" applyBorder="1" applyAlignment="1">
      <alignment horizontal="center" vertical="center"/>
    </xf>
    <xf numFmtId="1" fontId="9" fillId="3" borderId="3" xfId="1" applyNumberFormat="1" applyFont="1" applyFill="1" applyBorder="1" applyAlignment="1">
      <alignment horizontal="center" vertical="center"/>
    </xf>
    <xf numFmtId="0" fontId="11" fillId="7" borderId="5" xfId="9" applyFont="1" applyFill="1" applyBorder="1" applyAlignment="1">
      <alignment horizontal="center" vertical="center" wrapText="1"/>
    </xf>
    <xf numFmtId="0" fontId="11" fillId="7" borderId="6" xfId="9" applyFont="1" applyFill="1" applyBorder="1" applyAlignment="1">
      <alignment horizontal="center" vertical="center" wrapText="1"/>
    </xf>
    <xf numFmtId="0" fontId="11" fillId="7" borderId="4" xfId="9" applyFont="1" applyFill="1" applyBorder="1" applyAlignment="1">
      <alignment horizontal="center"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left" vertical="center"/>
    </xf>
    <xf numFmtId="167" fontId="0" fillId="0" borderId="33" xfId="0" applyNumberFormat="1" applyBorder="1" applyAlignment="1">
      <alignment horizontal="center" vertical="center"/>
    </xf>
    <xf numFmtId="167" fontId="0" fillId="0" borderId="35" xfId="0" applyNumberFormat="1" applyBorder="1" applyAlignment="1">
      <alignment horizontal="center" vertical="center"/>
    </xf>
    <xf numFmtId="167" fontId="0" fillId="0" borderId="25" xfId="0" applyNumberFormat="1" applyBorder="1" applyAlignment="1">
      <alignment horizontal="center" vertical="center"/>
    </xf>
    <xf numFmtId="0" fontId="1" fillId="0" borderId="0" xfId="0" applyFont="1" applyAlignment="1">
      <alignment horizontal="center" vertical="center" wrapText="1"/>
    </xf>
    <xf numFmtId="0" fontId="0" fillId="6" borderId="31" xfId="0" applyFill="1" applyBorder="1" applyAlignment="1">
      <alignment horizontal="center" vertical="top" wrapText="1"/>
    </xf>
    <xf numFmtId="0" fontId="0" fillId="6" borderId="44" xfId="0" applyFill="1" applyBorder="1" applyAlignment="1">
      <alignment horizontal="center" vertical="top" wrapText="1"/>
    </xf>
    <xf numFmtId="0" fontId="0" fillId="6" borderId="45" xfId="0" applyFill="1" applyBorder="1" applyAlignment="1">
      <alignment horizontal="center" vertical="top" wrapText="1"/>
    </xf>
    <xf numFmtId="0" fontId="0" fillId="6" borderId="46" xfId="0" applyFill="1" applyBorder="1" applyAlignment="1">
      <alignment horizontal="center" vertical="top" wrapText="1"/>
    </xf>
    <xf numFmtId="0" fontId="0" fillId="6" borderId="0" xfId="0" applyFill="1" applyAlignment="1">
      <alignment horizontal="center" vertical="top" wrapText="1"/>
    </xf>
    <xf numFmtId="0" fontId="0" fillId="6" borderId="47" xfId="0" applyFill="1" applyBorder="1" applyAlignment="1">
      <alignment horizontal="center" vertical="top" wrapText="1"/>
    </xf>
    <xf numFmtId="0" fontId="0" fillId="6" borderId="29" xfId="0" applyFill="1" applyBorder="1" applyAlignment="1">
      <alignment horizontal="center" vertical="top" wrapText="1"/>
    </xf>
    <xf numFmtId="0" fontId="0" fillId="6" borderId="19" xfId="0" applyFill="1" applyBorder="1" applyAlignment="1">
      <alignment horizontal="center" vertical="top" wrapText="1"/>
    </xf>
    <xf numFmtId="0" fontId="0" fillId="6" borderId="7" xfId="0" applyFill="1" applyBorder="1" applyAlignment="1">
      <alignment horizontal="center" vertical="top" wrapText="1"/>
    </xf>
    <xf numFmtId="0" fontId="8" fillId="7" borderId="10" xfId="0" applyFont="1" applyFill="1" applyBorder="1" applyAlignment="1">
      <alignment horizontal="center" vertical="center"/>
    </xf>
    <xf numFmtId="0" fontId="8" fillId="7" borderId="12" xfId="0" applyFont="1" applyFill="1" applyBorder="1" applyAlignment="1">
      <alignment horizontal="center" vertical="center"/>
    </xf>
    <xf numFmtId="166" fontId="1" fillId="0" borderId="10" xfId="0" applyNumberFormat="1" applyFont="1" applyBorder="1" applyAlignment="1">
      <alignment horizontal="center" vertical="top" wrapText="1"/>
    </xf>
    <xf numFmtId="166" fontId="1" fillId="0" borderId="12" xfId="0" applyNumberFormat="1" applyFont="1" applyBorder="1" applyAlignment="1">
      <alignment horizontal="center" vertical="top" wrapText="1"/>
    </xf>
    <xf numFmtId="167" fontId="0" fillId="3" borderId="18" xfId="1" applyNumberFormat="1" applyFont="1" applyFill="1" applyBorder="1" applyAlignment="1">
      <alignment horizontal="center" vertical="center"/>
    </xf>
    <xf numFmtId="167" fontId="0" fillId="3" borderId="20" xfId="1" applyNumberFormat="1" applyFont="1" applyFill="1" applyBorder="1" applyAlignment="1">
      <alignment horizontal="center" vertical="center"/>
    </xf>
    <xf numFmtId="167" fontId="0" fillId="3" borderId="40" xfId="1" applyNumberFormat="1" applyFont="1" applyFill="1" applyBorder="1" applyAlignment="1">
      <alignment horizontal="center" vertical="center"/>
    </xf>
    <xf numFmtId="0" fontId="1" fillId="0" borderId="31" xfId="0" applyFont="1" applyBorder="1" applyAlignment="1">
      <alignment horizontal="center"/>
    </xf>
    <xf numFmtId="0" fontId="1" fillId="0" borderId="45" xfId="0" applyFont="1" applyBorder="1" applyAlignment="1">
      <alignment horizontal="center"/>
    </xf>
    <xf numFmtId="0" fontId="1" fillId="0" borderId="46" xfId="0" applyFont="1" applyBorder="1" applyAlignment="1">
      <alignment horizontal="center"/>
    </xf>
    <xf numFmtId="0" fontId="1" fillId="0" borderId="47" xfId="0" applyFont="1" applyBorder="1" applyAlignment="1">
      <alignment horizontal="center"/>
    </xf>
    <xf numFmtId="0" fontId="1" fillId="0" borderId="29" xfId="0" applyFont="1" applyBorder="1" applyAlignment="1">
      <alignment horizontal="center"/>
    </xf>
    <xf numFmtId="0" fontId="1" fillId="0" borderId="7" xfId="0" applyFont="1" applyBorder="1" applyAlignment="1">
      <alignment horizontal="center"/>
    </xf>
    <xf numFmtId="0" fontId="1" fillId="0" borderId="44" xfId="0" applyFont="1" applyBorder="1" applyAlignment="1">
      <alignment horizontal="center"/>
    </xf>
    <xf numFmtId="0" fontId="1" fillId="0" borderId="0" xfId="0" applyFont="1" applyAlignment="1">
      <alignment horizontal="center"/>
    </xf>
    <xf numFmtId="0" fontId="1" fillId="0" borderId="19" xfId="0" applyFont="1" applyBorder="1" applyAlignment="1">
      <alignment horizontal="center"/>
    </xf>
    <xf numFmtId="0" fontId="8" fillId="7" borderId="1" xfId="0" applyFont="1" applyFill="1" applyBorder="1" applyAlignment="1">
      <alignment horizontal="center" vertical="center"/>
    </xf>
    <xf numFmtId="0" fontId="8" fillId="7" borderId="1" xfId="0" applyFont="1" applyFill="1" applyBorder="1" applyAlignment="1">
      <alignment horizontal="center"/>
    </xf>
    <xf numFmtId="0" fontId="8" fillId="8" borderId="1" xfId="0" applyFont="1" applyFill="1" applyBorder="1" applyAlignment="1">
      <alignment horizontal="center"/>
    </xf>
    <xf numFmtId="167" fontId="0" fillId="3" borderId="1" xfId="1" applyNumberFormat="1" applyFont="1" applyFill="1" applyBorder="1" applyAlignment="1">
      <alignment horizontal="center" vertical="top"/>
    </xf>
    <xf numFmtId="0" fontId="8" fillId="8" borderId="1" xfId="0" applyFont="1" applyFill="1" applyBorder="1" applyAlignment="1">
      <alignment horizontal="center" vertical="top" wrapText="1"/>
    </xf>
    <xf numFmtId="0" fontId="1" fillId="0" borderId="1" xfId="0" applyFont="1" applyBorder="1" applyAlignment="1">
      <alignment horizontal="center"/>
    </xf>
    <xf numFmtId="171" fontId="7" fillId="5" borderId="2" xfId="0" applyNumberFormat="1" applyFont="1" applyFill="1" applyBorder="1" applyAlignment="1">
      <alignment horizontal="center"/>
    </xf>
    <xf numFmtId="171" fontId="7" fillId="5" borderId="3" xfId="0" applyNumberFormat="1" applyFont="1" applyFill="1" applyBorder="1" applyAlignment="1">
      <alignment horizontal="center"/>
    </xf>
    <xf numFmtId="0" fontId="0" fillId="0" borderId="1" xfId="0" applyBorder="1" applyAlignment="1">
      <alignment horizontal="left" vertical="top" wrapText="1"/>
    </xf>
    <xf numFmtId="0" fontId="0" fillId="0" borderId="5" xfId="0" applyBorder="1" applyAlignment="1">
      <alignment horizontal="left" vertical="top"/>
    </xf>
    <xf numFmtId="0" fontId="0" fillId="0" borderId="6" xfId="0" applyBorder="1" applyAlignment="1">
      <alignment horizontal="left" vertical="top"/>
    </xf>
    <xf numFmtId="0" fontId="0" fillId="0" borderId="4" xfId="0" applyBorder="1" applyAlignment="1">
      <alignment horizontal="left" vertical="top"/>
    </xf>
    <xf numFmtId="0" fontId="8" fillId="8" borderId="10"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0" fillId="0" borderId="5" xfId="0" applyBorder="1" applyAlignment="1">
      <alignment horizontal="left"/>
    </xf>
    <xf numFmtId="0" fontId="0" fillId="0" borderId="6" xfId="0" applyBorder="1" applyAlignment="1">
      <alignment horizontal="left"/>
    </xf>
    <xf numFmtId="0" fontId="0" fillId="0" borderId="4" xfId="0" applyBorder="1" applyAlignment="1">
      <alignment horizontal="left"/>
    </xf>
    <xf numFmtId="167" fontId="0" fillId="0" borderId="36" xfId="1" applyNumberFormat="1" applyFont="1" applyFill="1" applyBorder="1" applyAlignment="1">
      <alignment horizontal="center" vertical="center"/>
    </xf>
    <xf numFmtId="167" fontId="0" fillId="0" borderId="37" xfId="1" applyNumberFormat="1" applyFont="1" applyFill="1" applyBorder="1" applyAlignment="1">
      <alignment horizontal="center" vertical="center"/>
    </xf>
    <xf numFmtId="167" fontId="0" fillId="0" borderId="38" xfId="1" applyNumberFormat="1" applyFont="1" applyFill="1" applyBorder="1" applyAlignment="1">
      <alignment horizontal="center" vertical="center"/>
    </xf>
  </cellXfs>
  <cellStyles count="11">
    <cellStyle name="Comma 7" xfId="8" xr:uid="{A10088E5-72A1-4767-8CCD-2639013ED0A6}"/>
    <cellStyle name="Millares" xfId="1" builtinId="3"/>
    <cellStyle name="Normal" xfId="0" builtinId="0"/>
    <cellStyle name="Normal 13" xfId="6" xr:uid="{00000000-0005-0000-0000-000002000000}"/>
    <cellStyle name="Normal 16" xfId="7" xr:uid="{33C1ED1A-7A03-42EE-9539-B3B76BCB336F}"/>
    <cellStyle name="Normal 17" xfId="4" xr:uid="{00000000-0005-0000-0000-000003000000}"/>
    <cellStyle name="Normal 2 2" xfId="9" xr:uid="{E7DF6E38-5588-4383-82CD-A5354E883DCC}"/>
    <cellStyle name="Normal 3 2" xfId="5" xr:uid="{00000000-0005-0000-0000-000004000000}"/>
    <cellStyle name="Normal 4" xfId="2" xr:uid="{00000000-0005-0000-0000-000005000000}"/>
    <cellStyle name="Percent 2" xfId="10" xr:uid="{ACFB3CC7-77B1-49CC-83D8-235688DAF708}"/>
    <cellStyle name="Porcentaje" xfId="3" builtin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Vipul Sahu" id="{C6CB3083-CF69-4056-99D3-CD3AB889254D}" userId="Vipul Sahu"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0" dT="2024-10-29T11:23:32.91" personId="{C6CB3083-CF69-4056-99D3-CD3AB889254D}" id="{A5C0946F-E252-49F7-B774-5471EBE2ED0F}">
    <text xml:space="preserve">The Time of Reading taken is on 00:00. </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5B9A1-BAE8-4A70-B380-49D3766AA0A8}">
  <dimension ref="C1:K63"/>
  <sheetViews>
    <sheetView tabSelected="1" zoomScale="70" zoomScaleNormal="70" workbookViewId="0">
      <selection activeCell="G21" sqref="G21"/>
    </sheetView>
  </sheetViews>
  <sheetFormatPr baseColWidth="10" defaultColWidth="9.26953125" defaultRowHeight="14"/>
  <cols>
    <col min="1" max="1" width="3.26953125" style="64" customWidth="1"/>
    <col min="2" max="2" width="4.54296875" style="64" customWidth="1"/>
    <col min="3" max="3" width="31.7265625" style="64" customWidth="1"/>
    <col min="4" max="4" width="16" style="64" customWidth="1"/>
    <col min="5" max="5" width="17.54296875" style="64" customWidth="1"/>
    <col min="6" max="6" width="14.7265625" style="64" customWidth="1"/>
    <col min="7" max="7" width="17.26953125" style="64" customWidth="1"/>
    <col min="8" max="8" width="18.453125" style="64" customWidth="1"/>
    <col min="9" max="9" width="13.7265625" style="64" bestFit="1" customWidth="1"/>
    <col min="10" max="10" width="15" style="64" customWidth="1"/>
    <col min="11" max="11" width="15.7265625" style="64" customWidth="1"/>
    <col min="12" max="16384" width="9.26953125" style="64"/>
  </cols>
  <sheetData>
    <row r="1" spans="3:9" ht="14.5" thickBot="1"/>
    <row r="2" spans="3:9">
      <c r="C2" s="65" t="s">
        <v>32</v>
      </c>
      <c r="D2" s="188" t="s">
        <v>33</v>
      </c>
      <c r="E2" s="188"/>
      <c r="F2" s="188"/>
      <c r="G2" s="188"/>
      <c r="H2" s="189"/>
      <c r="I2" s="66"/>
    </row>
    <row r="3" spans="3:9">
      <c r="C3" s="67" t="s">
        <v>34</v>
      </c>
      <c r="D3" s="66" t="s">
        <v>35</v>
      </c>
      <c r="E3" s="66"/>
      <c r="F3" s="66"/>
      <c r="G3" s="66"/>
      <c r="H3" s="68"/>
      <c r="I3" s="66"/>
    </row>
    <row r="4" spans="3:9">
      <c r="C4" s="67" t="s">
        <v>36</v>
      </c>
      <c r="D4" s="66">
        <v>2</v>
      </c>
      <c r="E4" s="66"/>
      <c r="F4" s="66"/>
      <c r="G4" s="66"/>
      <c r="H4" s="68"/>
      <c r="I4" s="66"/>
    </row>
    <row r="5" spans="3:9">
      <c r="C5" s="67" t="s">
        <v>0</v>
      </c>
      <c r="D5" s="66" t="s">
        <v>38</v>
      </c>
      <c r="E5" s="66"/>
      <c r="F5" s="66"/>
      <c r="G5" s="66"/>
      <c r="H5" s="68"/>
      <c r="I5" s="66"/>
    </row>
    <row r="6" spans="3:9" ht="14.5" thickBot="1">
      <c r="C6" s="69" t="s">
        <v>37</v>
      </c>
      <c r="D6" s="70">
        <v>45621</v>
      </c>
      <c r="E6" s="71"/>
      <c r="F6" s="71"/>
      <c r="G6" s="71"/>
      <c r="H6" s="72"/>
      <c r="I6" s="66"/>
    </row>
    <row r="7" spans="3:9" ht="14.5" thickBot="1"/>
    <row r="8" spans="3:9" ht="14.5" thickBot="1">
      <c r="C8" s="73" t="s">
        <v>78</v>
      </c>
      <c r="D8" s="74"/>
      <c r="E8" s="74"/>
      <c r="F8" s="74"/>
      <c r="G8" s="75" t="s">
        <v>95</v>
      </c>
      <c r="H8" s="76" t="s">
        <v>72</v>
      </c>
    </row>
    <row r="9" spans="3:9">
      <c r="C9" s="65" t="s">
        <v>23</v>
      </c>
      <c r="D9" s="77"/>
      <c r="E9" s="77"/>
      <c r="F9" s="77"/>
      <c r="G9" s="78">
        <v>45108</v>
      </c>
      <c r="H9" s="79" t="s">
        <v>53</v>
      </c>
    </row>
    <row r="10" spans="3:9" ht="14.5">
      <c r="C10" s="67" t="s">
        <v>24</v>
      </c>
      <c r="D10" s="80"/>
      <c r="E10" s="80"/>
      <c r="F10" s="80"/>
      <c r="G10" s="81">
        <v>45342</v>
      </c>
      <c r="H10" s="82" t="s">
        <v>53</v>
      </c>
      <c r="I10" s="83"/>
    </row>
    <row r="11" spans="3:9">
      <c r="C11" s="67" t="s">
        <v>25</v>
      </c>
      <c r="D11" s="80"/>
      <c r="E11" s="80"/>
      <c r="F11" s="80"/>
      <c r="G11" s="84">
        <f>G10-G9+1</f>
        <v>235</v>
      </c>
      <c r="H11" s="82" t="s">
        <v>54</v>
      </c>
    </row>
    <row r="12" spans="3:9">
      <c r="C12" s="67" t="s">
        <v>26</v>
      </c>
      <c r="D12" s="80"/>
      <c r="E12" s="80"/>
      <c r="F12" s="80"/>
      <c r="G12" s="85">
        <v>479448</v>
      </c>
      <c r="H12" s="82" t="s">
        <v>88</v>
      </c>
    </row>
    <row r="13" spans="3:9" ht="17">
      <c r="C13" s="87" t="s">
        <v>96</v>
      </c>
      <c r="D13" s="80"/>
      <c r="E13" s="80"/>
      <c r="F13" s="80"/>
      <c r="G13" s="88">
        <v>0.98170000000000002</v>
      </c>
      <c r="H13" s="82" t="s">
        <v>97</v>
      </c>
    </row>
    <row r="14" spans="3:9">
      <c r="C14" s="87" t="s">
        <v>55</v>
      </c>
      <c r="D14" s="80"/>
      <c r="E14" s="80"/>
      <c r="F14" s="80"/>
      <c r="G14" s="89">
        <f>ROUNDDOWN(G12/365*G11,0)</f>
        <v>308685</v>
      </c>
      <c r="H14" s="82" t="s">
        <v>88</v>
      </c>
    </row>
    <row r="15" spans="3:9">
      <c r="C15" s="67" t="s">
        <v>56</v>
      </c>
      <c r="D15" s="80"/>
      <c r="E15" s="80"/>
      <c r="F15" s="80"/>
      <c r="G15" s="165">
        <f>F27</f>
        <v>218962.65245170516</v>
      </c>
      <c r="H15" s="82" t="s">
        <v>2</v>
      </c>
    </row>
    <row r="16" spans="3:9">
      <c r="C16" s="67" t="s">
        <v>57</v>
      </c>
      <c r="D16" s="80"/>
      <c r="E16" s="80"/>
      <c r="F16" s="80"/>
      <c r="G16" s="89">
        <f>I27</f>
        <v>214952</v>
      </c>
      <c r="H16" s="82" t="s">
        <v>88</v>
      </c>
    </row>
    <row r="17" spans="3:11">
      <c r="C17" s="67" t="s">
        <v>58</v>
      </c>
      <c r="D17" s="80"/>
      <c r="E17" s="80"/>
      <c r="F17" s="80"/>
      <c r="G17" s="89">
        <v>0</v>
      </c>
      <c r="H17" s="82" t="s">
        <v>88</v>
      </c>
    </row>
    <row r="18" spans="3:11">
      <c r="C18" s="67" t="s">
        <v>3</v>
      </c>
      <c r="D18" s="80"/>
      <c r="E18" s="80"/>
      <c r="F18" s="80"/>
      <c r="G18" s="89">
        <v>0</v>
      </c>
      <c r="H18" s="82" t="s">
        <v>88</v>
      </c>
      <c r="J18" s="90"/>
    </row>
    <row r="19" spans="3:11">
      <c r="C19" s="67" t="s">
        <v>27</v>
      </c>
      <c r="D19" s="80"/>
      <c r="E19" s="80"/>
      <c r="F19" s="80"/>
      <c r="G19" s="166">
        <f>G16-G17-G18</f>
        <v>214952</v>
      </c>
      <c r="H19" s="82" t="s">
        <v>88</v>
      </c>
      <c r="J19" s="91"/>
    </row>
    <row r="20" spans="3:11" ht="14.5" thickBot="1">
      <c r="C20" s="69" t="s">
        <v>28</v>
      </c>
      <c r="D20" s="92"/>
      <c r="E20" s="92"/>
      <c r="F20" s="92"/>
      <c r="G20" s="93">
        <f>(G19-G14)/G14</f>
        <v>-0.30365259082883844</v>
      </c>
      <c r="H20" s="94" t="s">
        <v>1</v>
      </c>
      <c r="J20" s="90"/>
    </row>
    <row r="21" spans="3:11">
      <c r="G21" s="95"/>
    </row>
    <row r="22" spans="3:11">
      <c r="C22" s="108" t="s">
        <v>84</v>
      </c>
      <c r="D22" s="191" t="s">
        <v>106</v>
      </c>
      <c r="E22" s="192"/>
      <c r="F22" s="193"/>
      <c r="G22" s="194" t="s">
        <v>108</v>
      </c>
      <c r="H22" s="195"/>
      <c r="I22" s="196"/>
      <c r="J22" s="191" t="s">
        <v>107</v>
      </c>
      <c r="K22" s="192"/>
    </row>
    <row r="23" spans="3:11" ht="39" customHeight="1">
      <c r="C23" s="96" t="s">
        <v>81</v>
      </c>
      <c r="D23" s="97" t="s">
        <v>79</v>
      </c>
      <c r="E23" s="98" t="s">
        <v>80</v>
      </c>
      <c r="F23" s="99" t="s">
        <v>59</v>
      </c>
      <c r="G23" s="97" t="s">
        <v>115</v>
      </c>
      <c r="H23" s="98" t="s">
        <v>80</v>
      </c>
      <c r="I23" s="99" t="s">
        <v>59</v>
      </c>
      <c r="J23" s="97" t="s">
        <v>109</v>
      </c>
      <c r="K23" s="98" t="s">
        <v>110</v>
      </c>
    </row>
    <row r="24" spans="3:11">
      <c r="C24" s="109" t="s">
        <v>62</v>
      </c>
      <c r="D24" s="110">
        <f>'Burgula_(AP)'!I3</f>
        <v>40403.964230000005</v>
      </c>
      <c r="E24" s="100">
        <f>'Burgula_(AP)'!I9</f>
        <v>6198.1871633970268</v>
      </c>
      <c r="F24" s="139">
        <f>D24+E24</f>
        <v>46602.151393397035</v>
      </c>
      <c r="G24" s="102">
        <f>'Burgula_(AP)'!J3</f>
        <v>39664</v>
      </c>
      <c r="H24" s="102">
        <f>'Burgula_(AP)'!J9</f>
        <v>6084</v>
      </c>
      <c r="I24" s="101">
        <f>G24+H24</f>
        <v>45748</v>
      </c>
      <c r="J24" s="164">
        <v>0</v>
      </c>
      <c r="K24" s="199">
        <v>84</v>
      </c>
    </row>
    <row r="25" spans="3:11">
      <c r="C25" s="109" t="s">
        <v>63</v>
      </c>
      <c r="D25" s="110">
        <f>'Savalsang_(Karnataka)'!BB4</f>
        <v>82824.706000000006</v>
      </c>
      <c r="E25" s="100">
        <f>'Savalsang_(Karnataka)'!BB10</f>
        <v>12165.250604101926</v>
      </c>
      <c r="F25" s="139">
        <f>D25+E25</f>
        <v>94989.956604101928</v>
      </c>
      <c r="G25" s="102">
        <f>'Savalsang_(Karnataka)'!BC4</f>
        <v>81309</v>
      </c>
      <c r="H25" s="102">
        <f>'Savalsang_(Karnataka)'!BC10</f>
        <v>11942</v>
      </c>
      <c r="I25" s="101">
        <f t="shared" ref="I25:I26" si="0">G25+H25</f>
        <v>93251</v>
      </c>
      <c r="J25" s="164">
        <v>5</v>
      </c>
      <c r="K25" s="200"/>
    </row>
    <row r="26" spans="3:11">
      <c r="C26" s="109" t="s">
        <v>64</v>
      </c>
      <c r="D26" s="110">
        <f>Vagarai_TN!H3</f>
        <v>70237.126045008743</v>
      </c>
      <c r="E26" s="100">
        <f>Vagarai_TN!H9</f>
        <v>7133.4184091974348</v>
      </c>
      <c r="F26" s="139">
        <f t="shared" ref="F26" si="1">D26+E26</f>
        <v>77370.544454206174</v>
      </c>
      <c r="G26" s="102">
        <f>Vagarai_TN!I3</f>
        <v>68951</v>
      </c>
      <c r="H26" s="102">
        <f>Vagarai_TN!I9</f>
        <v>7002</v>
      </c>
      <c r="I26" s="101">
        <f t="shared" si="0"/>
        <v>75953</v>
      </c>
      <c r="J26" s="164">
        <v>25</v>
      </c>
      <c r="K26" s="201"/>
    </row>
    <row r="27" spans="3:11" s="104" customFormat="1">
      <c r="C27" s="140" t="s">
        <v>60</v>
      </c>
      <c r="D27" s="141">
        <f>SUM(D24:D26)</f>
        <v>193465.79627500876</v>
      </c>
      <c r="E27" s="117">
        <f>SUM(E24:E26)</f>
        <v>25496.856176696387</v>
      </c>
      <c r="F27" s="143">
        <f>D27+E27</f>
        <v>218962.65245170516</v>
      </c>
      <c r="G27" s="103">
        <f>ROUNDDOWN(SUM(G24:G26),0)</f>
        <v>189924</v>
      </c>
      <c r="H27" s="103">
        <f>ROUNDDOWN(SUM(H24:H26),0)</f>
        <v>25028</v>
      </c>
      <c r="I27" s="142">
        <f>G27+H27</f>
        <v>214952</v>
      </c>
      <c r="J27" s="144">
        <f>SUM(J24:J26)</f>
        <v>30</v>
      </c>
      <c r="K27" s="145">
        <f>SUM(K24:K26)</f>
        <v>84</v>
      </c>
    </row>
    <row r="28" spans="3:11">
      <c r="F28" s="91"/>
      <c r="G28" s="105"/>
      <c r="I28" s="86"/>
    </row>
    <row r="29" spans="3:11" ht="28">
      <c r="C29" s="197" t="s">
        <v>70</v>
      </c>
      <c r="D29" s="198"/>
      <c r="E29" s="111" t="s">
        <v>71</v>
      </c>
      <c r="F29" s="111" t="s">
        <v>72</v>
      </c>
      <c r="G29" s="112" t="str">
        <f>G23</f>
        <v>01/07/2023 to 31/12/2023</v>
      </c>
      <c r="H29" s="113" t="str">
        <f>H23</f>
        <v>01/01/2024 to 20/02/2024</v>
      </c>
      <c r="I29" s="114" t="s">
        <v>73</v>
      </c>
    </row>
    <row r="30" spans="3:11" ht="16">
      <c r="C30" s="190" t="s">
        <v>74</v>
      </c>
      <c r="D30" s="190"/>
      <c r="E30" s="115" t="s">
        <v>98</v>
      </c>
      <c r="F30" s="116" t="s">
        <v>2</v>
      </c>
      <c r="G30" s="117">
        <f>D27</f>
        <v>193465.79627500876</v>
      </c>
      <c r="H30" s="117">
        <f>E27</f>
        <v>25496.856176696387</v>
      </c>
      <c r="I30" s="117">
        <f>SUM(G30:H30)</f>
        <v>218962.65245170516</v>
      </c>
    </row>
    <row r="31" spans="3:11" ht="16">
      <c r="C31" s="190" t="s">
        <v>75</v>
      </c>
      <c r="D31" s="190"/>
      <c r="E31" s="115" t="s">
        <v>99</v>
      </c>
      <c r="F31" s="115" t="s">
        <v>100</v>
      </c>
      <c r="G31" s="118">
        <f>G27</f>
        <v>189924</v>
      </c>
      <c r="H31" s="118">
        <f>H27</f>
        <v>25028</v>
      </c>
      <c r="I31" s="118">
        <f t="shared" ref="I31:I33" si="2">SUM(G31:H31)</f>
        <v>214952</v>
      </c>
    </row>
    <row r="32" spans="3:11" ht="16">
      <c r="C32" s="190" t="s">
        <v>76</v>
      </c>
      <c r="D32" s="190"/>
      <c r="E32" s="115" t="s">
        <v>101</v>
      </c>
      <c r="F32" s="115" t="s">
        <v>100</v>
      </c>
      <c r="G32" s="119">
        <v>0</v>
      </c>
      <c r="H32" s="119">
        <v>0</v>
      </c>
      <c r="I32" s="119">
        <f t="shared" si="2"/>
        <v>0</v>
      </c>
    </row>
    <row r="33" spans="3:9" ht="16">
      <c r="C33" s="190" t="s">
        <v>77</v>
      </c>
      <c r="D33" s="190"/>
      <c r="E33" s="115" t="s">
        <v>102</v>
      </c>
      <c r="F33" s="115" t="s">
        <v>100</v>
      </c>
      <c r="G33" s="119">
        <v>0</v>
      </c>
      <c r="H33" s="119">
        <v>0</v>
      </c>
      <c r="I33" s="119">
        <f t="shared" si="2"/>
        <v>0</v>
      </c>
    </row>
    <row r="34" spans="3:9" ht="46.15" customHeight="1">
      <c r="C34" s="190" t="s">
        <v>103</v>
      </c>
      <c r="D34" s="190"/>
      <c r="E34" s="115" t="s">
        <v>104</v>
      </c>
      <c r="F34" s="115" t="s">
        <v>100</v>
      </c>
      <c r="G34" s="120">
        <f>G31-G32-G33</f>
        <v>189924</v>
      </c>
      <c r="H34" s="120">
        <f>H31-H32-H33</f>
        <v>25028</v>
      </c>
      <c r="I34" s="120">
        <f>SUM(G34:H34)</f>
        <v>214952</v>
      </c>
    </row>
    <row r="36" spans="3:9" ht="28">
      <c r="C36" s="202" t="s">
        <v>78</v>
      </c>
      <c r="D36" s="203"/>
      <c r="E36" s="204"/>
      <c r="F36" s="111" t="s">
        <v>72</v>
      </c>
      <c r="G36" s="113" t="str">
        <f>G29</f>
        <v>01/07/2023 to 31/12/2023</v>
      </c>
      <c r="H36" s="113" t="str">
        <f>H29</f>
        <v>01/01/2024 to 20/02/2024</v>
      </c>
      <c r="I36" s="114" t="str">
        <f>I29</f>
        <v>01/07/2023 to 31/03/2024</v>
      </c>
    </row>
    <row r="37" spans="3:9">
      <c r="C37" s="190" t="s">
        <v>85</v>
      </c>
      <c r="D37" s="190"/>
      <c r="E37" s="190"/>
      <c r="F37" s="121" t="s">
        <v>86</v>
      </c>
      <c r="G37" s="122">
        <f>G34</f>
        <v>189924</v>
      </c>
      <c r="H37" s="122">
        <f>H34</f>
        <v>25028</v>
      </c>
      <c r="I37" s="122">
        <f>G37+H37</f>
        <v>214952</v>
      </c>
    </row>
    <row r="38" spans="3:9">
      <c r="C38" s="190" t="s">
        <v>89</v>
      </c>
      <c r="D38" s="190"/>
      <c r="E38" s="190"/>
      <c r="F38" s="121" t="s">
        <v>87</v>
      </c>
      <c r="G38" s="123">
        <v>45108</v>
      </c>
      <c r="H38" s="123">
        <f>G39+1</f>
        <v>45292</v>
      </c>
      <c r="I38" s="124" t="s">
        <v>82</v>
      </c>
    </row>
    <row r="39" spans="3:9">
      <c r="C39" s="190" t="s">
        <v>90</v>
      </c>
      <c r="D39" s="190"/>
      <c r="E39" s="190"/>
      <c r="F39" s="121" t="s">
        <v>87</v>
      </c>
      <c r="G39" s="123">
        <v>45291</v>
      </c>
      <c r="H39" s="125" t="str">
        <f>I39</f>
        <v>20/02/2024</v>
      </c>
      <c r="I39" s="124" t="s">
        <v>83</v>
      </c>
    </row>
    <row r="40" spans="3:9">
      <c r="C40" s="190" t="s">
        <v>91</v>
      </c>
      <c r="D40" s="190"/>
      <c r="E40" s="190"/>
      <c r="F40" s="121" t="s">
        <v>87</v>
      </c>
      <c r="G40" s="126">
        <f>G39-G38+1</f>
        <v>184</v>
      </c>
      <c r="H40" s="126">
        <f>H39-H38+1</f>
        <v>51</v>
      </c>
      <c r="I40" s="126">
        <f>I39-I38+1</f>
        <v>235</v>
      </c>
    </row>
    <row r="41" spans="3:9" ht="33.75" customHeight="1">
      <c r="C41" s="190" t="s">
        <v>92</v>
      </c>
      <c r="D41" s="190"/>
      <c r="E41" s="190"/>
      <c r="F41" s="121" t="s">
        <v>88</v>
      </c>
      <c r="G41" s="106">
        <f>G12</f>
        <v>479448</v>
      </c>
      <c r="H41" s="106">
        <f>G41</f>
        <v>479448</v>
      </c>
      <c r="I41" s="106">
        <f>H41</f>
        <v>479448</v>
      </c>
    </row>
    <row r="42" spans="3:9">
      <c r="C42" s="190" t="s">
        <v>93</v>
      </c>
      <c r="D42" s="190"/>
      <c r="E42" s="190"/>
      <c r="F42" s="121" t="s">
        <v>86</v>
      </c>
      <c r="G42" s="122">
        <f>ROUNDDOWN((G41*G40/365),0)</f>
        <v>241694</v>
      </c>
      <c r="H42" s="122">
        <f>ROUNDDOWN((H41*H40/365),0)</f>
        <v>66991</v>
      </c>
      <c r="I42" s="122">
        <f>ROUNDDOWN((I41*I40/365),0)</f>
        <v>308685</v>
      </c>
    </row>
    <row r="43" spans="3:9">
      <c r="C43" s="190" t="s">
        <v>94</v>
      </c>
      <c r="D43" s="190"/>
      <c r="E43" s="190"/>
      <c r="F43" s="121" t="s">
        <v>1</v>
      </c>
      <c r="G43" s="127">
        <f>(G37-G42)/G42</f>
        <v>-0.21419646329656508</v>
      </c>
      <c r="H43" s="127">
        <f>(H37-H42)/H42</f>
        <v>-0.62639757579376332</v>
      </c>
      <c r="I43" s="127">
        <f>(I37-I42)/I42</f>
        <v>-0.30365259082883844</v>
      </c>
    </row>
    <row r="44" spans="3:9">
      <c r="F44" s="107"/>
      <c r="G44" s="107"/>
      <c r="H44" s="107"/>
    </row>
    <row r="45" spans="3:9">
      <c r="D45" s="107"/>
      <c r="E45" s="107"/>
      <c r="F45" s="107"/>
      <c r="G45" s="107"/>
      <c r="H45" s="107"/>
    </row>
    <row r="46" spans="3:9">
      <c r="D46" s="107"/>
      <c r="E46" s="107"/>
      <c r="F46" s="107"/>
      <c r="G46" s="107"/>
      <c r="H46" s="107"/>
    </row>
    <row r="47" spans="3:9">
      <c r="D47" s="107"/>
      <c r="E47" s="107"/>
      <c r="F47" s="107"/>
      <c r="G47" s="107"/>
      <c r="H47" s="107"/>
    </row>
    <row r="48" spans="3:9">
      <c r="C48" s="107"/>
      <c r="D48" s="107"/>
      <c r="E48" s="107"/>
      <c r="F48" s="107"/>
      <c r="G48" s="107"/>
      <c r="H48" s="107"/>
    </row>
    <row r="49" spans="3:8">
      <c r="C49" s="107"/>
      <c r="D49" s="107"/>
      <c r="E49" s="107"/>
      <c r="F49" s="107"/>
      <c r="G49" s="107"/>
      <c r="H49" s="107"/>
    </row>
    <row r="50" spans="3:8">
      <c r="C50" s="107"/>
      <c r="D50" s="107"/>
      <c r="E50" s="107"/>
      <c r="F50" s="107"/>
      <c r="G50" s="107"/>
      <c r="H50" s="107"/>
    </row>
    <row r="51" spans="3:8">
      <c r="C51" s="107"/>
      <c r="D51" s="107"/>
      <c r="E51" s="107"/>
      <c r="F51" s="107"/>
      <c r="G51" s="107"/>
      <c r="H51" s="107"/>
    </row>
    <row r="52" spans="3:8">
      <c r="C52" s="107"/>
      <c r="D52" s="107"/>
      <c r="E52" s="107"/>
      <c r="F52" s="107"/>
      <c r="G52" s="107"/>
      <c r="H52" s="107"/>
    </row>
    <row r="53" spans="3:8">
      <c r="C53" s="107"/>
      <c r="D53" s="107"/>
      <c r="E53" s="107"/>
      <c r="F53" s="107"/>
      <c r="G53" s="107"/>
      <c r="H53" s="107"/>
    </row>
    <row r="54" spans="3:8">
      <c r="C54" s="107"/>
      <c r="D54" s="107"/>
      <c r="E54" s="107"/>
      <c r="F54" s="107"/>
      <c r="G54" s="107"/>
      <c r="H54" s="107"/>
    </row>
    <row r="55" spans="3:8">
      <c r="C55" s="107"/>
      <c r="D55" s="107"/>
      <c r="E55" s="107"/>
      <c r="F55" s="107"/>
      <c r="G55" s="107"/>
      <c r="H55" s="107"/>
    </row>
    <row r="56" spans="3:8">
      <c r="C56" s="107"/>
      <c r="D56" s="107"/>
      <c r="E56" s="107"/>
      <c r="F56" s="107"/>
      <c r="G56" s="107"/>
      <c r="H56" s="107"/>
    </row>
    <row r="57" spans="3:8">
      <c r="C57" s="107"/>
      <c r="D57" s="107"/>
      <c r="E57" s="107"/>
      <c r="F57" s="107"/>
      <c r="G57" s="107"/>
      <c r="H57" s="107"/>
    </row>
    <row r="58" spans="3:8">
      <c r="C58" s="107"/>
      <c r="D58" s="107"/>
      <c r="E58" s="107"/>
      <c r="F58" s="107"/>
      <c r="G58" s="107"/>
      <c r="H58" s="107"/>
    </row>
    <row r="59" spans="3:8">
      <c r="C59" s="107"/>
      <c r="D59" s="107"/>
      <c r="E59" s="107"/>
      <c r="F59" s="107"/>
      <c r="G59" s="107"/>
      <c r="H59" s="107"/>
    </row>
    <row r="60" spans="3:8">
      <c r="C60" s="107"/>
      <c r="D60" s="107"/>
      <c r="E60" s="107"/>
      <c r="F60" s="107"/>
      <c r="G60" s="107"/>
      <c r="H60" s="107"/>
    </row>
    <row r="61" spans="3:8">
      <c r="F61" s="107"/>
      <c r="G61" s="107"/>
      <c r="H61" s="107"/>
    </row>
    <row r="62" spans="3:8">
      <c r="F62" s="107"/>
      <c r="G62" s="107"/>
      <c r="H62" s="107"/>
    </row>
    <row r="63" spans="3:8">
      <c r="F63" s="107"/>
      <c r="G63" s="107"/>
      <c r="H63" s="107"/>
    </row>
  </sheetData>
  <mergeCells count="19">
    <mergeCell ref="C42:E42"/>
    <mergeCell ref="C43:E43"/>
    <mergeCell ref="C37:E37"/>
    <mergeCell ref="C38:E38"/>
    <mergeCell ref="C39:E39"/>
    <mergeCell ref="C40:E40"/>
    <mergeCell ref="C41:E41"/>
    <mergeCell ref="C31:D31"/>
    <mergeCell ref="C32:D32"/>
    <mergeCell ref="C33:D33"/>
    <mergeCell ref="C34:D34"/>
    <mergeCell ref="C36:E36"/>
    <mergeCell ref="D2:H2"/>
    <mergeCell ref="C30:D30"/>
    <mergeCell ref="D22:F22"/>
    <mergeCell ref="J22:K22"/>
    <mergeCell ref="G22:I22"/>
    <mergeCell ref="C29:D29"/>
    <mergeCell ref="K24:K26"/>
  </mergeCells>
  <conditionalFormatting sqref="C24:C26">
    <cfRule type="duplicateValues" dxfId="0" priority="3"/>
  </conditionalFormatting>
  <pageMargins left="0.7" right="0.7" top="0.75" bottom="0.75" header="0.3" footer="0.3"/>
  <ignoredErrors>
    <ignoredError sqref="F27"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B50"/>
  <sheetViews>
    <sheetView showGridLines="0" zoomScale="85" zoomScaleNormal="85" workbookViewId="0">
      <selection activeCell="J3" sqref="J3:J8"/>
    </sheetView>
  </sheetViews>
  <sheetFormatPr baseColWidth="10" defaultColWidth="8.7265625" defaultRowHeight="14.5"/>
  <cols>
    <col min="1" max="1" width="5" customWidth="1"/>
    <col min="2" max="2" width="13.54296875" customWidth="1"/>
    <col min="3" max="3" width="14.26953125" customWidth="1"/>
    <col min="4" max="4" width="14.7265625" bestFit="1" customWidth="1"/>
    <col min="5" max="5" width="10.54296875" bestFit="1" customWidth="1"/>
    <col min="6" max="6" width="16.7265625" customWidth="1"/>
    <col min="7" max="8" width="14.7265625" bestFit="1" customWidth="1"/>
    <col min="9" max="9" width="14.26953125" customWidth="1"/>
    <col min="10" max="10" width="19.7265625" bestFit="1" customWidth="1"/>
    <col min="11" max="11" width="11.54296875" customWidth="1"/>
    <col min="13" max="13" width="35.26953125" customWidth="1"/>
    <col min="14" max="14" width="23.7265625" customWidth="1"/>
  </cols>
  <sheetData>
    <row r="1" spans="2:14" ht="15" thickBot="1"/>
    <row r="2" spans="2:14" ht="29.65" customHeight="1" thickBot="1">
      <c r="B2" s="221" t="s">
        <v>6</v>
      </c>
      <c r="C2" s="222"/>
      <c r="D2" s="128" t="s">
        <v>40</v>
      </c>
      <c r="E2" s="129" t="s">
        <v>41</v>
      </c>
      <c r="F2" s="130" t="s">
        <v>42</v>
      </c>
      <c r="G2" s="131" t="s">
        <v>29</v>
      </c>
      <c r="H2" s="132" t="s">
        <v>39</v>
      </c>
      <c r="I2" s="133" t="s">
        <v>105</v>
      </c>
      <c r="J2" s="134" t="s">
        <v>61</v>
      </c>
    </row>
    <row r="3" spans="2:14">
      <c r="B3" s="29">
        <v>45108</v>
      </c>
      <c r="C3" s="31">
        <v>45138</v>
      </c>
      <c r="D3" s="175">
        <v>16518800</v>
      </c>
      <c r="E3" s="176">
        <v>100</v>
      </c>
      <c r="F3" s="177">
        <f t="shared" ref="F3:F10" si="0">D3-E3</f>
        <v>16518700</v>
      </c>
      <c r="G3" s="178">
        <v>15561791.439999999</v>
      </c>
      <c r="H3" s="38">
        <f>MIN(F3:G3)</f>
        <v>15561791.439999999</v>
      </c>
      <c r="I3" s="225">
        <f>SUM(H3:H8)/1000</f>
        <v>40403.964230000005</v>
      </c>
      <c r="J3" s="208">
        <f>ROUNDDOWN(I3*'ER Calculations'!G13,0)</f>
        <v>39664</v>
      </c>
      <c r="K3" s="19"/>
    </row>
    <row r="4" spans="2:14">
      <c r="B4" s="7">
        <v>45139</v>
      </c>
      <c r="C4" s="32">
        <v>45169</v>
      </c>
      <c r="D4" s="179">
        <v>9345200</v>
      </c>
      <c r="E4" s="180">
        <v>5700</v>
      </c>
      <c r="F4" s="181">
        <f t="shared" si="0"/>
        <v>9339500</v>
      </c>
      <c r="G4" s="182">
        <v>8803790.4299999997</v>
      </c>
      <c r="H4" s="39">
        <f t="shared" ref="H4:H10" si="1">MIN(F4:G4)</f>
        <v>8803790.4299999997</v>
      </c>
      <c r="I4" s="226"/>
      <c r="J4" s="209"/>
      <c r="K4" s="19"/>
    </row>
    <row r="5" spans="2:14">
      <c r="B5" s="29">
        <v>45170</v>
      </c>
      <c r="C5" s="31">
        <v>45199</v>
      </c>
      <c r="D5" s="179">
        <v>7369000</v>
      </c>
      <c r="E5" s="180">
        <v>5300</v>
      </c>
      <c r="F5" s="181">
        <f t="shared" si="0"/>
        <v>7363700</v>
      </c>
      <c r="G5" s="182">
        <v>6942080.5999999996</v>
      </c>
      <c r="H5" s="39">
        <f t="shared" si="1"/>
        <v>6942080.5999999996</v>
      </c>
      <c r="I5" s="226"/>
      <c r="J5" s="209"/>
      <c r="K5" s="19"/>
      <c r="M5" s="211"/>
      <c r="N5" s="211"/>
    </row>
    <row r="6" spans="2:14" ht="16.5" customHeight="1">
      <c r="B6" s="7">
        <v>45200</v>
      </c>
      <c r="C6" s="32">
        <v>45230</v>
      </c>
      <c r="D6" s="179">
        <v>2857500</v>
      </c>
      <c r="E6" s="180">
        <v>10200</v>
      </c>
      <c r="F6" s="181">
        <f t="shared" si="0"/>
        <v>2847300</v>
      </c>
      <c r="G6" s="182">
        <v>2691952.14</v>
      </c>
      <c r="H6" s="39">
        <f t="shared" si="1"/>
        <v>2691952.14</v>
      </c>
      <c r="I6" s="226"/>
      <c r="J6" s="209"/>
      <c r="K6" s="19"/>
      <c r="M6" s="10"/>
      <c r="N6" s="11"/>
    </row>
    <row r="7" spans="2:14">
      <c r="B7" s="29">
        <v>45231</v>
      </c>
      <c r="C7" s="31">
        <v>45260</v>
      </c>
      <c r="D7" s="179">
        <v>3496500</v>
      </c>
      <c r="E7" s="180">
        <v>7400</v>
      </c>
      <c r="F7" s="181">
        <f t="shared" si="0"/>
        <v>3489100</v>
      </c>
      <c r="G7" s="182">
        <v>3293931.99</v>
      </c>
      <c r="H7" s="39">
        <f t="shared" si="1"/>
        <v>3293931.99</v>
      </c>
      <c r="I7" s="226"/>
      <c r="J7" s="209"/>
      <c r="K7" s="19"/>
      <c r="M7" s="10"/>
      <c r="N7" s="12"/>
    </row>
    <row r="8" spans="2:14" ht="15" thickBot="1">
      <c r="B8" s="7">
        <v>45261</v>
      </c>
      <c r="C8" s="32">
        <v>45291</v>
      </c>
      <c r="D8" s="179">
        <v>3301700</v>
      </c>
      <c r="E8" s="180">
        <v>7600</v>
      </c>
      <c r="F8" s="181">
        <f t="shared" si="0"/>
        <v>3294100</v>
      </c>
      <c r="G8" s="182">
        <v>3110417.63</v>
      </c>
      <c r="H8" s="39">
        <f t="shared" si="1"/>
        <v>3110417.63</v>
      </c>
      <c r="I8" s="227"/>
      <c r="J8" s="210"/>
      <c r="K8" s="19"/>
      <c r="M8" s="10"/>
      <c r="N8" s="13"/>
    </row>
    <row r="9" spans="2:14">
      <c r="B9" s="29">
        <v>45292</v>
      </c>
      <c r="C9" s="31">
        <v>45322</v>
      </c>
      <c r="D9" s="179">
        <v>3974500</v>
      </c>
      <c r="E9" s="180">
        <v>5400</v>
      </c>
      <c r="F9" s="181">
        <f t="shared" si="0"/>
        <v>3969100</v>
      </c>
      <c r="G9" s="182">
        <v>3744239.2</v>
      </c>
      <c r="H9" s="39">
        <f t="shared" si="1"/>
        <v>3744239.2</v>
      </c>
      <c r="I9" s="225">
        <f>SUM(H9:H10)/1000</f>
        <v>6198.1871633970268</v>
      </c>
      <c r="J9" s="208">
        <f>ROUNDDOWN(I9*'ER Calculations'!G13,0)</f>
        <v>6084</v>
      </c>
      <c r="K9" s="19"/>
      <c r="M9" s="10"/>
      <c r="N9" s="14"/>
    </row>
    <row r="10" spans="2:14" ht="15" thickBot="1">
      <c r="B10" s="173">
        <v>45323</v>
      </c>
      <c r="C10" s="174">
        <v>45342</v>
      </c>
      <c r="D10" s="171">
        <f>3303.6*1000*J21</f>
        <v>2459047.963397027</v>
      </c>
      <c r="E10" s="183">
        <v>5100</v>
      </c>
      <c r="F10" s="184">
        <f t="shared" si="0"/>
        <v>2453947.963397027</v>
      </c>
      <c r="G10" s="185">
        <v>3112207.56</v>
      </c>
      <c r="H10" s="40">
        <f t="shared" si="1"/>
        <v>2453947.963397027</v>
      </c>
      <c r="I10" s="227"/>
      <c r="J10" s="210"/>
      <c r="K10" s="19"/>
      <c r="M10" s="10"/>
      <c r="N10" s="13"/>
    </row>
    <row r="11" spans="2:14" ht="15" thickBot="1">
      <c r="B11" s="223" t="s">
        <v>19</v>
      </c>
      <c r="C11" s="224"/>
      <c r="D11" s="30">
        <f t="shared" ref="D11:H11" si="2">SUM(D3:D10)</f>
        <v>49322247.963397026</v>
      </c>
      <c r="E11" s="30">
        <f t="shared" si="2"/>
        <v>46800</v>
      </c>
      <c r="F11" s="30">
        <f t="shared" si="2"/>
        <v>49275447.963397026</v>
      </c>
      <c r="G11" s="30">
        <f t="shared" si="2"/>
        <v>47260410.99000001</v>
      </c>
      <c r="H11" s="30">
        <f t="shared" si="2"/>
        <v>46602151.393397033</v>
      </c>
      <c r="I11" s="33">
        <f>SUM(I3:I10)</f>
        <v>46602.151393397035</v>
      </c>
      <c r="J11" s="53">
        <f>J3+J9</f>
        <v>45748</v>
      </c>
      <c r="K11" s="19"/>
      <c r="M11" s="10"/>
      <c r="N11" s="15"/>
    </row>
    <row r="12" spans="2:14">
      <c r="B12" s="1"/>
      <c r="C12" s="1"/>
      <c r="D12" s="3"/>
      <c r="E12" s="3"/>
      <c r="F12" s="3"/>
      <c r="G12" s="3"/>
      <c r="H12" s="3"/>
      <c r="I12" s="3"/>
      <c r="J12" s="19"/>
      <c r="K12" s="19"/>
      <c r="M12" s="10"/>
      <c r="N12" s="16"/>
    </row>
    <row r="13" spans="2:14">
      <c r="B13" s="1"/>
      <c r="C13" s="1"/>
      <c r="H13" s="3"/>
      <c r="J13" s="19"/>
      <c r="K13" s="19"/>
      <c r="M13" s="10"/>
      <c r="N13" s="17"/>
    </row>
    <row r="14" spans="2:14">
      <c r="B14" s="212" t="s">
        <v>50</v>
      </c>
      <c r="C14" s="213"/>
      <c r="D14" s="213"/>
      <c r="E14" s="213"/>
      <c r="F14" s="213"/>
      <c r="G14" s="213"/>
      <c r="H14" s="213"/>
      <c r="I14" s="214"/>
    </row>
    <row r="15" spans="2:14">
      <c r="B15" s="215"/>
      <c r="C15" s="216"/>
      <c r="D15" s="216"/>
      <c r="E15" s="216"/>
      <c r="F15" s="216"/>
      <c r="G15" s="216"/>
      <c r="H15" s="216"/>
      <c r="I15" s="217"/>
    </row>
    <row r="16" spans="2:14">
      <c r="B16" s="218"/>
      <c r="C16" s="219"/>
      <c r="D16" s="219"/>
      <c r="E16" s="219"/>
      <c r="F16" s="219"/>
      <c r="G16" s="219"/>
      <c r="H16" s="219"/>
      <c r="I16" s="220"/>
    </row>
    <row r="18" spans="2:54" ht="37.15" customHeight="1">
      <c r="B18" s="1"/>
    </row>
    <row r="19" spans="2:54">
      <c r="B19" s="153" t="s">
        <v>65</v>
      </c>
      <c r="C19" s="153" t="s">
        <v>66</v>
      </c>
      <c r="E19" s="205" t="s">
        <v>67</v>
      </c>
      <c r="F19" s="206"/>
      <c r="G19" s="206"/>
      <c r="H19" s="206"/>
      <c r="I19" s="207"/>
      <c r="J19" s="56">
        <f>SUM(C20:C48)</f>
        <v>3303600.0026229364</v>
      </c>
    </row>
    <row r="20" spans="2:54">
      <c r="B20" s="58">
        <v>45323</v>
      </c>
      <c r="C20" s="150">
        <v>55752.525090077761</v>
      </c>
      <c r="E20" s="205" t="s">
        <v>68</v>
      </c>
      <c r="F20" s="206"/>
      <c r="G20" s="206"/>
      <c r="H20" s="206"/>
      <c r="I20" s="207"/>
      <c r="J20" s="56">
        <f>SUM(C20:C39)</f>
        <v>2459047.96534942</v>
      </c>
    </row>
    <row r="21" spans="2:54">
      <c r="B21" s="58">
        <v>45324</v>
      </c>
      <c r="C21" s="150">
        <v>182096.66155764065</v>
      </c>
      <c r="E21" s="205" t="s">
        <v>69</v>
      </c>
      <c r="F21" s="206"/>
      <c r="G21" s="206"/>
      <c r="H21" s="206"/>
      <c r="I21" s="207"/>
      <c r="J21" s="61">
        <f>J20/J19</f>
        <v>0.74435402693940755</v>
      </c>
    </row>
    <row r="22" spans="2:54">
      <c r="B22" s="58">
        <v>45325</v>
      </c>
      <c r="C22" s="150">
        <v>59325.734279214295</v>
      </c>
    </row>
    <row r="23" spans="2:54">
      <c r="B23" s="58">
        <v>45326</v>
      </c>
      <c r="C23" s="150">
        <v>191399.23772483011</v>
      </c>
    </row>
    <row r="24" spans="2:54">
      <c r="B24" s="58">
        <v>45327</v>
      </c>
      <c r="C24" s="150">
        <v>191084.19600670354</v>
      </c>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row>
    <row r="25" spans="2:54">
      <c r="B25" s="58">
        <v>45328</v>
      </c>
      <c r="C25" s="150">
        <v>181126.2074268194</v>
      </c>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row>
    <row r="26" spans="2:54">
      <c r="B26" s="58">
        <v>45329</v>
      </c>
      <c r="C26" s="150">
        <v>117191.86314424274</v>
      </c>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row>
    <row r="27" spans="2:54">
      <c r="B27" s="58">
        <v>45330</v>
      </c>
      <c r="C27" s="150">
        <v>129224.21096245255</v>
      </c>
    </row>
    <row r="28" spans="2:54">
      <c r="B28" s="58">
        <v>45331</v>
      </c>
      <c r="C28" s="150">
        <v>52609.810228983704</v>
      </c>
    </row>
    <row r="29" spans="2:54">
      <c r="B29" s="58">
        <v>45332</v>
      </c>
      <c r="C29" s="150">
        <v>35691.479986772858</v>
      </c>
    </row>
    <row r="30" spans="2:54">
      <c r="B30" s="58">
        <v>45333</v>
      </c>
      <c r="C30" s="150">
        <v>111603.46824200937</v>
      </c>
    </row>
    <row r="31" spans="2:54">
      <c r="B31" s="58">
        <v>45334</v>
      </c>
      <c r="C31" s="150">
        <v>68557.616208428663</v>
      </c>
    </row>
    <row r="32" spans="2:54">
      <c r="B32" s="58">
        <v>45335</v>
      </c>
      <c r="C32" s="150">
        <v>29996.493842556818</v>
      </c>
    </row>
    <row r="33" spans="2:3">
      <c r="B33" s="58">
        <v>45336</v>
      </c>
      <c r="C33" s="150">
        <v>115555.13692825079</v>
      </c>
    </row>
    <row r="34" spans="2:3">
      <c r="B34" s="58">
        <v>45337</v>
      </c>
      <c r="C34" s="150">
        <v>178651.30504649901</v>
      </c>
    </row>
    <row r="35" spans="2:3">
      <c r="B35" s="58">
        <v>45338</v>
      </c>
      <c r="C35" s="150">
        <v>232563.54252862566</v>
      </c>
    </row>
    <row r="36" spans="2:3">
      <c r="B36" s="58">
        <v>45339</v>
      </c>
      <c r="C36" s="150">
        <v>217362.12234428199</v>
      </c>
    </row>
    <row r="37" spans="2:3">
      <c r="B37" s="58">
        <v>45340</v>
      </c>
      <c r="C37" s="150">
        <v>193633.37674409201</v>
      </c>
    </row>
    <row r="38" spans="2:3">
      <c r="B38" s="58">
        <v>45341</v>
      </c>
      <c r="C38" s="150">
        <v>36452.906575596426</v>
      </c>
    </row>
    <row r="39" spans="2:3">
      <c r="B39" s="58">
        <v>45342</v>
      </c>
      <c r="C39" s="150">
        <v>79170.070481341725</v>
      </c>
    </row>
    <row r="40" spans="2:3">
      <c r="B40" s="58">
        <v>45343</v>
      </c>
      <c r="C40" s="150">
        <v>30282.212810826099</v>
      </c>
    </row>
    <row r="41" spans="2:3">
      <c r="B41" s="58">
        <v>45344</v>
      </c>
      <c r="C41" s="150">
        <v>222314.464095348</v>
      </c>
    </row>
    <row r="42" spans="2:3">
      <c r="B42" s="58">
        <v>45345</v>
      </c>
      <c r="C42" s="150">
        <v>207107.12</v>
      </c>
    </row>
    <row r="43" spans="2:3">
      <c r="B43" s="58">
        <v>45346</v>
      </c>
      <c r="C43" s="150">
        <v>43057.043055588838</v>
      </c>
    </row>
    <row r="44" spans="2:3">
      <c r="B44" s="58">
        <v>45347</v>
      </c>
      <c r="C44" s="150">
        <v>111522.484181711</v>
      </c>
    </row>
    <row r="45" spans="2:3">
      <c r="B45" s="58">
        <v>45348</v>
      </c>
      <c r="C45" s="150">
        <v>40722.327112383398</v>
      </c>
    </row>
    <row r="46" spans="2:3">
      <c r="B46" s="58">
        <v>45349</v>
      </c>
      <c r="C46" s="150">
        <v>116920.80619773624</v>
      </c>
    </row>
    <row r="47" spans="2:3">
      <c r="B47" s="58">
        <v>45350</v>
      </c>
      <c r="C47" s="150">
        <v>29664.3430718864</v>
      </c>
    </row>
    <row r="48" spans="2:3">
      <c r="B48" s="58">
        <v>45351</v>
      </c>
      <c r="C48" s="150">
        <v>42961.236748036303</v>
      </c>
    </row>
    <row r="49" spans="2:3">
      <c r="B49" s="151" t="s">
        <v>59</v>
      </c>
      <c r="C49" s="152">
        <f>SUM(C20:C48)</f>
        <v>3303600.0026229364</v>
      </c>
    </row>
    <row r="50" spans="2:3">
      <c r="C50">
        <f t="shared" ref="C50" si="3">B50/SUM(B:B)*$E$8</f>
        <v>0</v>
      </c>
    </row>
  </sheetData>
  <mergeCells count="11">
    <mergeCell ref="B2:C2"/>
    <mergeCell ref="B11:C11"/>
    <mergeCell ref="I3:I8"/>
    <mergeCell ref="I9:I10"/>
    <mergeCell ref="E20:I20"/>
    <mergeCell ref="E21:I21"/>
    <mergeCell ref="J3:J8"/>
    <mergeCell ref="J9:J10"/>
    <mergeCell ref="M5:N5"/>
    <mergeCell ref="B14:I16"/>
    <mergeCell ref="E19:I19"/>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D49"/>
  <sheetViews>
    <sheetView showGridLines="0" zoomScale="92" zoomScaleNormal="92" workbookViewId="0">
      <pane xSplit="3" ySplit="3" topLeftCell="D35" activePane="bottomRight" state="frozen"/>
      <selection pane="topRight" activeCell="D1" sqref="D1"/>
      <selection pane="bottomLeft" activeCell="A4" sqref="A4"/>
      <selection pane="bottomRight" activeCell="I44" sqref="I44"/>
    </sheetView>
  </sheetViews>
  <sheetFormatPr baseColWidth="10" defaultColWidth="8.7265625" defaultRowHeight="14.5"/>
  <cols>
    <col min="1" max="1" width="5.7265625" customWidth="1"/>
    <col min="2" max="2" width="10.453125" bestFit="1" customWidth="1"/>
    <col min="3" max="4" width="14.7265625" bestFit="1" customWidth="1"/>
    <col min="5" max="5" width="8" bestFit="1" customWidth="1"/>
    <col min="6" max="6" width="8" customWidth="1"/>
    <col min="7" max="7" width="13.26953125" customWidth="1"/>
    <col min="8" max="8" width="12.54296875" customWidth="1"/>
    <col min="9" max="10" width="13.453125" bestFit="1" customWidth="1"/>
    <col min="11" max="11" width="13.453125" customWidth="1"/>
    <col min="12" max="12" width="14.54296875" bestFit="1" customWidth="1"/>
    <col min="13" max="13" width="8" bestFit="1" customWidth="1"/>
    <col min="14" max="14" width="8" customWidth="1"/>
    <col min="15" max="15" width="12.7265625" customWidth="1"/>
    <col min="16" max="17" width="11.7265625" customWidth="1"/>
    <col min="18" max="18" width="13.453125" bestFit="1" customWidth="1"/>
    <col min="19" max="20" width="11.7265625" customWidth="1"/>
    <col min="21" max="21" width="13.7265625" bestFit="1" customWidth="1"/>
    <col min="22" max="22" width="8" bestFit="1" customWidth="1"/>
    <col min="23" max="23" width="8" customWidth="1"/>
    <col min="24" max="24" width="13.54296875" customWidth="1"/>
    <col min="25" max="26" width="11.7265625" customWidth="1"/>
    <col min="27" max="27" width="13.453125" bestFit="1" customWidth="1"/>
    <col min="28" max="29" width="11.7265625" customWidth="1"/>
    <col min="30" max="30" width="14.54296875" bestFit="1" customWidth="1"/>
    <col min="31" max="31" width="8" bestFit="1" customWidth="1"/>
    <col min="32" max="32" width="8" customWidth="1"/>
    <col min="33" max="33" width="12.453125" customWidth="1"/>
    <col min="34" max="35" width="12.26953125" customWidth="1"/>
    <col min="36" max="36" width="13.453125" bestFit="1" customWidth="1"/>
    <col min="37" max="38" width="12.26953125" customWidth="1"/>
    <col min="39" max="39" width="13.7265625" bestFit="1" customWidth="1"/>
    <col min="40" max="40" width="8" bestFit="1" customWidth="1"/>
    <col min="41" max="41" width="8" customWidth="1"/>
    <col min="42" max="42" width="14.26953125" customWidth="1"/>
    <col min="43" max="44" width="13.26953125" customWidth="1"/>
    <col min="45" max="45" width="13.453125" bestFit="1" customWidth="1"/>
    <col min="46" max="46" width="11.54296875" bestFit="1" customWidth="1"/>
    <col min="47" max="47" width="8" bestFit="1" customWidth="1"/>
    <col min="48" max="48" width="8" customWidth="1"/>
    <col min="49" max="49" width="12.54296875" customWidth="1"/>
    <col min="50" max="51" width="13.7265625" customWidth="1"/>
    <col min="52" max="52" width="16.26953125" bestFit="1" customWidth="1"/>
    <col min="53" max="56" width="16.26953125" customWidth="1"/>
  </cols>
  <sheetData>
    <row r="2" spans="2:56" ht="15" customHeight="1">
      <c r="B2" s="237" t="s">
        <v>5</v>
      </c>
      <c r="C2" s="237"/>
      <c r="D2" s="238" t="s">
        <v>11</v>
      </c>
      <c r="E2" s="238"/>
      <c r="F2" s="238"/>
      <c r="G2" s="238"/>
      <c r="H2" s="238"/>
      <c r="I2" s="238"/>
      <c r="J2" s="228"/>
      <c r="K2" s="229"/>
      <c r="L2" s="239" t="s">
        <v>16</v>
      </c>
      <c r="M2" s="239"/>
      <c r="N2" s="239"/>
      <c r="O2" s="239"/>
      <c r="P2" s="239"/>
      <c r="Q2" s="239"/>
      <c r="R2" s="228"/>
      <c r="S2" s="234"/>
      <c r="T2" s="229"/>
      <c r="U2" s="239" t="s">
        <v>12</v>
      </c>
      <c r="V2" s="239"/>
      <c r="W2" s="239"/>
      <c r="X2" s="239"/>
      <c r="Y2" s="239"/>
      <c r="Z2" s="239"/>
      <c r="AA2" s="228"/>
      <c r="AB2" s="234"/>
      <c r="AC2" s="229"/>
      <c r="AD2" s="239" t="s">
        <v>13</v>
      </c>
      <c r="AE2" s="239"/>
      <c r="AF2" s="239"/>
      <c r="AG2" s="239"/>
      <c r="AH2" s="239"/>
      <c r="AI2" s="239"/>
      <c r="AJ2" s="228"/>
      <c r="AK2" s="234"/>
      <c r="AL2" s="229"/>
      <c r="AM2" s="239" t="s">
        <v>14</v>
      </c>
      <c r="AN2" s="239"/>
      <c r="AO2" s="239"/>
      <c r="AP2" s="239"/>
      <c r="AQ2" s="239"/>
      <c r="AR2" s="239"/>
      <c r="AS2" s="242"/>
      <c r="AT2" s="239" t="s">
        <v>15</v>
      </c>
      <c r="AU2" s="239"/>
      <c r="AV2" s="239"/>
      <c r="AW2" s="239"/>
      <c r="AX2" s="239"/>
      <c r="AY2" s="239"/>
      <c r="AZ2" s="241" t="s">
        <v>49</v>
      </c>
      <c r="BA2" s="241" t="s">
        <v>48</v>
      </c>
      <c r="BB2" s="241" t="s">
        <v>44</v>
      </c>
      <c r="BC2" s="241" t="s">
        <v>61</v>
      </c>
      <c r="BD2" s="36"/>
    </row>
    <row r="3" spans="2:56" ht="45" customHeight="1">
      <c r="B3" s="237"/>
      <c r="C3" s="237"/>
      <c r="D3" s="135" t="s">
        <v>17</v>
      </c>
      <c r="E3" s="135" t="s">
        <v>18</v>
      </c>
      <c r="F3" s="135" t="s">
        <v>52</v>
      </c>
      <c r="G3" s="135" t="s">
        <v>20</v>
      </c>
      <c r="H3" s="135" t="s">
        <v>21</v>
      </c>
      <c r="I3" s="135" t="s">
        <v>43</v>
      </c>
      <c r="J3" s="230"/>
      <c r="K3" s="231"/>
      <c r="L3" s="136" t="s">
        <v>17</v>
      </c>
      <c r="M3" s="136" t="s">
        <v>18</v>
      </c>
      <c r="N3" s="136" t="s">
        <v>52</v>
      </c>
      <c r="O3" s="136" t="s">
        <v>20</v>
      </c>
      <c r="P3" s="136" t="s">
        <v>21</v>
      </c>
      <c r="Q3" s="136" t="s">
        <v>43</v>
      </c>
      <c r="R3" s="230"/>
      <c r="S3" s="235"/>
      <c r="T3" s="231"/>
      <c r="U3" s="136" t="s">
        <v>17</v>
      </c>
      <c r="V3" s="136" t="s">
        <v>18</v>
      </c>
      <c r="W3" s="136" t="s">
        <v>52</v>
      </c>
      <c r="X3" s="136" t="s">
        <v>20</v>
      </c>
      <c r="Y3" s="136" t="s">
        <v>21</v>
      </c>
      <c r="Z3" s="136" t="s">
        <v>43</v>
      </c>
      <c r="AA3" s="230"/>
      <c r="AB3" s="235"/>
      <c r="AC3" s="231"/>
      <c r="AD3" s="136" t="s">
        <v>17</v>
      </c>
      <c r="AE3" s="136" t="s">
        <v>18</v>
      </c>
      <c r="AF3" s="136" t="s">
        <v>52</v>
      </c>
      <c r="AG3" s="136" t="s">
        <v>20</v>
      </c>
      <c r="AH3" s="136" t="s">
        <v>21</v>
      </c>
      <c r="AI3" s="136" t="s">
        <v>43</v>
      </c>
      <c r="AJ3" s="230"/>
      <c r="AK3" s="235"/>
      <c r="AL3" s="231"/>
      <c r="AM3" s="136" t="s">
        <v>17</v>
      </c>
      <c r="AN3" s="136" t="s">
        <v>18</v>
      </c>
      <c r="AO3" s="136" t="s">
        <v>52</v>
      </c>
      <c r="AP3" s="136" t="s">
        <v>20</v>
      </c>
      <c r="AQ3" s="136" t="s">
        <v>21</v>
      </c>
      <c r="AR3" s="136" t="s">
        <v>43</v>
      </c>
      <c r="AS3" s="242"/>
      <c r="AT3" s="136" t="s">
        <v>17</v>
      </c>
      <c r="AU3" s="136" t="s">
        <v>18</v>
      </c>
      <c r="AV3" s="136" t="s">
        <v>52</v>
      </c>
      <c r="AW3" s="136" t="s">
        <v>20</v>
      </c>
      <c r="AX3" s="136" t="s">
        <v>21</v>
      </c>
      <c r="AY3" s="136" t="s">
        <v>43</v>
      </c>
      <c r="AZ3" s="241"/>
      <c r="BA3" s="241"/>
      <c r="BB3" s="241"/>
      <c r="BC3" s="241"/>
      <c r="BD3" s="36"/>
    </row>
    <row r="4" spans="2:56">
      <c r="B4" s="48">
        <v>45108</v>
      </c>
      <c r="C4" s="6">
        <v>45138</v>
      </c>
      <c r="D4" s="146">
        <v>3871350</v>
      </c>
      <c r="E4" s="47">
        <v>0</v>
      </c>
      <c r="F4" s="47">
        <f>E4*115%</f>
        <v>0</v>
      </c>
      <c r="G4" s="146">
        <v>35421</v>
      </c>
      <c r="H4" s="146">
        <f>D4-F4-G4</f>
        <v>3835929</v>
      </c>
      <c r="I4" s="47">
        <v>3835929</v>
      </c>
      <c r="J4" s="230"/>
      <c r="K4" s="231"/>
      <c r="L4" s="146">
        <v>5973450</v>
      </c>
      <c r="M4" s="47">
        <v>0</v>
      </c>
      <c r="N4" s="47">
        <f>M4*115%</f>
        <v>0</v>
      </c>
      <c r="O4" s="146">
        <v>54654</v>
      </c>
      <c r="P4" s="146">
        <f>L4-N4-O4</f>
        <v>5918796</v>
      </c>
      <c r="Q4" s="47">
        <v>5918796</v>
      </c>
      <c r="R4" s="230"/>
      <c r="S4" s="235"/>
      <c r="T4" s="231"/>
      <c r="U4" s="146">
        <v>5002200</v>
      </c>
      <c r="V4" s="146">
        <v>1050</v>
      </c>
      <c r="W4" s="146">
        <f>V4*115%</f>
        <v>1207.5</v>
      </c>
      <c r="X4" s="146">
        <v>45768</v>
      </c>
      <c r="Y4" s="146">
        <f>U4-W4-X4</f>
        <v>4955224.5</v>
      </c>
      <c r="Z4" s="47">
        <v>4955224</v>
      </c>
      <c r="AA4" s="230"/>
      <c r="AB4" s="235"/>
      <c r="AC4" s="231"/>
      <c r="AD4" s="146">
        <v>5336100</v>
      </c>
      <c r="AE4" s="146">
        <v>0</v>
      </c>
      <c r="AF4" s="146">
        <f>AE4*115%</f>
        <v>0</v>
      </c>
      <c r="AG4" s="146">
        <v>48823</v>
      </c>
      <c r="AH4" s="146">
        <f>AD4-AF4-AG4</f>
        <v>5287277</v>
      </c>
      <c r="AI4" s="47">
        <v>5287277</v>
      </c>
      <c r="AJ4" s="230"/>
      <c r="AK4" s="235"/>
      <c r="AL4" s="231"/>
      <c r="AM4" s="146">
        <v>4428900</v>
      </c>
      <c r="AN4" s="146">
        <v>0</v>
      </c>
      <c r="AO4" s="146">
        <f>AN4*115%</f>
        <v>0</v>
      </c>
      <c r="AP4" s="146">
        <v>40522</v>
      </c>
      <c r="AQ4" s="146">
        <f>AM4-AO4-AP4</f>
        <v>4388378</v>
      </c>
      <c r="AR4" s="47">
        <v>4388378</v>
      </c>
      <c r="AS4" s="242"/>
      <c r="AT4" s="146">
        <v>5307750</v>
      </c>
      <c r="AU4" s="146">
        <v>0</v>
      </c>
      <c r="AV4" s="146">
        <f>AU4*115%</f>
        <v>0</v>
      </c>
      <c r="AW4" s="146">
        <v>48563</v>
      </c>
      <c r="AX4" s="146">
        <f>AT4-AV4-AW4</f>
        <v>5259187</v>
      </c>
      <c r="AY4" s="47">
        <v>5259187</v>
      </c>
      <c r="AZ4" s="155">
        <f t="shared" ref="AZ4:BA10" si="0">H4+P4+Y4+AH4+AQ4+AX4</f>
        <v>29644791.5</v>
      </c>
      <c r="BA4" s="156">
        <f t="shared" si="0"/>
        <v>29644791</v>
      </c>
      <c r="BB4" s="240">
        <f>SUM(AZ4:AZ9)/1000</f>
        <v>82824.706000000006</v>
      </c>
      <c r="BC4" s="240">
        <f>ROUNDDOWN(BB4*'ER Calculations'!G13,0)</f>
        <v>81309</v>
      </c>
      <c r="BD4" s="34"/>
    </row>
    <row r="5" spans="2:56">
      <c r="B5" s="49">
        <v>45139</v>
      </c>
      <c r="C5" s="6">
        <v>45169</v>
      </c>
      <c r="D5" s="146">
        <v>2697450</v>
      </c>
      <c r="E5" s="146">
        <v>0</v>
      </c>
      <c r="F5" s="146">
        <f t="shared" ref="F5:F11" si="1">E5*115%</f>
        <v>0</v>
      </c>
      <c r="G5" s="146">
        <v>25202</v>
      </c>
      <c r="H5" s="146">
        <f t="shared" ref="H5:H11" si="2">D5-F5-G5</f>
        <v>2672248</v>
      </c>
      <c r="I5" s="47">
        <v>2672248</v>
      </c>
      <c r="J5" s="230"/>
      <c r="K5" s="231"/>
      <c r="L5" s="146">
        <v>4099200</v>
      </c>
      <c r="M5" s="146">
        <v>0</v>
      </c>
      <c r="N5" s="146">
        <f t="shared" ref="N5:N11" si="3">M5*115%</f>
        <v>0</v>
      </c>
      <c r="O5" s="146">
        <v>38298</v>
      </c>
      <c r="P5" s="146">
        <f t="shared" ref="P5:P11" si="4">L5-N5-O5</f>
        <v>4060902</v>
      </c>
      <c r="Q5" s="47">
        <v>4060902</v>
      </c>
      <c r="R5" s="230"/>
      <c r="S5" s="235"/>
      <c r="T5" s="231"/>
      <c r="U5" s="146">
        <v>3395700</v>
      </c>
      <c r="V5" s="146">
        <v>0</v>
      </c>
      <c r="W5" s="146">
        <f t="shared" ref="W5:W11" si="5">V5*115%</f>
        <v>0</v>
      </c>
      <c r="X5" s="146">
        <v>31725</v>
      </c>
      <c r="Y5" s="146">
        <f t="shared" ref="Y5:Y11" si="6">U5-W5-X5</f>
        <v>3363975</v>
      </c>
      <c r="Z5" s="47">
        <v>3363975</v>
      </c>
      <c r="AA5" s="230"/>
      <c r="AB5" s="235"/>
      <c r="AC5" s="231"/>
      <c r="AD5" s="146">
        <v>3639300</v>
      </c>
      <c r="AE5" s="146">
        <v>1050</v>
      </c>
      <c r="AF5" s="146">
        <v>0</v>
      </c>
      <c r="AG5" s="146">
        <v>34001</v>
      </c>
      <c r="AH5" s="146">
        <f t="shared" ref="AH5:AH11" si="7">AD5-AF5-AG5</f>
        <v>3605299</v>
      </c>
      <c r="AI5" s="47">
        <v>3604091</v>
      </c>
      <c r="AJ5" s="230"/>
      <c r="AK5" s="235"/>
      <c r="AL5" s="231"/>
      <c r="AM5" s="146">
        <v>3008250</v>
      </c>
      <c r="AN5" s="146">
        <v>1050</v>
      </c>
      <c r="AO5" s="146">
        <f t="shared" ref="AO5:AO11" si="8">AN5*115%</f>
        <v>1207.5</v>
      </c>
      <c r="AP5" s="146">
        <v>28105</v>
      </c>
      <c r="AQ5" s="47">
        <f t="shared" ref="AQ5:AQ11" si="9">AM5-AO5-AP5</f>
        <v>2978937.5</v>
      </c>
      <c r="AR5" s="47">
        <v>2978937</v>
      </c>
      <c r="AS5" s="242"/>
      <c r="AT5" s="146">
        <v>3486000</v>
      </c>
      <c r="AU5" s="146">
        <v>0</v>
      </c>
      <c r="AV5" s="146">
        <f t="shared" ref="AV5:AV10" si="10">AU5*115%</f>
        <v>0</v>
      </c>
      <c r="AW5" s="146">
        <v>32569</v>
      </c>
      <c r="AX5" s="146">
        <f t="shared" ref="AX5:AX11" si="11">AT5-AV5-AW5</f>
        <v>3453431</v>
      </c>
      <c r="AY5" s="47">
        <v>3453431</v>
      </c>
      <c r="AZ5" s="156">
        <f t="shared" si="0"/>
        <v>20134792.5</v>
      </c>
      <c r="BA5" s="156">
        <f t="shared" si="0"/>
        <v>20133584</v>
      </c>
      <c r="BB5" s="240"/>
      <c r="BC5" s="240"/>
      <c r="BD5" s="34"/>
    </row>
    <row r="6" spans="2:56">
      <c r="B6" s="48">
        <v>45170</v>
      </c>
      <c r="C6" s="6">
        <v>45199</v>
      </c>
      <c r="D6" s="146">
        <v>1924650</v>
      </c>
      <c r="E6" s="146">
        <v>4935</v>
      </c>
      <c r="F6" s="146">
        <f t="shared" si="1"/>
        <v>5675.25</v>
      </c>
      <c r="G6" s="146">
        <v>11067</v>
      </c>
      <c r="H6" s="47">
        <f t="shared" si="2"/>
        <v>1907907.75</v>
      </c>
      <c r="I6" s="47">
        <v>1907908</v>
      </c>
      <c r="J6" s="230"/>
      <c r="K6" s="231"/>
      <c r="L6" s="146">
        <v>2795730</v>
      </c>
      <c r="M6" s="146">
        <v>5565</v>
      </c>
      <c r="N6" s="146">
        <f t="shared" si="3"/>
        <v>6399.7499999999991</v>
      </c>
      <c r="O6" s="146">
        <v>16075</v>
      </c>
      <c r="P6" s="47">
        <f t="shared" si="4"/>
        <v>2773255.25</v>
      </c>
      <c r="Q6" s="47">
        <v>2773255</v>
      </c>
      <c r="R6" s="230"/>
      <c r="S6" s="235"/>
      <c r="T6" s="231"/>
      <c r="U6" s="146">
        <v>2373840</v>
      </c>
      <c r="V6" s="146">
        <v>5355</v>
      </c>
      <c r="W6" s="146">
        <f t="shared" si="5"/>
        <v>6158.2499999999991</v>
      </c>
      <c r="X6" s="146">
        <v>13649</v>
      </c>
      <c r="Y6" s="47">
        <f t="shared" si="6"/>
        <v>2354032.75</v>
      </c>
      <c r="Z6" s="47">
        <v>2354033</v>
      </c>
      <c r="AA6" s="230"/>
      <c r="AB6" s="235"/>
      <c r="AC6" s="231"/>
      <c r="AD6" s="146">
        <v>2632980</v>
      </c>
      <c r="AE6" s="146">
        <v>4620</v>
      </c>
      <c r="AF6" s="146">
        <f t="shared" ref="AF6:AF11" si="12">AE6*115%</f>
        <v>5313</v>
      </c>
      <c r="AG6" s="146">
        <v>15139</v>
      </c>
      <c r="AH6" s="47">
        <f t="shared" si="7"/>
        <v>2612528</v>
      </c>
      <c r="AI6" s="47">
        <v>2612528</v>
      </c>
      <c r="AJ6" s="230"/>
      <c r="AK6" s="235"/>
      <c r="AL6" s="231"/>
      <c r="AM6" s="146">
        <v>2038890</v>
      </c>
      <c r="AN6" s="146">
        <v>5670</v>
      </c>
      <c r="AO6" s="146">
        <f t="shared" si="8"/>
        <v>6520.4999999999991</v>
      </c>
      <c r="AP6" s="146">
        <v>11723</v>
      </c>
      <c r="AQ6" s="47">
        <f t="shared" si="9"/>
        <v>2020646.5</v>
      </c>
      <c r="AR6" s="47">
        <v>2020646</v>
      </c>
      <c r="AS6" s="242"/>
      <c r="AT6" s="146">
        <v>2712360</v>
      </c>
      <c r="AU6" s="146">
        <v>5880</v>
      </c>
      <c r="AV6" s="146">
        <f t="shared" si="10"/>
        <v>6761.9999999999991</v>
      </c>
      <c r="AW6" s="146">
        <v>15596</v>
      </c>
      <c r="AX6" s="47">
        <f t="shared" si="11"/>
        <v>2690002</v>
      </c>
      <c r="AY6" s="47">
        <v>2690002</v>
      </c>
      <c r="AZ6" s="156">
        <f t="shared" si="0"/>
        <v>14358372.25</v>
      </c>
      <c r="BA6" s="156">
        <f t="shared" si="0"/>
        <v>14358372</v>
      </c>
      <c r="BB6" s="240"/>
      <c r="BC6" s="240"/>
      <c r="BD6" s="34"/>
    </row>
    <row r="7" spans="2:56">
      <c r="B7" s="49">
        <v>45200</v>
      </c>
      <c r="C7" s="6">
        <v>45230</v>
      </c>
      <c r="D7" s="146">
        <v>556185</v>
      </c>
      <c r="E7" s="146">
        <v>6195</v>
      </c>
      <c r="F7" s="146">
        <f t="shared" si="1"/>
        <v>7124.2499999999991</v>
      </c>
      <c r="G7" s="146">
        <v>5157</v>
      </c>
      <c r="H7" s="47">
        <f t="shared" si="2"/>
        <v>543903.75</v>
      </c>
      <c r="I7" s="47">
        <v>543904</v>
      </c>
      <c r="J7" s="230"/>
      <c r="K7" s="231"/>
      <c r="L7" s="146">
        <v>1165500</v>
      </c>
      <c r="M7" s="146">
        <v>7980</v>
      </c>
      <c r="N7" s="146">
        <f t="shared" si="3"/>
        <v>9177</v>
      </c>
      <c r="O7" s="146">
        <v>10807</v>
      </c>
      <c r="P7" s="47">
        <f t="shared" si="4"/>
        <v>1145516</v>
      </c>
      <c r="Q7" s="47">
        <v>1145516</v>
      </c>
      <c r="R7" s="230"/>
      <c r="S7" s="235"/>
      <c r="T7" s="231"/>
      <c r="U7" s="146">
        <v>1036350</v>
      </c>
      <c r="V7" s="146">
        <v>8295</v>
      </c>
      <c r="W7" s="146">
        <f t="shared" si="5"/>
        <v>9539.25</v>
      </c>
      <c r="X7" s="146">
        <v>9610</v>
      </c>
      <c r="Y7" s="47">
        <f t="shared" si="6"/>
        <v>1017200.75</v>
      </c>
      <c r="Z7" s="47">
        <v>1017201</v>
      </c>
      <c r="AA7" s="230"/>
      <c r="AB7" s="235"/>
      <c r="AC7" s="231"/>
      <c r="AD7" s="146">
        <v>995190</v>
      </c>
      <c r="AE7" s="146">
        <v>9240</v>
      </c>
      <c r="AF7" s="146">
        <f t="shared" si="12"/>
        <v>10626</v>
      </c>
      <c r="AG7" s="146">
        <v>9228</v>
      </c>
      <c r="AH7" s="47">
        <f t="shared" si="7"/>
        <v>975336</v>
      </c>
      <c r="AI7" s="47">
        <v>975336</v>
      </c>
      <c r="AJ7" s="230"/>
      <c r="AK7" s="235"/>
      <c r="AL7" s="231"/>
      <c r="AM7" s="146">
        <v>1107015</v>
      </c>
      <c r="AN7" s="146">
        <v>7875</v>
      </c>
      <c r="AO7" s="146">
        <f t="shared" si="8"/>
        <v>9056.25</v>
      </c>
      <c r="AP7" s="146">
        <v>10265</v>
      </c>
      <c r="AQ7" s="47">
        <f t="shared" si="9"/>
        <v>1087693.75</v>
      </c>
      <c r="AR7" s="47">
        <v>1087694</v>
      </c>
      <c r="AS7" s="242"/>
      <c r="AT7" s="146">
        <v>1002120</v>
      </c>
      <c r="AU7" s="146">
        <v>9765</v>
      </c>
      <c r="AV7" s="146">
        <f t="shared" si="10"/>
        <v>11229.75</v>
      </c>
      <c r="AW7" s="146">
        <v>9292</v>
      </c>
      <c r="AX7" s="47">
        <f t="shared" si="11"/>
        <v>981598.25</v>
      </c>
      <c r="AY7" s="47">
        <v>981598</v>
      </c>
      <c r="AZ7" s="156">
        <f t="shared" si="0"/>
        <v>5751248.5</v>
      </c>
      <c r="BA7" s="156">
        <f t="shared" si="0"/>
        <v>5751249</v>
      </c>
      <c r="BB7" s="240"/>
      <c r="BC7" s="240"/>
      <c r="BD7" s="34"/>
    </row>
    <row r="8" spans="2:56">
      <c r="B8" s="48">
        <v>45231</v>
      </c>
      <c r="C8" s="6">
        <v>45260</v>
      </c>
      <c r="D8" s="146">
        <v>569730</v>
      </c>
      <c r="E8" s="146">
        <v>5145</v>
      </c>
      <c r="F8" s="146">
        <f t="shared" si="1"/>
        <v>5916.7499999999991</v>
      </c>
      <c r="G8" s="146">
        <v>4901</v>
      </c>
      <c r="H8" s="47">
        <f t="shared" si="2"/>
        <v>558912.25</v>
      </c>
      <c r="I8" s="47">
        <v>558912</v>
      </c>
      <c r="J8" s="230"/>
      <c r="K8" s="231"/>
      <c r="L8" s="146">
        <v>1216635</v>
      </c>
      <c r="M8" s="146">
        <v>7140</v>
      </c>
      <c r="N8" s="146">
        <f t="shared" si="3"/>
        <v>8211</v>
      </c>
      <c r="O8" s="146">
        <v>10467</v>
      </c>
      <c r="P8" s="47">
        <f t="shared" si="4"/>
        <v>1197957</v>
      </c>
      <c r="Q8" s="47">
        <v>1197957</v>
      </c>
      <c r="R8" s="230"/>
      <c r="S8" s="235"/>
      <c r="T8" s="231"/>
      <c r="U8" s="146">
        <v>1072680</v>
      </c>
      <c r="V8" s="146">
        <v>7245</v>
      </c>
      <c r="W8" s="146">
        <f t="shared" si="5"/>
        <v>8331.75</v>
      </c>
      <c r="X8" s="146">
        <v>9228</v>
      </c>
      <c r="Y8" s="47">
        <f t="shared" si="6"/>
        <v>1055120.25</v>
      </c>
      <c r="Z8" s="47">
        <v>1055120</v>
      </c>
      <c r="AA8" s="230"/>
      <c r="AB8" s="235"/>
      <c r="AC8" s="231"/>
      <c r="AD8" s="146">
        <v>1019865</v>
      </c>
      <c r="AE8" s="146">
        <v>7665</v>
      </c>
      <c r="AF8" s="146">
        <f t="shared" si="12"/>
        <v>8814.75</v>
      </c>
      <c r="AG8" s="146">
        <v>8774</v>
      </c>
      <c r="AH8" s="47">
        <f t="shared" si="7"/>
        <v>1002276.25</v>
      </c>
      <c r="AI8" s="47">
        <v>1002276</v>
      </c>
      <c r="AJ8" s="230"/>
      <c r="AK8" s="235"/>
      <c r="AL8" s="231"/>
      <c r="AM8" s="146">
        <v>1190910</v>
      </c>
      <c r="AN8" s="146">
        <v>6405</v>
      </c>
      <c r="AO8" s="146">
        <f t="shared" si="8"/>
        <v>7365.7499999999991</v>
      </c>
      <c r="AP8" s="146">
        <v>10246</v>
      </c>
      <c r="AQ8" s="47">
        <f t="shared" si="9"/>
        <v>1173298.25</v>
      </c>
      <c r="AR8" s="47">
        <v>1173298</v>
      </c>
      <c r="AS8" s="242"/>
      <c r="AT8" s="146">
        <v>917490</v>
      </c>
      <c r="AU8" s="146">
        <v>8085</v>
      </c>
      <c r="AV8" s="146">
        <f t="shared" si="10"/>
        <v>9297.75</v>
      </c>
      <c r="AW8" s="146">
        <v>7893</v>
      </c>
      <c r="AX8" s="47">
        <f t="shared" si="11"/>
        <v>900299.25</v>
      </c>
      <c r="AY8" s="47">
        <v>900299</v>
      </c>
      <c r="AZ8" s="156">
        <f t="shared" si="0"/>
        <v>5887863.25</v>
      </c>
      <c r="BA8" s="156">
        <f t="shared" si="0"/>
        <v>5887862</v>
      </c>
      <c r="BB8" s="240"/>
      <c r="BC8" s="240"/>
      <c r="BD8" s="34"/>
    </row>
    <row r="9" spans="2:56">
      <c r="B9" s="49">
        <v>45261</v>
      </c>
      <c r="C9" s="6">
        <v>45291</v>
      </c>
      <c r="D9" s="146">
        <v>670110</v>
      </c>
      <c r="E9" s="146">
        <v>3675</v>
      </c>
      <c r="F9" s="146">
        <f t="shared" si="1"/>
        <v>4226.25</v>
      </c>
      <c r="G9" s="146">
        <v>5309</v>
      </c>
      <c r="H9" s="47">
        <f t="shared" si="2"/>
        <v>660574.75</v>
      </c>
      <c r="I9" s="47">
        <v>660575</v>
      </c>
      <c r="J9" s="230"/>
      <c r="K9" s="231"/>
      <c r="L9" s="146">
        <v>1493730</v>
      </c>
      <c r="M9" s="146">
        <v>4725</v>
      </c>
      <c r="N9" s="146">
        <f t="shared" si="3"/>
        <v>5433.75</v>
      </c>
      <c r="O9" s="146">
        <v>11833</v>
      </c>
      <c r="P9" s="47">
        <f t="shared" si="4"/>
        <v>1476463.25</v>
      </c>
      <c r="Q9" s="47">
        <v>1476463</v>
      </c>
      <c r="R9" s="230"/>
      <c r="S9" s="235"/>
      <c r="T9" s="231"/>
      <c r="U9" s="146">
        <v>1288035</v>
      </c>
      <c r="V9" s="146">
        <v>4725</v>
      </c>
      <c r="W9" s="146">
        <f t="shared" si="5"/>
        <v>5433.75</v>
      </c>
      <c r="X9" s="146">
        <v>10204</v>
      </c>
      <c r="Y9" s="47">
        <f t="shared" si="6"/>
        <v>1272397.25</v>
      </c>
      <c r="Z9" s="47">
        <v>1272397</v>
      </c>
      <c r="AA9" s="230"/>
      <c r="AB9" s="235"/>
      <c r="AC9" s="231"/>
      <c r="AD9" s="146">
        <v>1164135</v>
      </c>
      <c r="AE9" s="146">
        <v>5145</v>
      </c>
      <c r="AF9" s="146">
        <f t="shared" si="12"/>
        <v>5916.7499999999991</v>
      </c>
      <c r="AG9" s="146">
        <v>9222</v>
      </c>
      <c r="AH9" s="47">
        <f t="shared" si="7"/>
        <v>1148996.25</v>
      </c>
      <c r="AI9" s="47">
        <v>1148996</v>
      </c>
      <c r="AJ9" s="230"/>
      <c r="AK9" s="235"/>
      <c r="AL9" s="231"/>
      <c r="AM9" s="146">
        <v>1408575</v>
      </c>
      <c r="AN9" s="146">
        <v>4515</v>
      </c>
      <c r="AO9" s="146">
        <f t="shared" si="8"/>
        <v>5192.25</v>
      </c>
      <c r="AP9" s="146">
        <v>11159</v>
      </c>
      <c r="AQ9" s="47">
        <f t="shared" si="9"/>
        <v>1392223.75</v>
      </c>
      <c r="AR9" s="47">
        <v>1392224</v>
      </c>
      <c r="AS9" s="242"/>
      <c r="AT9" s="146">
        <v>1111950</v>
      </c>
      <c r="AU9" s="146">
        <v>5355</v>
      </c>
      <c r="AV9" s="146">
        <f t="shared" si="10"/>
        <v>6158.2499999999991</v>
      </c>
      <c r="AW9" s="146">
        <v>8809</v>
      </c>
      <c r="AX9" s="47">
        <f t="shared" si="11"/>
        <v>1096982.75</v>
      </c>
      <c r="AY9" s="47">
        <v>1096983</v>
      </c>
      <c r="AZ9" s="156">
        <f t="shared" si="0"/>
        <v>7047638</v>
      </c>
      <c r="BA9" s="156">
        <f t="shared" si="0"/>
        <v>7047638</v>
      </c>
      <c r="BB9" s="240"/>
      <c r="BC9" s="240"/>
      <c r="BD9" s="34"/>
    </row>
    <row r="10" spans="2:56">
      <c r="B10" s="48">
        <v>45292</v>
      </c>
      <c r="C10" s="6">
        <v>45322</v>
      </c>
      <c r="D10" s="146">
        <v>840210</v>
      </c>
      <c r="E10" s="146">
        <v>6090</v>
      </c>
      <c r="F10" s="146">
        <f t="shared" si="1"/>
        <v>7003.4999999999991</v>
      </c>
      <c r="G10" s="146">
        <v>6817</v>
      </c>
      <c r="H10" s="47">
        <f t="shared" si="2"/>
        <v>826389.5</v>
      </c>
      <c r="I10" s="47">
        <v>826389</v>
      </c>
      <c r="J10" s="230"/>
      <c r="K10" s="231"/>
      <c r="L10" s="146">
        <v>1635480</v>
      </c>
      <c r="M10" s="146">
        <v>8505</v>
      </c>
      <c r="N10" s="146">
        <f t="shared" si="3"/>
        <v>9780.75</v>
      </c>
      <c r="O10" s="146">
        <v>13269</v>
      </c>
      <c r="P10" s="47">
        <f t="shared" si="4"/>
        <v>1612430.25</v>
      </c>
      <c r="Q10" s="47">
        <v>1612430</v>
      </c>
      <c r="R10" s="230"/>
      <c r="S10" s="235"/>
      <c r="T10" s="231"/>
      <c r="U10" s="146">
        <v>1424220</v>
      </c>
      <c r="V10" s="146">
        <v>8925</v>
      </c>
      <c r="W10" s="146">
        <f t="shared" si="5"/>
        <v>10263.75</v>
      </c>
      <c r="X10" s="146">
        <v>11555</v>
      </c>
      <c r="Y10" s="47">
        <f t="shared" si="6"/>
        <v>1402401.25</v>
      </c>
      <c r="Z10" s="47">
        <v>1402401</v>
      </c>
      <c r="AA10" s="230"/>
      <c r="AB10" s="235"/>
      <c r="AC10" s="231"/>
      <c r="AD10" s="146">
        <v>1384635</v>
      </c>
      <c r="AE10" s="146">
        <v>9240</v>
      </c>
      <c r="AF10" s="146">
        <f t="shared" si="12"/>
        <v>10626</v>
      </c>
      <c r="AG10" s="146">
        <v>11234</v>
      </c>
      <c r="AH10" s="47">
        <f t="shared" si="7"/>
        <v>1362775</v>
      </c>
      <c r="AI10" s="47">
        <v>1362775</v>
      </c>
      <c r="AJ10" s="230"/>
      <c r="AK10" s="235"/>
      <c r="AL10" s="231"/>
      <c r="AM10" s="146">
        <v>1483860</v>
      </c>
      <c r="AN10" s="146">
        <v>7770</v>
      </c>
      <c r="AO10" s="146">
        <f t="shared" si="8"/>
        <v>8935.5</v>
      </c>
      <c r="AP10" s="146">
        <v>12039</v>
      </c>
      <c r="AQ10" s="47">
        <f t="shared" si="9"/>
        <v>1462885.5</v>
      </c>
      <c r="AR10" s="47">
        <v>1462885</v>
      </c>
      <c r="AS10" s="242"/>
      <c r="AT10" s="146">
        <v>1324050</v>
      </c>
      <c r="AU10" s="146">
        <v>9135</v>
      </c>
      <c r="AV10" s="146">
        <f t="shared" si="10"/>
        <v>10505.25</v>
      </c>
      <c r="AW10" s="146">
        <v>10742</v>
      </c>
      <c r="AX10" s="47">
        <f t="shared" si="11"/>
        <v>1302802.75</v>
      </c>
      <c r="AY10" s="47">
        <v>1302803</v>
      </c>
      <c r="AZ10" s="156">
        <f t="shared" si="0"/>
        <v>7969684.25</v>
      </c>
      <c r="BA10" s="156">
        <f t="shared" si="0"/>
        <v>7969683</v>
      </c>
      <c r="BB10" s="240">
        <f>SUM(AZ10:AZ11)/1000</f>
        <v>12165.250604101926</v>
      </c>
      <c r="BC10" s="240">
        <f>ROUNDDOWN(BB10*'ER Calculations'!G13,0)</f>
        <v>11942</v>
      </c>
      <c r="BD10" s="34"/>
    </row>
    <row r="11" spans="2:56" ht="14.65" customHeight="1">
      <c r="B11" s="50">
        <v>45323</v>
      </c>
      <c r="C11" s="51">
        <v>45342</v>
      </c>
      <c r="D11" s="172">
        <f>620025*I20</f>
        <v>373764.89598599426</v>
      </c>
      <c r="E11" s="146">
        <v>7455</v>
      </c>
      <c r="F11" s="146">
        <f t="shared" si="1"/>
        <v>8573.25</v>
      </c>
      <c r="G11" s="146">
        <v>5941</v>
      </c>
      <c r="H11" s="47">
        <f t="shared" si="2"/>
        <v>359250.64598599426</v>
      </c>
      <c r="I11" s="47">
        <v>605511</v>
      </c>
      <c r="J11" s="232"/>
      <c r="K11" s="233"/>
      <c r="L11" s="172">
        <f>1169070*R20</f>
        <v>881241.61555261665</v>
      </c>
      <c r="M11" s="146">
        <v>10500</v>
      </c>
      <c r="N11" s="146">
        <f t="shared" si="3"/>
        <v>12074.999999999998</v>
      </c>
      <c r="O11" s="146">
        <v>11202</v>
      </c>
      <c r="P11" s="47">
        <f t="shared" si="4"/>
        <v>857964.61555261665</v>
      </c>
      <c r="Q11" s="47">
        <v>1145793</v>
      </c>
      <c r="R11" s="232"/>
      <c r="S11" s="236"/>
      <c r="T11" s="233"/>
      <c r="U11" s="172">
        <f>989100*AA20</f>
        <v>581262.67031598848</v>
      </c>
      <c r="V11" s="146">
        <v>10500</v>
      </c>
      <c r="W11" s="146">
        <f t="shared" si="5"/>
        <v>12074.999999999998</v>
      </c>
      <c r="X11" s="146">
        <v>9478</v>
      </c>
      <c r="Y11" s="47">
        <f t="shared" si="6"/>
        <v>559709.67031598848</v>
      </c>
      <c r="Z11" s="47">
        <v>967547</v>
      </c>
      <c r="AA11" s="232"/>
      <c r="AB11" s="236"/>
      <c r="AC11" s="233"/>
      <c r="AD11" s="172">
        <f>1027110*AJ20</f>
        <v>730290.52212320536</v>
      </c>
      <c r="AE11" s="146">
        <v>11130</v>
      </c>
      <c r="AF11" s="146">
        <f t="shared" si="12"/>
        <v>12799.499999999998</v>
      </c>
      <c r="AG11" s="146">
        <v>9842</v>
      </c>
      <c r="AH11" s="47">
        <f t="shared" si="7"/>
        <v>707649.02212320536</v>
      </c>
      <c r="AI11" s="47">
        <v>1004468</v>
      </c>
      <c r="AJ11" s="232"/>
      <c r="AK11" s="236"/>
      <c r="AL11" s="233"/>
      <c r="AM11" s="172">
        <f>1012305*AS20</f>
        <v>699650.65012412227</v>
      </c>
      <c r="AN11" s="146">
        <v>9870</v>
      </c>
      <c r="AO11" s="146">
        <f t="shared" si="8"/>
        <v>11350.5</v>
      </c>
      <c r="AP11" s="146">
        <v>9700</v>
      </c>
      <c r="AQ11" s="47">
        <f t="shared" si="9"/>
        <v>678600.15012412227</v>
      </c>
      <c r="AR11" s="47">
        <v>991254</v>
      </c>
      <c r="AS11" s="242"/>
      <c r="AT11" s="146">
        <v>1055670</v>
      </c>
      <c r="AU11" s="146">
        <v>11445</v>
      </c>
      <c r="AV11" s="146">
        <f>AU11*115%</f>
        <v>13161.749999999998</v>
      </c>
      <c r="AW11" s="146">
        <v>10116</v>
      </c>
      <c r="AX11" s="47">
        <f t="shared" si="11"/>
        <v>1032392.25</v>
      </c>
      <c r="AY11" s="47">
        <v>1032392</v>
      </c>
      <c r="AZ11" s="156">
        <f>(H11+P11+Y11+AH11+AQ11+AX11)</f>
        <v>4195566.354101927</v>
      </c>
      <c r="BA11" s="156">
        <f>I11+Q11+Z11+AI11+AR11+AY11</f>
        <v>5746965</v>
      </c>
      <c r="BB11" s="240"/>
      <c r="BC11" s="240"/>
      <c r="BD11" s="34"/>
    </row>
    <row r="12" spans="2:56" ht="14.65" customHeight="1">
      <c r="B12" s="1"/>
      <c r="AW12" s="41" t="s">
        <v>22</v>
      </c>
      <c r="AX12" s="41"/>
      <c r="AY12" s="41"/>
      <c r="AZ12" s="52">
        <f>SUM(AZ4:AZ11)</f>
        <v>94989956.604101926</v>
      </c>
      <c r="BA12" s="52">
        <f>SUM(BA4:BA11)</f>
        <v>96540144</v>
      </c>
      <c r="BB12" s="52">
        <f>SUM(BB4:BB11)</f>
        <v>94989.956604101928</v>
      </c>
      <c r="BC12" s="52">
        <f>SUM(BC4:BC11)</f>
        <v>93251</v>
      </c>
      <c r="BD12" s="35"/>
    </row>
    <row r="13" spans="2:56" ht="15" customHeight="1">
      <c r="B13" s="1"/>
      <c r="C13" s="212" t="s">
        <v>50</v>
      </c>
      <c r="D13" s="213"/>
      <c r="E13" s="213"/>
      <c r="F13" s="213"/>
      <c r="G13" s="213"/>
      <c r="H13" s="213"/>
      <c r="I13" s="213"/>
      <c r="J13" s="214"/>
      <c r="K13" s="154"/>
      <c r="AE13" s="19"/>
      <c r="AF13" s="19"/>
    </row>
    <row r="14" spans="2:56" ht="14.5" customHeight="1">
      <c r="B14" s="1"/>
      <c r="C14" s="215"/>
      <c r="D14" s="216"/>
      <c r="E14" s="216"/>
      <c r="F14" s="216"/>
      <c r="G14" s="216"/>
      <c r="H14" s="216"/>
      <c r="I14" s="216"/>
      <c r="J14" s="217"/>
      <c r="K14" s="154"/>
      <c r="AD14" s="46"/>
      <c r="BA14" s="3"/>
      <c r="BB14" s="3"/>
      <c r="BC14" s="3"/>
      <c r="BD14" s="3"/>
    </row>
    <row r="15" spans="2:56" ht="15" customHeight="1">
      <c r="C15" s="218"/>
      <c r="D15" s="219"/>
      <c r="E15" s="219"/>
      <c r="F15" s="219"/>
      <c r="G15" s="219"/>
      <c r="H15" s="219"/>
      <c r="I15" s="219"/>
      <c r="J15" s="220"/>
      <c r="K15" s="154"/>
      <c r="BA15" s="19"/>
    </row>
    <row r="16" spans="2:56" ht="14.65" customHeight="1">
      <c r="B16" s="1"/>
    </row>
    <row r="17" spans="2:54" ht="14.65" customHeight="1">
      <c r="B17" s="1"/>
      <c r="C17" s="1"/>
    </row>
    <row r="18" spans="2:54">
      <c r="B18" s="57" t="s">
        <v>65</v>
      </c>
      <c r="C18" s="57" t="s">
        <v>66</v>
      </c>
      <c r="D18" s="147" t="s">
        <v>67</v>
      </c>
      <c r="E18" s="148"/>
      <c r="F18" s="148"/>
      <c r="G18" s="148"/>
      <c r="H18" s="149"/>
      <c r="I18" s="56">
        <f>SUM(C19:C47)</f>
        <v>620300.00000000012</v>
      </c>
      <c r="K18" s="57" t="s">
        <v>65</v>
      </c>
      <c r="L18" s="57" t="s">
        <v>66</v>
      </c>
      <c r="M18" s="147" t="s">
        <v>67</v>
      </c>
      <c r="N18" s="148"/>
      <c r="O18" s="148"/>
      <c r="P18" s="148"/>
      <c r="Q18" s="149"/>
      <c r="R18" s="56">
        <f>SUM(L19:L47)</f>
        <v>1169900.0000000002</v>
      </c>
      <c r="S18" s="157"/>
      <c r="T18" s="57" t="s">
        <v>65</v>
      </c>
      <c r="U18" s="57" t="s">
        <v>66</v>
      </c>
      <c r="V18" s="147" t="s">
        <v>67</v>
      </c>
      <c r="W18" s="148"/>
      <c r="X18" s="148"/>
      <c r="Y18" s="148"/>
      <c r="Z18" s="149"/>
      <c r="AA18" s="56">
        <f>SUM(U19:U47)</f>
        <v>999199.99999999977</v>
      </c>
      <c r="AC18" s="57" t="s">
        <v>65</v>
      </c>
      <c r="AD18" s="57" t="s">
        <v>66</v>
      </c>
      <c r="AE18" s="147" t="s">
        <v>67</v>
      </c>
      <c r="AF18" s="148"/>
      <c r="AG18" s="148"/>
      <c r="AH18" s="148"/>
      <c r="AI18" s="149"/>
      <c r="AJ18" s="56">
        <f>SUM(AD19:AD47)</f>
        <v>1027900</v>
      </c>
      <c r="AK18" s="157"/>
      <c r="AL18" s="57" t="s">
        <v>65</v>
      </c>
      <c r="AM18" s="57" t="s">
        <v>66</v>
      </c>
      <c r="AN18" s="147" t="s">
        <v>67</v>
      </c>
      <c r="AO18" s="148"/>
      <c r="AP18" s="148"/>
      <c r="AQ18" s="148"/>
      <c r="AR18" s="149"/>
      <c r="AS18" s="56">
        <f>SUM(AM19:AM47)</f>
        <v>1012899.9999999999</v>
      </c>
      <c r="BB18" s="3"/>
    </row>
    <row r="19" spans="2:54">
      <c r="B19" s="58">
        <v>45323</v>
      </c>
      <c r="C19" s="59">
        <v>20575.822015665555</v>
      </c>
      <c r="D19" s="147" t="s">
        <v>68</v>
      </c>
      <c r="E19" s="148"/>
      <c r="F19" s="148"/>
      <c r="G19" s="148"/>
      <c r="H19" s="149"/>
      <c r="I19" s="56">
        <f>SUM(C19:C38)</f>
        <v>373930.67211824085</v>
      </c>
      <c r="K19" s="58">
        <v>45323</v>
      </c>
      <c r="L19" s="59">
        <v>61609.58817399478</v>
      </c>
      <c r="M19" s="147" t="s">
        <v>68</v>
      </c>
      <c r="N19" s="148"/>
      <c r="O19" s="148"/>
      <c r="P19" s="148"/>
      <c r="Q19" s="149"/>
      <c r="R19" s="56">
        <f>SUM(L19:L38)</f>
        <v>881867.26717391307</v>
      </c>
      <c r="S19" s="157"/>
      <c r="T19" s="58">
        <v>45323</v>
      </c>
      <c r="U19" s="59">
        <v>7298.4706821566615</v>
      </c>
      <c r="V19" s="147" t="s">
        <v>68</v>
      </c>
      <c r="W19" s="148"/>
      <c r="X19" s="148"/>
      <c r="Y19" s="148"/>
      <c r="Z19" s="149"/>
      <c r="AA19" s="56">
        <f>SUM(U19:U38)</f>
        <v>587198.11968429433</v>
      </c>
      <c r="AC19" s="58">
        <v>45323</v>
      </c>
      <c r="AD19" s="59">
        <v>4867.8142676979051</v>
      </c>
      <c r="AE19" s="147" t="s">
        <v>68</v>
      </c>
      <c r="AF19" s="148"/>
      <c r="AG19" s="148"/>
      <c r="AH19" s="148"/>
      <c r="AI19" s="149"/>
      <c r="AJ19" s="56">
        <f>SUM(AD19:AD38)</f>
        <v>730852.22390050022</v>
      </c>
      <c r="AK19" s="157"/>
      <c r="AL19" s="58">
        <v>45323</v>
      </c>
      <c r="AM19" s="59">
        <v>22048.607280927001</v>
      </c>
      <c r="AN19" s="147" t="s">
        <v>68</v>
      </c>
      <c r="AO19" s="148"/>
      <c r="AP19" s="148"/>
      <c r="AQ19" s="148"/>
      <c r="AR19" s="149"/>
      <c r="AS19" s="56">
        <f>SUM(AM19:AM38)</f>
        <v>700061.88205207256</v>
      </c>
      <c r="BB19" s="3"/>
    </row>
    <row r="20" spans="2:54">
      <c r="B20" s="58">
        <v>45324</v>
      </c>
      <c r="C20" s="59">
        <v>17302.084180727972</v>
      </c>
      <c r="D20" s="147" t="s">
        <v>69</v>
      </c>
      <c r="E20" s="148"/>
      <c r="F20" s="148"/>
      <c r="G20" s="148"/>
      <c r="H20" s="149"/>
      <c r="I20" s="61">
        <f>I19/I18</f>
        <v>0.60282229907825369</v>
      </c>
      <c r="K20" s="58">
        <v>45324</v>
      </c>
      <c r="L20" s="59">
        <v>55894.824968459558</v>
      </c>
      <c r="M20" s="147" t="s">
        <v>69</v>
      </c>
      <c r="N20" s="148"/>
      <c r="O20" s="148"/>
      <c r="P20" s="148"/>
      <c r="Q20" s="149"/>
      <c r="R20" s="61">
        <f>R19/R18</f>
        <v>0.75379713409172822</v>
      </c>
      <c r="S20" s="158"/>
      <c r="T20" s="58">
        <v>45324</v>
      </c>
      <c r="U20" s="59">
        <v>1260.7660688800302</v>
      </c>
      <c r="V20" s="147" t="s">
        <v>69</v>
      </c>
      <c r="W20" s="148"/>
      <c r="X20" s="148"/>
      <c r="Y20" s="148"/>
      <c r="Z20" s="149"/>
      <c r="AA20" s="61">
        <f>AA19/AA18</f>
        <v>0.58766825428772462</v>
      </c>
      <c r="AC20" s="58">
        <v>45324</v>
      </c>
      <c r="AD20" s="59">
        <v>16937.121618311114</v>
      </c>
      <c r="AE20" s="147" t="s">
        <v>69</v>
      </c>
      <c r="AF20" s="148"/>
      <c r="AG20" s="148"/>
      <c r="AH20" s="148"/>
      <c r="AI20" s="149"/>
      <c r="AJ20" s="61">
        <f>AJ19/AJ18</f>
        <v>0.71101490796818778</v>
      </c>
      <c r="AK20" s="158"/>
      <c r="AL20" s="58">
        <v>45324</v>
      </c>
      <c r="AM20" s="59">
        <v>14593.35230349123</v>
      </c>
      <c r="AN20" s="147" t="s">
        <v>69</v>
      </c>
      <c r="AO20" s="148"/>
      <c r="AP20" s="148"/>
      <c r="AQ20" s="148"/>
      <c r="AR20" s="149"/>
      <c r="AS20" s="61">
        <f>AS19/AS18</f>
        <v>0.69114609739566857</v>
      </c>
    </row>
    <row r="21" spans="2:54">
      <c r="B21" s="58">
        <v>45325</v>
      </c>
      <c r="C21" s="59">
        <v>26679.358877920928</v>
      </c>
      <c r="K21" s="58">
        <v>45325</v>
      </c>
      <c r="L21" s="59">
        <v>35777.573427085481</v>
      </c>
      <c r="T21" s="58">
        <v>45325</v>
      </c>
      <c r="U21" s="59">
        <v>23861.313014688891</v>
      </c>
      <c r="AC21" s="58">
        <v>45325</v>
      </c>
      <c r="AD21" s="59">
        <v>61240.238379212751</v>
      </c>
      <c r="AL21" s="58">
        <v>45325</v>
      </c>
      <c r="AM21" s="59">
        <v>25714.205129984024</v>
      </c>
    </row>
    <row r="22" spans="2:54">
      <c r="B22" s="58">
        <v>45326</v>
      </c>
      <c r="C22" s="59">
        <v>19472.341820443475</v>
      </c>
      <c r="K22" s="58">
        <v>45326</v>
      </c>
      <c r="L22" s="59">
        <v>69037.632883477374</v>
      </c>
      <c r="T22" s="58">
        <v>45326</v>
      </c>
      <c r="U22" s="59">
        <v>46089.237550761456</v>
      </c>
      <c r="AC22" s="58">
        <v>45326</v>
      </c>
      <c r="AD22" s="59">
        <v>37455.900025741219</v>
      </c>
      <c r="AL22" s="58">
        <v>45326</v>
      </c>
      <c r="AM22" s="59">
        <v>32873.562581213628</v>
      </c>
    </row>
    <row r="23" spans="2:54">
      <c r="B23" s="58">
        <v>45327</v>
      </c>
      <c r="C23" s="59">
        <v>28468.181427227766</v>
      </c>
      <c r="K23" s="58">
        <v>45327</v>
      </c>
      <c r="L23" s="59">
        <v>51306.438899544075</v>
      </c>
      <c r="T23" s="58">
        <v>45327</v>
      </c>
      <c r="U23" s="59">
        <v>51561.411818865658</v>
      </c>
      <c r="AC23" s="58">
        <v>45327</v>
      </c>
      <c r="AD23" s="59">
        <v>56668.707120333667</v>
      </c>
      <c r="AL23" s="58">
        <v>45327</v>
      </c>
      <c r="AM23" s="59">
        <v>5677.0697965893769</v>
      </c>
    </row>
    <row r="24" spans="2:54">
      <c r="B24" s="58">
        <v>45328</v>
      </c>
      <c r="C24" s="59">
        <v>2423.3294477294353</v>
      </c>
      <c r="K24" s="58">
        <v>45328</v>
      </c>
      <c r="L24" s="59">
        <v>70380.331166205462</v>
      </c>
      <c r="T24" s="58">
        <v>45328</v>
      </c>
      <c r="U24" s="59">
        <v>5055.8656825099688</v>
      </c>
      <c r="AC24" s="58">
        <v>45328</v>
      </c>
      <c r="AD24" s="59">
        <v>28560.449427432493</v>
      </c>
      <c r="AL24" s="58">
        <v>45328</v>
      </c>
      <c r="AM24" s="59">
        <v>42615.370490674366</v>
      </c>
    </row>
    <row r="25" spans="2:54">
      <c r="B25" s="58">
        <v>45329</v>
      </c>
      <c r="C25" s="59">
        <v>8931.2147424350514</v>
      </c>
      <c r="K25" s="58">
        <v>45329</v>
      </c>
      <c r="L25" s="59">
        <v>5607.9481764190878</v>
      </c>
      <c r="T25" s="58">
        <v>45329</v>
      </c>
      <c r="U25" s="59">
        <v>1399.5836427565453</v>
      </c>
      <c r="AC25" s="58">
        <v>45329</v>
      </c>
      <c r="AD25" s="59">
        <v>17852.761117519407</v>
      </c>
      <c r="AL25" s="58">
        <v>45329</v>
      </c>
      <c r="AM25" s="59">
        <v>58561.931872904403</v>
      </c>
    </row>
    <row r="26" spans="2:54">
      <c r="B26" s="58">
        <v>45330</v>
      </c>
      <c r="C26" s="59">
        <v>29605.248553409783</v>
      </c>
      <c r="K26" s="58">
        <v>45330</v>
      </c>
      <c r="L26" s="59">
        <v>54242.247671085825</v>
      </c>
      <c r="T26" s="58">
        <v>45330</v>
      </c>
      <c r="U26" s="59">
        <v>11195.449873803585</v>
      </c>
      <c r="AC26" s="58">
        <v>45330</v>
      </c>
      <c r="AD26" s="59">
        <v>35965.97445595637</v>
      </c>
      <c r="AL26" s="58">
        <v>45330</v>
      </c>
      <c r="AM26" s="59">
        <v>55429.995103035886</v>
      </c>
    </row>
    <row r="27" spans="2:54">
      <c r="B27" s="58">
        <v>45331</v>
      </c>
      <c r="C27" s="59">
        <v>31286.336951603382</v>
      </c>
      <c r="K27" s="58">
        <v>45331</v>
      </c>
      <c r="L27" s="59">
        <v>1876.9850156739299</v>
      </c>
      <c r="T27" s="58">
        <v>45331</v>
      </c>
      <c r="U27" s="59">
        <v>36319.998021568819</v>
      </c>
      <c r="AC27" s="58">
        <v>45331</v>
      </c>
      <c r="AD27" s="59">
        <v>25758.500649226266</v>
      </c>
      <c r="AL27" s="58">
        <v>45331</v>
      </c>
      <c r="AM27" s="59">
        <v>7087.9736266365862</v>
      </c>
    </row>
    <row r="28" spans="2:54">
      <c r="B28" s="58">
        <v>45332</v>
      </c>
      <c r="C28" s="59">
        <v>12812.418582412391</v>
      </c>
      <c r="K28" s="58">
        <v>45332</v>
      </c>
      <c r="L28" s="59">
        <v>82291.332800368371</v>
      </c>
      <c r="T28" s="58">
        <v>45332</v>
      </c>
      <c r="U28" s="59">
        <v>14251.434038923186</v>
      </c>
      <c r="AC28" s="58">
        <v>45332</v>
      </c>
      <c r="AD28" s="59">
        <v>47484.417768273081</v>
      </c>
      <c r="AL28" s="58">
        <v>45332</v>
      </c>
      <c r="AM28" s="59">
        <v>34262.511727905083</v>
      </c>
    </row>
    <row r="29" spans="2:54">
      <c r="B29" s="58">
        <v>45333</v>
      </c>
      <c r="C29" s="59">
        <v>1990.0280060473087</v>
      </c>
      <c r="K29" s="58">
        <v>45333</v>
      </c>
      <c r="L29" s="59">
        <v>14370.322698731081</v>
      </c>
      <c r="T29" s="58">
        <v>45333</v>
      </c>
      <c r="U29" s="59">
        <v>67530.921032915328</v>
      </c>
      <c r="AC29" s="58">
        <v>45333</v>
      </c>
      <c r="AD29" s="59">
        <v>24922.875491612413</v>
      </c>
      <c r="AL29" s="58">
        <v>45333</v>
      </c>
      <c r="AM29" s="59">
        <v>39651.289459424217</v>
      </c>
    </row>
    <row r="30" spans="2:54">
      <c r="B30" s="58">
        <v>45334</v>
      </c>
      <c r="C30" s="59">
        <v>41351.132376017304</v>
      </c>
      <c r="K30" s="58">
        <v>45334</v>
      </c>
      <c r="L30" s="59">
        <v>56578.39486887071</v>
      </c>
      <c r="T30" s="58">
        <v>45334</v>
      </c>
      <c r="U30" s="59">
        <v>25828.341182216504</v>
      </c>
      <c r="AC30" s="58">
        <v>45334</v>
      </c>
      <c r="AD30" s="59">
        <v>60627.809092445139</v>
      </c>
      <c r="AL30" s="58">
        <v>45334</v>
      </c>
      <c r="AM30" s="59">
        <v>50800.322872841978</v>
      </c>
    </row>
    <row r="31" spans="2:54">
      <c r="B31" s="58">
        <v>45335</v>
      </c>
      <c r="C31" s="59">
        <v>14904.268829086714</v>
      </c>
      <c r="K31" s="58">
        <v>45335</v>
      </c>
      <c r="L31" s="59">
        <v>47682.160165225236</v>
      </c>
      <c r="T31" s="58">
        <v>45335</v>
      </c>
      <c r="U31" s="59">
        <v>28969.326979412424</v>
      </c>
      <c r="AC31" s="58">
        <v>45335</v>
      </c>
      <c r="AD31" s="59">
        <v>58070.034732869928</v>
      </c>
      <c r="AL31" s="58">
        <v>45335</v>
      </c>
      <c r="AM31" s="59">
        <v>23913.736951510749</v>
      </c>
    </row>
    <row r="32" spans="2:54">
      <c r="B32" s="58">
        <v>45336</v>
      </c>
      <c r="C32" s="59">
        <v>41373.773894996921</v>
      </c>
      <c r="K32" s="58">
        <v>45336</v>
      </c>
      <c r="L32" s="59">
        <v>44674.316150839877</v>
      </c>
      <c r="T32" s="58">
        <v>45336</v>
      </c>
      <c r="U32" s="59">
        <v>63845.666918430434</v>
      </c>
      <c r="AC32" s="58">
        <v>45336</v>
      </c>
      <c r="AD32" s="59">
        <v>25846.759015982356</v>
      </c>
      <c r="AL32" s="58">
        <v>45336</v>
      </c>
      <c r="AM32" s="59">
        <v>19391.739184026948</v>
      </c>
    </row>
    <row r="33" spans="2:39">
      <c r="B33" s="58">
        <v>45337</v>
      </c>
      <c r="C33" s="59">
        <v>14235.980798557193</v>
      </c>
      <c r="K33" s="58">
        <v>45337</v>
      </c>
      <c r="L33" s="59">
        <v>470.661592058439</v>
      </c>
      <c r="T33" s="58">
        <v>45337</v>
      </c>
      <c r="U33" s="59">
        <v>68005.453565975535</v>
      </c>
      <c r="AC33" s="58">
        <v>45337</v>
      </c>
      <c r="AD33" s="59">
        <v>60381.093408314751</v>
      </c>
      <c r="AL33" s="58">
        <v>45337</v>
      </c>
      <c r="AM33" s="59">
        <v>12078.398359007184</v>
      </c>
    </row>
    <row r="34" spans="2:39">
      <c r="B34" s="58">
        <v>45338</v>
      </c>
      <c r="C34" s="59">
        <v>1453.2573496191119</v>
      </c>
      <c r="K34" s="58">
        <v>45338</v>
      </c>
      <c r="L34" s="59">
        <v>54461.500503226933</v>
      </c>
      <c r="T34" s="58">
        <v>45338</v>
      </c>
      <c r="U34" s="59">
        <v>68013.234778227823</v>
      </c>
      <c r="AC34" s="58">
        <v>45338</v>
      </c>
      <c r="AD34" s="59">
        <v>58838.974888765435</v>
      </c>
      <c r="AL34" s="58">
        <v>45338</v>
      </c>
      <c r="AM34" s="59">
        <v>57870.404625549585</v>
      </c>
    </row>
    <row r="35" spans="2:39">
      <c r="B35" s="58">
        <v>45339</v>
      </c>
      <c r="C35" s="59">
        <v>6378.1622745238483</v>
      </c>
      <c r="K35" s="58">
        <v>45339</v>
      </c>
      <c r="L35" s="59">
        <v>26445.586626232245</v>
      </c>
      <c r="T35" s="58">
        <v>45339</v>
      </c>
      <c r="U35" s="59">
        <v>15830.607802082792</v>
      </c>
      <c r="AC35" s="58">
        <v>45339</v>
      </c>
      <c r="AD35" s="59">
        <v>8994.606039404247</v>
      </c>
      <c r="AL35" s="58">
        <v>45339</v>
      </c>
      <c r="AM35" s="59">
        <v>47820.976398360493</v>
      </c>
    </row>
    <row r="36" spans="2:39">
      <c r="B36" s="58">
        <v>45340</v>
      </c>
      <c r="C36" s="59">
        <v>20152.680896550515</v>
      </c>
      <c r="K36" s="58">
        <v>45340</v>
      </c>
      <c r="L36" s="59">
        <v>75802.349252463289</v>
      </c>
      <c r="T36" s="58">
        <v>45340</v>
      </c>
      <c r="U36" s="59">
        <v>25692.873275752114</v>
      </c>
      <c r="AC36" s="58">
        <v>45340</v>
      </c>
      <c r="AD36" s="59">
        <v>36259.618571647297</v>
      </c>
      <c r="AL36" s="58">
        <v>45340</v>
      </c>
      <c r="AM36" s="59">
        <v>50327.912865046659</v>
      </c>
    </row>
    <row r="37" spans="2:39">
      <c r="B37" s="58">
        <v>45341</v>
      </c>
      <c r="C37" s="59">
        <v>25651.857429616648</v>
      </c>
      <c r="K37" s="58">
        <v>45341</v>
      </c>
      <c r="L37" s="59">
        <v>35748.284615580349</v>
      </c>
      <c r="T37" s="58">
        <v>45341</v>
      </c>
      <c r="U37" s="59">
        <v>3704.6719831342757</v>
      </c>
      <c r="AC37" s="58">
        <v>45341</v>
      </c>
      <c r="AD37" s="59">
        <v>20507.605205995442</v>
      </c>
      <c r="AL37" s="58">
        <v>45341</v>
      </c>
      <c r="AM37" s="59">
        <v>52444.89630714494</v>
      </c>
    </row>
    <row r="38" spans="2:39">
      <c r="B38" s="58">
        <v>45342</v>
      </c>
      <c r="C38" s="59">
        <v>8883.1936636494847</v>
      </c>
      <c r="K38" s="58">
        <v>45342</v>
      </c>
      <c r="L38" s="59">
        <v>37608.787518370846</v>
      </c>
      <c r="T38" s="58">
        <v>45342</v>
      </c>
      <c r="U38" s="59">
        <v>21483.491771232504</v>
      </c>
      <c r="AC38" s="58">
        <v>45342</v>
      </c>
      <c r="AD38" s="59">
        <v>43610.962623758787</v>
      </c>
      <c r="AL38" s="58">
        <v>45342</v>
      </c>
      <c r="AM38" s="59">
        <v>46897.625115798357</v>
      </c>
    </row>
    <row r="39" spans="2:39">
      <c r="B39" s="58">
        <v>45343</v>
      </c>
      <c r="C39" s="59">
        <v>36083.35078594974</v>
      </c>
      <c r="K39" s="58">
        <v>45343</v>
      </c>
      <c r="L39" s="59">
        <v>32356.692734941287</v>
      </c>
      <c r="T39" s="58">
        <v>45343</v>
      </c>
      <c r="U39" s="59">
        <v>2320.0975086423273</v>
      </c>
      <c r="AC39" s="58">
        <v>45343</v>
      </c>
      <c r="AD39" s="59">
        <v>10970.394086391456</v>
      </c>
      <c r="AL39" s="58">
        <v>45343</v>
      </c>
      <c r="AM39" s="59">
        <v>53736.060253138559</v>
      </c>
    </row>
    <row r="40" spans="2:39">
      <c r="B40" s="58">
        <v>45344</v>
      </c>
      <c r="C40" s="59">
        <v>42006.114773844158</v>
      </c>
      <c r="K40" s="58">
        <v>45344</v>
      </c>
      <c r="L40" s="59">
        <v>15355.765949145381</v>
      </c>
      <c r="T40" s="58">
        <v>45344</v>
      </c>
      <c r="U40" s="59">
        <v>66981.210059390432</v>
      </c>
      <c r="AC40" s="58">
        <v>45344</v>
      </c>
      <c r="AD40" s="59">
        <v>13836.957511714887</v>
      </c>
      <c r="AL40" s="58">
        <v>45344</v>
      </c>
      <c r="AM40" s="59">
        <v>53260.324183462188</v>
      </c>
    </row>
    <row r="41" spans="2:39">
      <c r="B41" s="58">
        <v>45345</v>
      </c>
      <c r="C41" s="59">
        <v>13215.64718547532</v>
      </c>
      <c r="K41" s="58">
        <v>45345</v>
      </c>
      <c r="L41" s="59">
        <v>19864.726113477333</v>
      </c>
      <c r="T41" s="58">
        <v>45345</v>
      </c>
      <c r="U41" s="59">
        <v>64299.973837667276</v>
      </c>
      <c r="AC41" s="58">
        <v>45345</v>
      </c>
      <c r="AD41" s="59">
        <v>60950.709424906767</v>
      </c>
      <c r="AL41" s="58">
        <v>45345</v>
      </c>
      <c r="AM41" s="59">
        <v>38549.524536569108</v>
      </c>
    </row>
    <row r="42" spans="2:39">
      <c r="B42" s="58">
        <v>45346</v>
      </c>
      <c r="C42" s="59">
        <v>39353.355070106954</v>
      </c>
      <c r="K42" s="58">
        <v>45346</v>
      </c>
      <c r="L42" s="59">
        <v>14115.463305232115</v>
      </c>
      <c r="T42" s="58">
        <v>45346</v>
      </c>
      <c r="U42" s="59">
        <v>25258.512847528142</v>
      </c>
      <c r="AC42" s="58">
        <v>45346</v>
      </c>
      <c r="AD42" s="59">
        <v>20502.33545563537</v>
      </c>
      <c r="AL42" s="58">
        <v>45346</v>
      </c>
      <c r="AM42" s="59">
        <v>53963.146736207331</v>
      </c>
    </row>
    <row r="43" spans="2:39">
      <c r="B43" s="58">
        <v>45347</v>
      </c>
      <c r="C43" s="59">
        <v>5839.7952015101682</v>
      </c>
      <c r="K43" s="58">
        <v>45347</v>
      </c>
      <c r="L43" s="59">
        <v>49722.168238906073</v>
      </c>
      <c r="T43" s="58">
        <v>45347</v>
      </c>
      <c r="U43" s="59">
        <v>45754.264094051694</v>
      </c>
      <c r="AC43" s="58">
        <v>45347</v>
      </c>
      <c r="AD43" s="59">
        <v>59539.094130633952</v>
      </c>
      <c r="AL43" s="58">
        <v>45347</v>
      </c>
      <c r="AM43" s="59">
        <v>11550.674578403343</v>
      </c>
    </row>
    <row r="44" spans="2:39">
      <c r="B44" s="58">
        <v>45348</v>
      </c>
      <c r="C44" s="59">
        <v>42067.014459562633</v>
      </c>
      <c r="K44" s="58">
        <v>45348</v>
      </c>
      <c r="L44" s="59">
        <v>67808.248684865117</v>
      </c>
      <c r="T44" s="58">
        <v>45348</v>
      </c>
      <c r="U44" s="59">
        <v>60805.806020276352</v>
      </c>
      <c r="AC44" s="58">
        <v>45348</v>
      </c>
      <c r="AD44" s="59">
        <v>43117.297925634703</v>
      </c>
      <c r="AL44" s="58">
        <v>45348</v>
      </c>
      <c r="AM44" s="59">
        <v>19099.012994635654</v>
      </c>
    </row>
    <row r="45" spans="2:39">
      <c r="B45" s="58">
        <v>45349</v>
      </c>
      <c r="C45" s="59">
        <v>15991.719713726216</v>
      </c>
      <c r="K45" s="58">
        <v>45349</v>
      </c>
      <c r="L45" s="59">
        <v>40479.837176477267</v>
      </c>
      <c r="T45" s="58">
        <v>45349</v>
      </c>
      <c r="U45" s="59">
        <v>65762.453813792745</v>
      </c>
      <c r="AC45" s="58">
        <v>45349</v>
      </c>
      <c r="AD45" s="59">
        <v>40381.435708236662</v>
      </c>
      <c r="AL45" s="58">
        <v>45349</v>
      </c>
      <c r="AM45" s="59">
        <v>31524.281048349494</v>
      </c>
    </row>
    <row r="46" spans="2:39">
      <c r="B46" s="58">
        <v>45350</v>
      </c>
      <c r="C46" s="59">
        <v>13229.383218861667</v>
      </c>
      <c r="K46" s="58">
        <v>45350</v>
      </c>
      <c r="L46" s="59">
        <v>26905.158782241662</v>
      </c>
      <c r="T46" s="58">
        <v>45350</v>
      </c>
      <c r="U46" s="59">
        <v>36145.490324447055</v>
      </c>
      <c r="AC46" s="58">
        <v>45350</v>
      </c>
      <c r="AD46" s="59">
        <v>8326.54025308169</v>
      </c>
      <c r="AL46" s="58">
        <v>45350</v>
      </c>
      <c r="AM46" s="59">
        <v>10168.234049701268</v>
      </c>
    </row>
    <row r="47" spans="2:39">
      <c r="B47" s="58">
        <v>45351</v>
      </c>
      <c r="C47" s="59">
        <v>38582.947472722401</v>
      </c>
      <c r="K47" s="58">
        <v>45351</v>
      </c>
      <c r="L47" s="59">
        <v>21424.671840800842</v>
      </c>
      <c r="T47" s="58">
        <v>45351</v>
      </c>
      <c r="U47" s="59">
        <v>44674.071809909459</v>
      </c>
      <c r="AC47" s="58">
        <v>45351</v>
      </c>
      <c r="AD47" s="59">
        <v>39423.011603264429</v>
      </c>
      <c r="AL47" s="58">
        <v>45351</v>
      </c>
      <c r="AM47" s="59">
        <v>40986.859567460517</v>
      </c>
    </row>
    <row r="48" spans="2:39" ht="15.5">
      <c r="B48" s="58" t="s">
        <v>59</v>
      </c>
      <c r="C48" s="60">
        <f>SUM(C19:C47)</f>
        <v>620300.00000000012</v>
      </c>
      <c r="K48" s="58" t="s">
        <v>59</v>
      </c>
      <c r="L48" s="60">
        <f>SUM(L19:L47)</f>
        <v>1169900.0000000002</v>
      </c>
      <c r="T48" s="58" t="s">
        <v>59</v>
      </c>
      <c r="U48" s="60">
        <f>SUM(U19:U47)</f>
        <v>999199.99999999977</v>
      </c>
      <c r="AC48" s="58" t="s">
        <v>59</v>
      </c>
      <c r="AD48" s="60">
        <f>SUM(AD19:AD47)</f>
        <v>1027900</v>
      </c>
      <c r="AL48" s="58" t="s">
        <v>59</v>
      </c>
      <c r="AM48" s="60">
        <f>SUM(AM19:AM47)</f>
        <v>1012899.9999999999</v>
      </c>
    </row>
    <row r="49" spans="6:6">
      <c r="F49" t="s">
        <v>111</v>
      </c>
    </row>
  </sheetData>
  <mergeCells count="21">
    <mergeCell ref="BA2:BA3"/>
    <mergeCell ref="AS2:AS11"/>
    <mergeCell ref="AZ2:AZ3"/>
    <mergeCell ref="AD2:AI2"/>
    <mergeCell ref="AM2:AR2"/>
    <mergeCell ref="AT2:AY2"/>
    <mergeCell ref="BC10:BC11"/>
    <mergeCell ref="BB2:BB3"/>
    <mergeCell ref="BB4:BB9"/>
    <mergeCell ref="BB10:BB11"/>
    <mergeCell ref="BC2:BC3"/>
    <mergeCell ref="BC4:BC9"/>
    <mergeCell ref="J2:K11"/>
    <mergeCell ref="R2:T11"/>
    <mergeCell ref="AA2:AC11"/>
    <mergeCell ref="AJ2:AL11"/>
    <mergeCell ref="C13:J15"/>
    <mergeCell ref="B2:C3"/>
    <mergeCell ref="D2:I2"/>
    <mergeCell ref="L2:Q2"/>
    <mergeCell ref="U2:Z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53"/>
  <sheetViews>
    <sheetView showGridLines="0" topLeftCell="A22" zoomScale="85" zoomScaleNormal="85" workbookViewId="0">
      <selection activeCell="G6" sqref="G6"/>
    </sheetView>
  </sheetViews>
  <sheetFormatPr baseColWidth="10" defaultColWidth="8.7265625" defaultRowHeight="14.5"/>
  <cols>
    <col min="1" max="1" width="7" customWidth="1"/>
    <col min="2" max="2" width="16.453125" bestFit="1" customWidth="1"/>
    <col min="3" max="3" width="11" customWidth="1"/>
    <col min="4" max="4" width="18.453125" bestFit="1" customWidth="1"/>
    <col min="5" max="6" width="18.26953125" customWidth="1"/>
    <col min="7" max="7" width="22.7265625" customWidth="1"/>
    <col min="8" max="8" width="14.26953125" customWidth="1"/>
    <col min="9" max="9" width="19.7265625" bestFit="1" customWidth="1"/>
    <col min="10" max="10" width="29.54296875" customWidth="1"/>
    <col min="11" max="11" width="10" bestFit="1" customWidth="1"/>
    <col min="12" max="12" width="14.1796875" bestFit="1" customWidth="1"/>
    <col min="13" max="13" width="13.26953125" customWidth="1"/>
    <col min="14" max="14" width="10" bestFit="1" customWidth="1"/>
    <col min="16" max="16" width="13.7265625" customWidth="1"/>
  </cols>
  <sheetData>
    <row r="1" spans="2:10" ht="15" thickBot="1"/>
    <row r="2" spans="2:10" ht="30" customHeight="1" thickBot="1">
      <c r="B2" s="249" t="s">
        <v>0</v>
      </c>
      <c r="C2" s="250"/>
      <c r="D2" s="28" t="s">
        <v>10</v>
      </c>
      <c r="E2" s="137" t="s">
        <v>9</v>
      </c>
      <c r="F2" s="138" t="s">
        <v>112</v>
      </c>
      <c r="G2" s="137" t="s">
        <v>113</v>
      </c>
      <c r="H2" s="137" t="s">
        <v>44</v>
      </c>
      <c r="I2" s="138" t="s">
        <v>61</v>
      </c>
    </row>
    <row r="3" spans="2:10">
      <c r="B3" s="29">
        <v>45108</v>
      </c>
      <c r="C3" s="27">
        <v>45138</v>
      </c>
      <c r="E3" s="186">
        <v>28583022</v>
      </c>
      <c r="F3" s="163">
        <v>28491101</v>
      </c>
      <c r="G3" s="167">
        <f>E3*(1-0.2%)</f>
        <v>28525855.956</v>
      </c>
      <c r="H3" s="254">
        <f>SUM(G3:G8)/1000</f>
        <v>70237.126045008743</v>
      </c>
      <c r="I3" s="208">
        <f>ROUNDDOWN(H3*'ER Calculations'!G13,0)</f>
        <v>68951</v>
      </c>
      <c r="J3" s="3"/>
    </row>
    <row r="4" spans="2:10">
      <c r="B4" s="7">
        <v>45139</v>
      </c>
      <c r="C4" s="6">
        <v>45169</v>
      </c>
      <c r="E4" s="186">
        <v>16527454</v>
      </c>
      <c r="F4" s="163">
        <v>16542854</v>
      </c>
      <c r="G4" s="167">
        <f t="shared" ref="G4:G10" si="0">E4*(1-0.2%)</f>
        <v>16494399.092</v>
      </c>
      <c r="H4" s="255"/>
      <c r="I4" s="209"/>
      <c r="J4" s="3"/>
    </row>
    <row r="5" spans="2:10">
      <c r="B5" s="29">
        <v>45170</v>
      </c>
      <c r="C5" s="27">
        <v>45199</v>
      </c>
      <c r="E5" s="187">
        <v>17848365.808626</v>
      </c>
      <c r="F5" s="163">
        <v>17848366</v>
      </c>
      <c r="G5" s="167">
        <f t="shared" si="0"/>
        <v>17812669.077008747</v>
      </c>
      <c r="H5" s="255"/>
      <c r="I5" s="209"/>
      <c r="J5" s="3"/>
    </row>
    <row r="6" spans="2:10">
      <c r="B6" s="7">
        <v>45200</v>
      </c>
      <c r="C6" s="6">
        <v>45230</v>
      </c>
      <c r="E6" s="187">
        <v>2964587</v>
      </c>
      <c r="F6" s="163">
        <v>10876842</v>
      </c>
      <c r="G6" s="167">
        <f t="shared" si="0"/>
        <v>2958657.8259999999</v>
      </c>
      <c r="H6" s="255"/>
      <c r="I6" s="209"/>
      <c r="J6" s="3"/>
    </row>
    <row r="7" spans="2:10">
      <c r="B7" s="29">
        <v>45231</v>
      </c>
      <c r="C7" s="27">
        <v>45260</v>
      </c>
      <c r="E7" s="187">
        <v>1466034</v>
      </c>
      <c r="F7" s="163">
        <v>8512838</v>
      </c>
      <c r="G7" s="167">
        <f t="shared" si="0"/>
        <v>1463101.932</v>
      </c>
      <c r="H7" s="255"/>
      <c r="I7" s="209"/>
      <c r="J7" s="3"/>
    </row>
    <row r="8" spans="2:10" ht="15" thickBot="1">
      <c r="B8" s="7">
        <v>45261</v>
      </c>
      <c r="C8" s="6">
        <v>45291</v>
      </c>
      <c r="E8" s="187">
        <v>2988419</v>
      </c>
      <c r="F8" s="163">
        <v>8395228</v>
      </c>
      <c r="G8" s="167">
        <f t="shared" si="0"/>
        <v>2982442.162</v>
      </c>
      <c r="H8" s="256"/>
      <c r="I8" s="210"/>
      <c r="J8" s="3"/>
    </row>
    <row r="9" spans="2:10">
      <c r="B9" s="29">
        <v>45292</v>
      </c>
      <c r="C9" s="27">
        <v>45322</v>
      </c>
      <c r="E9" s="187">
        <v>3609964</v>
      </c>
      <c r="F9" s="163">
        <v>3609964</v>
      </c>
      <c r="G9" s="167">
        <f t="shared" si="0"/>
        <v>3602744.0720000002</v>
      </c>
      <c r="H9" s="254">
        <f>SUM(G9:G10)/1000</f>
        <v>7133.4184091974348</v>
      </c>
      <c r="I9" s="208">
        <f>ROUNDDOWN(H9*'ER Calculations'!G13,0)</f>
        <v>7002</v>
      </c>
      <c r="J9" s="3"/>
    </row>
    <row r="10" spans="2:10" ht="15" thickBot="1">
      <c r="B10" s="62">
        <v>45323</v>
      </c>
      <c r="C10" s="63">
        <v>45342</v>
      </c>
      <c r="E10" s="160">
        <f>4920387*L23</f>
        <v>3537749.8368711765</v>
      </c>
      <c r="F10" s="163">
        <v>4920387</v>
      </c>
      <c r="G10" s="167">
        <f t="shared" si="0"/>
        <v>3530674.3371974342</v>
      </c>
      <c r="H10" s="256"/>
      <c r="I10" s="210"/>
      <c r="J10" s="3"/>
    </row>
    <row r="11" spans="2:10" ht="15" thickBot="1">
      <c r="B11" s="8" t="s">
        <v>4</v>
      </c>
      <c r="C11" s="9"/>
      <c r="D11" s="26">
        <f>SUM(F3:F10)</f>
        <v>99197580</v>
      </c>
      <c r="E11" s="161">
        <f>SUM(E3:E10)</f>
        <v>77525595.645497173</v>
      </c>
      <c r="F11" s="163"/>
      <c r="G11" s="167">
        <f>SUM(G3:G10)</f>
        <v>77370544.454206184</v>
      </c>
      <c r="H11" s="162">
        <f>SUM(H3:H10)</f>
        <v>77370.544454206174</v>
      </c>
      <c r="I11" s="54">
        <f>I3+I9</f>
        <v>75953</v>
      </c>
      <c r="J11" s="3"/>
    </row>
    <row r="12" spans="2:10">
      <c r="G12" s="3"/>
    </row>
    <row r="13" spans="2:10">
      <c r="B13" s="2" t="s">
        <v>45</v>
      </c>
      <c r="C13" s="2"/>
      <c r="D13" s="41"/>
      <c r="E13" s="55">
        <f>SUM(C19:C47)</f>
        <v>9281125</v>
      </c>
      <c r="F13" s="159"/>
      <c r="G13" s="159"/>
    </row>
    <row r="14" spans="2:10">
      <c r="B14" s="2" t="s">
        <v>46</v>
      </c>
      <c r="C14" s="2"/>
      <c r="D14" s="2"/>
      <c r="E14" s="55">
        <f>SUM(C19:C38)</f>
        <v>6673113</v>
      </c>
      <c r="F14" s="159"/>
      <c r="G14" s="170" t="s">
        <v>114</v>
      </c>
      <c r="H14" s="169"/>
      <c r="I14" s="169"/>
    </row>
    <row r="15" spans="2:10">
      <c r="B15" s="251" t="s">
        <v>47</v>
      </c>
      <c r="C15" s="252"/>
      <c r="D15" s="253"/>
      <c r="E15" s="55">
        <f>E14/E13</f>
        <v>0.71899828953925304</v>
      </c>
      <c r="F15" s="159"/>
      <c r="G15" s="168"/>
      <c r="H15" s="169"/>
      <c r="I15" s="169"/>
    </row>
    <row r="17" spans="2:12">
      <c r="B17" s="41" t="s">
        <v>51</v>
      </c>
      <c r="F17" s="3"/>
    </row>
    <row r="18" spans="2:12" ht="29">
      <c r="B18" s="20" t="s">
        <v>30</v>
      </c>
      <c r="C18" s="21" t="s">
        <v>31</v>
      </c>
    </row>
    <row r="19" spans="2:12">
      <c r="B19" s="22">
        <v>45323</v>
      </c>
      <c r="C19" s="23">
        <v>34372</v>
      </c>
    </row>
    <row r="20" spans="2:12">
      <c r="B20" s="22">
        <v>45324</v>
      </c>
      <c r="C20" s="23">
        <v>163875</v>
      </c>
    </row>
    <row r="21" spans="2:12">
      <c r="B21" s="22">
        <v>45325</v>
      </c>
      <c r="C21" s="23">
        <v>327763</v>
      </c>
      <c r="E21" s="205" t="s">
        <v>67</v>
      </c>
      <c r="F21" s="206"/>
      <c r="G21" s="206"/>
      <c r="H21" s="206"/>
      <c r="I21" s="206"/>
      <c r="J21" s="206"/>
      <c r="K21" s="207"/>
      <c r="L21" s="56">
        <f>SUM(C19:C47)</f>
        <v>9281125</v>
      </c>
    </row>
    <row r="22" spans="2:12">
      <c r="B22" s="22">
        <v>45326</v>
      </c>
      <c r="C22" s="24">
        <v>353704</v>
      </c>
      <c r="E22" s="205" t="s">
        <v>68</v>
      </c>
      <c r="F22" s="206"/>
      <c r="G22" s="206"/>
      <c r="H22" s="206"/>
      <c r="I22" s="206"/>
      <c r="J22" s="206"/>
      <c r="K22" s="207"/>
      <c r="L22" s="56">
        <f>SUM(C19:C38)</f>
        <v>6673113</v>
      </c>
    </row>
    <row r="23" spans="2:12">
      <c r="B23" s="22">
        <v>45327</v>
      </c>
      <c r="C23" s="24">
        <v>281409</v>
      </c>
      <c r="E23" s="205" t="s">
        <v>69</v>
      </c>
      <c r="F23" s="206"/>
      <c r="G23" s="206"/>
      <c r="H23" s="206"/>
      <c r="I23" s="206"/>
      <c r="J23" s="206"/>
      <c r="K23" s="207"/>
      <c r="L23" s="61">
        <f>L22/L21</f>
        <v>0.71899828953925304</v>
      </c>
    </row>
    <row r="24" spans="2:12">
      <c r="B24" s="22">
        <v>45328</v>
      </c>
      <c r="C24" s="24">
        <v>298645</v>
      </c>
    </row>
    <row r="25" spans="2:12">
      <c r="B25" s="22">
        <v>45329</v>
      </c>
      <c r="C25" s="24">
        <v>251874</v>
      </c>
    </row>
    <row r="26" spans="2:12">
      <c r="B26" s="22">
        <v>45330</v>
      </c>
      <c r="C26" s="24">
        <v>232027</v>
      </c>
    </row>
    <row r="27" spans="2:12">
      <c r="B27" s="22">
        <v>45331</v>
      </c>
      <c r="C27" s="24">
        <v>397217</v>
      </c>
    </row>
    <row r="28" spans="2:12">
      <c r="B28" s="22">
        <v>45332</v>
      </c>
      <c r="C28" s="24">
        <v>434269</v>
      </c>
    </row>
    <row r="29" spans="2:12">
      <c r="B29" s="22">
        <v>45333</v>
      </c>
      <c r="C29" s="24">
        <v>408448</v>
      </c>
    </row>
    <row r="30" spans="2:12">
      <c r="B30" s="22">
        <v>45334</v>
      </c>
      <c r="C30" s="24">
        <v>381163</v>
      </c>
    </row>
    <row r="31" spans="2:12">
      <c r="B31" s="22">
        <v>45335</v>
      </c>
      <c r="C31" s="24">
        <v>378740</v>
      </c>
    </row>
    <row r="32" spans="2:12">
      <c r="B32" s="22">
        <v>45336</v>
      </c>
      <c r="C32" s="24">
        <v>420993</v>
      </c>
    </row>
    <row r="33" spans="2:3">
      <c r="B33" s="22">
        <v>45337</v>
      </c>
      <c r="C33" s="24">
        <v>434354</v>
      </c>
    </row>
    <row r="34" spans="2:3">
      <c r="B34" s="22">
        <v>45338</v>
      </c>
      <c r="C34" s="24">
        <v>350368</v>
      </c>
    </row>
    <row r="35" spans="2:3">
      <c r="B35" s="22">
        <v>45339</v>
      </c>
      <c r="C35" s="24">
        <v>428202</v>
      </c>
    </row>
    <row r="36" spans="2:3">
      <c r="B36" s="22">
        <v>45340</v>
      </c>
      <c r="C36" s="24">
        <v>331564</v>
      </c>
    </row>
    <row r="37" spans="2:3">
      <c r="B37" s="22">
        <v>45341</v>
      </c>
      <c r="C37" s="24">
        <v>447960</v>
      </c>
    </row>
    <row r="38" spans="2:3">
      <c r="B38" s="22">
        <v>45342</v>
      </c>
      <c r="C38" s="24">
        <v>316166</v>
      </c>
    </row>
    <row r="39" spans="2:3">
      <c r="B39" s="22">
        <v>45343</v>
      </c>
      <c r="C39" s="24">
        <v>56325</v>
      </c>
    </row>
    <row r="40" spans="2:3">
      <c r="B40" s="22">
        <v>45344</v>
      </c>
      <c r="C40" s="24">
        <v>79942</v>
      </c>
    </row>
    <row r="41" spans="2:3">
      <c r="B41" s="22">
        <v>45345</v>
      </c>
      <c r="C41" s="24">
        <v>72266</v>
      </c>
    </row>
    <row r="42" spans="2:3">
      <c r="B42" s="22">
        <v>45346</v>
      </c>
      <c r="C42" s="24">
        <v>252154</v>
      </c>
    </row>
    <row r="43" spans="2:3">
      <c r="B43" s="22">
        <v>45347</v>
      </c>
      <c r="C43" s="25">
        <v>379677</v>
      </c>
    </row>
    <row r="44" spans="2:3">
      <c r="B44" s="22">
        <v>45348</v>
      </c>
      <c r="C44" s="25">
        <v>578798</v>
      </c>
    </row>
    <row r="45" spans="2:3">
      <c r="B45" s="22">
        <v>45349</v>
      </c>
      <c r="C45" s="25">
        <v>525143</v>
      </c>
    </row>
    <row r="46" spans="2:3">
      <c r="B46" s="22">
        <v>45350</v>
      </c>
      <c r="C46" s="25">
        <v>315532</v>
      </c>
    </row>
    <row r="47" spans="2:3">
      <c r="B47" s="42">
        <v>45351</v>
      </c>
      <c r="C47" s="43">
        <v>348175</v>
      </c>
    </row>
    <row r="48" spans="2:3" ht="15.5">
      <c r="B48" s="44" t="s">
        <v>4</v>
      </c>
      <c r="C48" s="45">
        <f>SUM(C19:C47)</f>
        <v>9281125</v>
      </c>
    </row>
    <row r="50" spans="2:12">
      <c r="B50" s="4" t="s">
        <v>7</v>
      </c>
      <c r="K50" s="37"/>
      <c r="L50" s="37"/>
    </row>
    <row r="51" spans="2:12">
      <c r="B51" s="5"/>
      <c r="C51" s="246" t="s">
        <v>8</v>
      </c>
      <c r="D51" s="247"/>
      <c r="E51" s="247"/>
      <c r="F51" s="247"/>
      <c r="G51" s="247"/>
      <c r="H51" s="247"/>
      <c r="I51" s="247"/>
      <c r="J51" s="247"/>
      <c r="K51" s="247"/>
      <c r="L51" s="248"/>
    </row>
    <row r="52" spans="2:12">
      <c r="B52" s="243"/>
      <c r="C52" s="245" t="s">
        <v>50</v>
      </c>
      <c r="D52" s="245"/>
      <c r="E52" s="245"/>
      <c r="F52" s="245"/>
      <c r="G52" s="245"/>
      <c r="H52" s="245"/>
      <c r="I52" s="245"/>
      <c r="J52" s="245"/>
      <c r="K52" s="245"/>
      <c r="L52" s="245"/>
    </row>
    <row r="53" spans="2:12">
      <c r="B53" s="244"/>
      <c r="C53" s="245"/>
      <c r="D53" s="245"/>
      <c r="E53" s="245"/>
      <c r="F53" s="245"/>
      <c r="G53" s="245"/>
      <c r="H53" s="245"/>
      <c r="I53" s="245"/>
      <c r="J53" s="245"/>
      <c r="K53" s="245"/>
      <c r="L53" s="245"/>
    </row>
  </sheetData>
  <mergeCells count="12">
    <mergeCell ref="B52:B53"/>
    <mergeCell ref="C52:L53"/>
    <mergeCell ref="C51:L51"/>
    <mergeCell ref="B2:C2"/>
    <mergeCell ref="B15:D15"/>
    <mergeCell ref="I3:I8"/>
    <mergeCell ref="I9:I10"/>
    <mergeCell ref="H3:H8"/>
    <mergeCell ref="H9:H10"/>
    <mergeCell ref="E21:K21"/>
    <mergeCell ref="E22:K22"/>
    <mergeCell ref="E23:K23"/>
  </mergeCells>
  <pageMargins left="0.7" right="0.7" top="0.75" bottom="0.75" header="0.3" footer="0.3"/>
  <pageSetup paperSize="9" orientation="portrait" r:id="rId1"/>
  <ignoredErrors>
    <ignoredError sqref="E14 L2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ER Calculations</vt:lpstr>
      <vt:lpstr>Burgula_(AP)</vt:lpstr>
      <vt:lpstr>Savalsang_(Karnataka)</vt:lpstr>
      <vt:lpstr>Vagarai_TN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Kingshuk</dc:creator>
  <cp:lastModifiedBy>KAREN ELIZABETH VEGA NONALAYA</cp:lastModifiedBy>
  <dcterms:created xsi:type="dcterms:W3CDTF">2016-04-04T06:55:38Z</dcterms:created>
  <dcterms:modified xsi:type="dcterms:W3CDTF">2024-12-01T08:57:50Z</dcterms:modified>
</cp:coreProperties>
</file>