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Shared with Me\Rahul Kulkarni_On-going Project\Registry Submitted Projects\GCVAL 089_GCVER 083_GS 7755 (CDM 10073)\Working\GS - Second round\Performance review\"/>
    </mc:Choice>
  </mc:AlternateContent>
  <xr:revisionPtr revIDLastSave="0" documentId="13_ncr:1_{8B94CE3B-BD5B-4584-8203-8ADC46618D7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ER Comparison" sheetId="10" r:id="rId1"/>
    <sheet name="Summary Sheet" sheetId="11" r:id="rId2"/>
    <sheet name="ER Sheet" sheetId="1" r:id="rId3"/>
    <sheet name="4.2 MW" sheetId="4" r:id="rId4"/>
    <sheet name="8.4 MW" sheetId="3" r:id="rId5"/>
    <sheet name="EF Calculation" sheetId="6" r:id="rId6"/>
    <sheet name="Ex-ante ER Calculation" sheetId="5" r:id="rId7"/>
    <sheet name="CEA database results" sheetId="7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9" i="11" l="1"/>
  <c r="K37" i="11"/>
  <c r="K36" i="11"/>
  <c r="J33" i="11"/>
  <c r="J32" i="11"/>
  <c r="J31" i="11"/>
  <c r="I32" i="11" s="1"/>
  <c r="D35" i="11"/>
  <c r="I34" i="11"/>
  <c r="D32" i="11"/>
  <c r="D33" i="11" s="1"/>
  <c r="D36" i="11" s="1"/>
  <c r="D26" i="11"/>
  <c r="D25" i="11"/>
  <c r="D8" i="11"/>
  <c r="D7" i="11"/>
  <c r="N16" i="1"/>
  <c r="K31" i="11" l="1"/>
  <c r="D37" i="11"/>
  <c r="K32" i="11"/>
  <c r="I33" i="11"/>
  <c r="D27" i="11"/>
  <c r="D9" i="11"/>
  <c r="I13" i="1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I36" i="11" l="1"/>
  <c r="J36" i="11" s="1"/>
  <c r="I37" i="11" s="1"/>
  <c r="J37" i="11" s="1"/>
  <c r="K33" i="11"/>
  <c r="K34" i="11" s="1"/>
  <c r="J34" i="11" s="1"/>
  <c r="C8" i="5"/>
  <c r="F17" i="6"/>
  <c r="I13" i="6"/>
  <c r="H13" i="6"/>
  <c r="F13" i="6"/>
  <c r="I9" i="6"/>
  <c r="H9" i="6"/>
  <c r="F9" i="6"/>
  <c r="F20" i="6" l="1"/>
  <c r="F23" i="6" s="1"/>
  <c r="D14" i="10" l="1"/>
  <c r="D16" i="10" s="1"/>
  <c r="D4" i="10"/>
  <c r="D6" i="10" s="1"/>
  <c r="E15" i="5"/>
  <c r="D15" i="5"/>
  <c r="E14" i="5"/>
  <c r="D14" i="5"/>
  <c r="E13" i="5"/>
  <c r="D13" i="5"/>
  <c r="E12" i="5"/>
  <c r="D12" i="5"/>
  <c r="E11" i="5"/>
  <c r="D11" i="5"/>
  <c r="D17" i="5" s="1"/>
  <c r="D19" i="5" s="1"/>
  <c r="D8" i="5"/>
  <c r="G8" i="5" s="1"/>
  <c r="F15" i="5" l="1"/>
  <c r="F16" i="5" s="1"/>
  <c r="C15" i="5"/>
  <c r="C16" i="5" s="1"/>
  <c r="E17" i="5"/>
  <c r="E19" i="5" s="1"/>
  <c r="F14" i="5"/>
  <c r="F13" i="5"/>
  <c r="F12" i="5"/>
  <c r="F11" i="5"/>
  <c r="C14" i="5"/>
  <c r="C13" i="5"/>
  <c r="C12" i="5"/>
  <c r="C11" i="5"/>
  <c r="F17" i="5" l="1"/>
  <c r="F19" i="5" s="1"/>
  <c r="C17" i="5"/>
  <c r="C19" i="5" s="1"/>
  <c r="D25" i="1"/>
  <c r="E25" i="1"/>
  <c r="I20" i="4"/>
  <c r="L20" i="4" s="1"/>
  <c r="I21" i="4"/>
  <c r="L21" i="4" s="1"/>
  <c r="I22" i="4"/>
  <c r="I23" i="4"/>
  <c r="L23" i="4" s="1"/>
  <c r="I24" i="4"/>
  <c r="L24" i="4" s="1"/>
  <c r="I25" i="4"/>
  <c r="I26" i="4"/>
  <c r="L26" i="4" s="1"/>
  <c r="I27" i="4"/>
  <c r="L27" i="4" s="1"/>
  <c r="I28" i="4"/>
  <c r="L28" i="4" s="1"/>
  <c r="I29" i="4"/>
  <c r="L29" i="4" s="1"/>
  <c r="I30" i="4"/>
  <c r="I31" i="4"/>
  <c r="L31" i="4" s="1"/>
  <c r="I32" i="4"/>
  <c r="I33" i="4"/>
  <c r="I34" i="4"/>
  <c r="L34" i="4" s="1"/>
  <c r="I35" i="4"/>
  <c r="D13" i="1"/>
  <c r="D14" i="1"/>
  <c r="D15" i="1"/>
  <c r="D16" i="1"/>
  <c r="D17" i="1"/>
  <c r="D18" i="1"/>
  <c r="D19" i="1"/>
  <c r="D20" i="1"/>
  <c r="D21" i="1"/>
  <c r="D22" i="1"/>
  <c r="D23" i="1"/>
  <c r="D24" i="1"/>
  <c r="D26" i="1"/>
  <c r="D27" i="1"/>
  <c r="D28" i="1"/>
  <c r="E13" i="1"/>
  <c r="E14" i="1"/>
  <c r="E15" i="1"/>
  <c r="E16" i="1"/>
  <c r="E17" i="1"/>
  <c r="E18" i="1"/>
  <c r="E19" i="1"/>
  <c r="E20" i="1"/>
  <c r="E21" i="1"/>
  <c r="E22" i="1"/>
  <c r="E23" i="1"/>
  <c r="E24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E20" i="3"/>
  <c r="C13" i="1" s="1"/>
  <c r="E21" i="3"/>
  <c r="K21" i="3" s="1"/>
  <c r="N21" i="3" s="1"/>
  <c r="E22" i="3"/>
  <c r="K22" i="3"/>
  <c r="I15" i="1" s="1"/>
  <c r="E23" i="3"/>
  <c r="K23" i="3" s="1"/>
  <c r="N23" i="3" s="1"/>
  <c r="E24" i="3"/>
  <c r="E25" i="3"/>
  <c r="K25" i="3"/>
  <c r="N25" i="3" s="1"/>
  <c r="E26" i="3"/>
  <c r="K26" i="3" s="1"/>
  <c r="E27" i="3"/>
  <c r="E28" i="3"/>
  <c r="C21" i="1" s="1"/>
  <c r="E29" i="3"/>
  <c r="K29" i="3" s="1"/>
  <c r="N29" i="3" s="1"/>
  <c r="E30" i="3"/>
  <c r="K30" i="3" s="1"/>
  <c r="I23" i="1" s="1"/>
  <c r="E31" i="3"/>
  <c r="K31" i="3" s="1"/>
  <c r="I24" i="1"/>
  <c r="E32" i="3"/>
  <c r="E33" i="3"/>
  <c r="C26" i="1" s="1"/>
  <c r="E34" i="3"/>
  <c r="C27" i="1" s="1"/>
  <c r="K34" i="3"/>
  <c r="E35" i="3"/>
  <c r="K35" i="3" s="1"/>
  <c r="J29" i="1"/>
  <c r="K29" i="1"/>
  <c r="L22" i="4"/>
  <c r="L30" i="4"/>
  <c r="N31" i="3"/>
  <c r="L32" i="4"/>
  <c r="L33" i="4"/>
  <c r="C15" i="1"/>
  <c r="C18" i="1"/>
  <c r="C23" i="1"/>
  <c r="E26" i="1"/>
  <c r="E27" i="1"/>
  <c r="E28" i="1"/>
  <c r="D36" i="3"/>
  <c r="M36" i="3"/>
  <c r="L36" i="3"/>
  <c r="I36" i="3"/>
  <c r="H36" i="3"/>
  <c r="G36" i="3"/>
  <c r="F36" i="3"/>
  <c r="C36" i="3"/>
  <c r="J36" i="4"/>
  <c r="K36" i="4"/>
  <c r="D36" i="4"/>
  <c r="E36" i="4"/>
  <c r="F36" i="4"/>
  <c r="G36" i="4"/>
  <c r="C36" i="4"/>
  <c r="C24" i="1" l="1"/>
  <c r="I18" i="1"/>
  <c r="N22" i="3"/>
  <c r="L15" i="1" s="1"/>
  <c r="K20" i="3"/>
  <c r="C14" i="1"/>
  <c r="L35" i="4"/>
  <c r="I28" i="1"/>
  <c r="I27" i="1"/>
  <c r="I22" i="1"/>
  <c r="L16" i="1"/>
  <c r="I36" i="4"/>
  <c r="I19" i="1"/>
  <c r="N26" i="3"/>
  <c r="L19" i="1" s="1"/>
  <c r="C19" i="1"/>
  <c r="L24" i="1"/>
  <c r="N30" i="3"/>
  <c r="L23" i="1" s="1"/>
  <c r="I16" i="1"/>
  <c r="C16" i="1"/>
  <c r="N34" i="3"/>
  <c r="L27" i="1" s="1"/>
  <c r="K33" i="3"/>
  <c r="K28" i="3"/>
  <c r="N28" i="3" s="1"/>
  <c r="L21" i="1" s="1"/>
  <c r="L14" i="1"/>
  <c r="L25" i="4"/>
  <c r="L22" i="1"/>
  <c r="I14" i="1"/>
  <c r="C17" i="1"/>
  <c r="K24" i="3"/>
  <c r="C25" i="1"/>
  <c r="K32" i="3"/>
  <c r="K27" i="3"/>
  <c r="C20" i="1"/>
  <c r="E36" i="3"/>
  <c r="N35" i="3"/>
  <c r="L28" i="1" s="1"/>
  <c r="C28" i="1"/>
  <c r="C22" i="1"/>
  <c r="G29" i="1"/>
  <c r="F29" i="1"/>
  <c r="E29" i="1"/>
  <c r="D29" i="1"/>
  <c r="N20" i="3" l="1"/>
  <c r="L13" i="1" s="1"/>
  <c r="N28" i="1"/>
  <c r="P16" i="1"/>
  <c r="L36" i="4"/>
  <c r="I21" i="1"/>
  <c r="I26" i="1"/>
  <c r="N33" i="3"/>
  <c r="L26" i="1" s="1"/>
  <c r="L18" i="1"/>
  <c r="C29" i="1"/>
  <c r="D17" i="10" s="1"/>
  <c r="D18" i="10" s="1"/>
  <c r="K36" i="3"/>
  <c r="I20" i="1"/>
  <c r="N27" i="3"/>
  <c r="L20" i="1" s="1"/>
  <c r="I25" i="1"/>
  <c r="N32" i="3"/>
  <c r="L25" i="1" s="1"/>
  <c r="I17" i="1"/>
  <c r="N24" i="3"/>
  <c r="L17" i="1" s="1"/>
  <c r="P28" i="1" l="1"/>
  <c r="I29" i="1"/>
  <c r="L29" i="1"/>
  <c r="N36" i="3"/>
  <c r="D7" i="10" l="1"/>
  <c r="D8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</author>
  </authors>
  <commentList>
    <comment ref="B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Rahul: Net electricity generation mentioned as per registered CDM-PDD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<sst xmlns="http://schemas.openxmlformats.org/spreadsheetml/2006/main" count="226" uniqueCount="134">
  <si>
    <t>Baseline Emission Factor            (tCO2e/MWh)</t>
  </si>
  <si>
    <t>Baseline emissions  (tCO2e)</t>
  </si>
  <si>
    <t>Project Emissions(tCO2e)</t>
  </si>
  <si>
    <t>Leakage Emissions (tCO2e)</t>
  </si>
  <si>
    <t>Emissions Reductions (tCO2e)</t>
  </si>
  <si>
    <t>Estimated ER vs Achieved ER</t>
  </si>
  <si>
    <t>Start date of Monitoring Period</t>
  </si>
  <si>
    <t>End date of Monitoring Period</t>
  </si>
  <si>
    <t>Total number of days in Monitoring Period</t>
  </si>
  <si>
    <t xml:space="preserve">Annual Estimated ER </t>
  </si>
  <si>
    <t>Estimated ER during the Monitoring Period</t>
  </si>
  <si>
    <t>Achieved ER during Monitoring Period</t>
  </si>
  <si>
    <t>Variation</t>
  </si>
  <si>
    <t>Month</t>
  </si>
  <si>
    <t>Quantity of Net electricity supplied to the grid by project activity (MWh) as per Share Certificate of GETCO</t>
  </si>
  <si>
    <t>EGss, Export (Electicity export to the grid by the project activity and other PPs connected to same sub-station) (MWh)</t>
  </si>
  <si>
    <t>EGss, Import (Electicity import from the grid by the project activity and other PPs connected to same sub-station) (MWh)</t>
  </si>
  <si>
    <t xml:space="preserve">66 KV Bhojapuri Substation (Mahidad) </t>
  </si>
  <si>
    <t>Name of S/s-</t>
  </si>
  <si>
    <t xml:space="preserve">Name of Client  - Enn Enn Corp Limited </t>
  </si>
  <si>
    <t xml:space="preserve">WTG Location No. - JSD - 43,44 </t>
  </si>
  <si>
    <t>Capacity - 4.2 MW</t>
  </si>
  <si>
    <t>Total</t>
  </si>
  <si>
    <t xml:space="preserve">66 KV Halenda Substation (Mahidad) </t>
  </si>
  <si>
    <t>WTG Location No. - JSD - 76,24,25,51</t>
  </si>
  <si>
    <t>Capacity - 8.4 MW</t>
  </si>
  <si>
    <t>Quantity of Net electricity supplied to the grid by project activity (MWh) as per Share Certificate of GETCO (6.3 MW)</t>
  </si>
  <si>
    <t>Quantity of Net electricity supplied to the grid by project activity (MWh) as per Share Certificate of GETCO (2.1 MW)</t>
  </si>
  <si>
    <t xml:space="preserve">Quantity of Net electricity supplied to the grid by project activity (MWh) as per Share Certificate of GETCO </t>
  </si>
  <si>
    <t>EGyard,y (Electricity generated by wind mills of the project activity recorded by the yard meters) (MWh)</t>
  </si>
  <si>
    <t>EGyard,y (Electricity generated by wind mills of the project activity recorded by the yard meters)(MWh)</t>
  </si>
  <si>
    <t>Quantity of Net electricity exported to the grid by project activity (MWh) as per Invoice</t>
  </si>
  <si>
    <t xml:space="preserve">Project title: </t>
  </si>
  <si>
    <t xml:space="preserve">GS ID : </t>
  </si>
  <si>
    <t>CDM ID:</t>
  </si>
  <si>
    <t>GS Verification Period :</t>
  </si>
  <si>
    <t>01/09/2019 to 31/12/2020</t>
  </si>
  <si>
    <t xml:space="preserve">Wind Energy Project in Gujarat by Enn Enn Corp Limited </t>
  </si>
  <si>
    <t>CENTRAL ELECTRICITY AUTHORITY: CO2 BASELINE DATABASE</t>
  </si>
  <si>
    <t xml:space="preserve">VERSION </t>
  </si>
  <si>
    <t>DATE</t>
  </si>
  <si>
    <t>BASELINE METHODOLOGY</t>
  </si>
  <si>
    <t>EMISSION FACTORS</t>
  </si>
  <si>
    <t>Emission Factors (tCO2/MWh) (excl. Imports)</t>
  </si>
  <si>
    <t>2014-15</t>
  </si>
  <si>
    <t>2015-16</t>
  </si>
  <si>
    <t>2016-17</t>
  </si>
  <si>
    <t>2017-18</t>
  </si>
  <si>
    <t>2018-19</t>
  </si>
  <si>
    <t>Emission Factors (tCO2/MWh) (incl. Imports)</t>
  </si>
  <si>
    <t xml:space="preserve">Weighted Average Emission Rate </t>
  </si>
  <si>
    <t>Weighted Average Emission Rate (2)</t>
  </si>
  <si>
    <t xml:space="preserve">Simple Operating Margin (1) </t>
  </si>
  <si>
    <t xml:space="preserve">Simple Operating Margin (1) (2) </t>
  </si>
  <si>
    <t>Build Margin</t>
  </si>
  <si>
    <t>Build Margin (not adjusted for imports)</t>
  </si>
  <si>
    <t xml:space="preserve">Combined Margin (1) </t>
  </si>
  <si>
    <t>Combined Margin (1) (2)</t>
  </si>
  <si>
    <t xml:space="preserve">      given in "Tool to Calculate the Emission Factor for an Electricity System", Ver. 7.0 (p.16)</t>
  </si>
  <si>
    <t>(2) Adjustments for imports from other Indian grids are based on operating margin of exporting grid.</t>
  </si>
  <si>
    <t xml:space="preserve">       For imports from other countries, an emission factor of zero is used.</t>
  </si>
  <si>
    <t xml:space="preserve">       See "Tool to Calculate the Emission Factor for an Electricity System", Ver. 7.0 (p.10 &amp; 11), options a+b</t>
  </si>
  <si>
    <t>GENERATION DATA</t>
  </si>
  <si>
    <t>EMISSION DATA</t>
  </si>
  <si>
    <t>Gross Generation Total (GWh)</t>
  </si>
  <si>
    <t>Absolute Emissions Total (tCO2)</t>
  </si>
  <si>
    <t>Net Generation Total (GWh)</t>
  </si>
  <si>
    <t>Absolute Emissions OM (tCO2)</t>
  </si>
  <si>
    <t>Share of Must-Run (Hydro/Nuclear) (% of Net Generation)</t>
  </si>
  <si>
    <t>Absolute Emissions BM (tCO2)</t>
  </si>
  <si>
    <t>Net Generation in Operating Margin (GWh)</t>
  </si>
  <si>
    <t>Net Imports (GWh)</t>
  </si>
  <si>
    <t>20% of Net Generation (GWh)</t>
  </si>
  <si>
    <t>Share of Net Imports (% of Net Generation)</t>
  </si>
  <si>
    <t>Net Generation in Build Margin (GWh)</t>
  </si>
  <si>
    <t>VERSION</t>
  </si>
  <si>
    <t xml:space="preserve"> "Tool to Calculate the Emission Factor for an Electricity System", Version 7.0</t>
  </si>
  <si>
    <t>Net Generation in Operating Margin (GWH) (incl. Imports)</t>
  </si>
  <si>
    <t>Indian Grid</t>
  </si>
  <si>
    <t>Simple Operating Margin (tCO2/MWh) (incl. Imports) (1) (2)</t>
  </si>
  <si>
    <t>Build Margin (tCO2/MWh) (not adjusted for imports)</t>
  </si>
  <si>
    <t>Weighted Generation Operating Margin</t>
  </si>
  <si>
    <t>Combined Margin Emission Factor for Wind/Solar Projects</t>
  </si>
  <si>
    <t>Baseline  Emission Factor(tCO2/MWh)</t>
  </si>
  <si>
    <t>Project title :</t>
  </si>
  <si>
    <t xml:space="preserve">Wind Energy Project in Gujarat by Enn Enn Corp. Limited </t>
  </si>
  <si>
    <t xml:space="preserve">CDM Project ID: </t>
  </si>
  <si>
    <t>GS Project ID:</t>
  </si>
  <si>
    <t>Calculation of Ex-ante  Emission Reductions</t>
  </si>
  <si>
    <t>Net Generation(MWh)</t>
  </si>
  <si>
    <t>Baseline Emissions(tCO2e)</t>
  </si>
  <si>
    <t>Leakage Emissions(tCO2e)</t>
  </si>
  <si>
    <t>Emission Reductions(tCO2e)</t>
  </si>
  <si>
    <t>Year</t>
  </si>
  <si>
    <t>Total Number Of Years In Crediting Period</t>
  </si>
  <si>
    <t>Annual Average Over Crediting Period</t>
  </si>
  <si>
    <t>Estimated energy generation vs Achieved energy generation</t>
  </si>
  <si>
    <t>Annual Estimation energy generation (MWh)</t>
  </si>
  <si>
    <t>Estimated energy generation during the Monitoring Period (MWh)</t>
  </si>
  <si>
    <t>Achieved Energy generation during Monitoring Period (MWh)</t>
  </si>
  <si>
    <t>16.0</t>
  </si>
  <si>
    <t>ACM0002 / Ver 19.0 and "Tool to Calculate the Emission Factor for an Electricity System", Version 7.0</t>
  </si>
  <si>
    <t>2019-20</t>
  </si>
  <si>
    <r>
      <t xml:space="preserve">(1) Operating margin is based on the data for the same year. This corresponds to the </t>
    </r>
    <r>
      <rPr>
        <i/>
        <sz val="8"/>
        <rFont val="Arial"/>
        <family val="2"/>
      </rPr>
      <t xml:space="preserve">ex post option </t>
    </r>
  </si>
  <si>
    <t>March'21</t>
  </si>
  <si>
    <t>01/09/2019 to 31/08/2020</t>
  </si>
  <si>
    <t>01/09/2020 to 31/08/2021</t>
  </si>
  <si>
    <t>01/09/2021 to 31/08/2022</t>
  </si>
  <si>
    <t>01/09/2022 to 31/08/2023</t>
  </si>
  <si>
    <t>01/09/2023 to 31/08/2024</t>
  </si>
  <si>
    <t>01/09/2024 to 03/12/2024</t>
  </si>
  <si>
    <t xml:space="preserve">SDG -7 </t>
  </si>
  <si>
    <t>Affordable and Clean Energy</t>
  </si>
  <si>
    <t xml:space="preserve">Year </t>
  </si>
  <si>
    <t>Quantity of Net Electricity Supplied to Grid (MWh)</t>
  </si>
  <si>
    <t xml:space="preserve">Total </t>
  </si>
  <si>
    <t>SDG - 8</t>
  </si>
  <si>
    <t>Decent Work and Economic Growth</t>
  </si>
  <si>
    <t>No. of Employment opportunities created</t>
  </si>
  <si>
    <t xml:space="preserve">Skilled </t>
  </si>
  <si>
    <t xml:space="preserve">Unskilled </t>
  </si>
  <si>
    <t xml:space="preserve">No. of trainings Conducted </t>
  </si>
  <si>
    <t xml:space="preserve">SDG - 13 Climate Action </t>
  </si>
  <si>
    <t>Emission Reduction Achieved (tCO2e)</t>
  </si>
  <si>
    <t>GS Serial Number Calculation</t>
  </si>
  <si>
    <t>Total credits</t>
  </si>
  <si>
    <t>Total Credits claimed in CDM</t>
  </si>
  <si>
    <t>2% SOP</t>
  </si>
  <si>
    <t>Net Issuance from CDM</t>
  </si>
  <si>
    <t xml:space="preserve">GS Credits </t>
  </si>
  <si>
    <t>Non GS</t>
  </si>
  <si>
    <t>Start of serial Number</t>
  </si>
  <si>
    <t>End of serial Number</t>
  </si>
  <si>
    <t>Vintage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</si>
</sst>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&quot;-&quot;??_);_(@_)"/>
    <numFmt numFmtId="165" formatCode="0.0000"/>
    <numFmt numFmtId="166" formatCode="0_);\(0\)"/>
    <numFmt numFmtId="167" formatCode="0.000_);\(0.000\)"/>
    <numFmt numFmtId="168" formatCode="0.00_);\(0.00\)"/>
    <numFmt numFmtId="169" formatCode="_(* #,##0_);_(* \(#,##0\);_(* &quot;-&quot;??_);_(@_)"/>
    <numFmt numFmtId="170" formatCode="0.000"/>
    <numFmt numFmtId="171" formatCode="0.0%"/>
    <numFmt numFmtId="172" formatCode="#,##0.0"/>
    <numFmt numFmtId="173" formatCode="#,##0.000"/>
    <numFmt numFmtId="174" formatCode="0.0"/>
    <numFmt numFmtId="175" formatCode="d\-mmm\-yy;@"/>
    <numFmt numFmtId="176" formatCode="#,##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rgb="FF000000"/>
      <name val="Calibri"/>
      <family val="2"/>
    </font>
    <font>
      <b/>
      <u val="double"/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rgb="FF003366"/>
      </patternFill>
    </fill>
    <fill>
      <patternFill patternType="solid">
        <fgColor theme="2" tint="-0.249977111117893"/>
        <bgColor rgb="FFCCCCFF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" fontId="13" fillId="0" borderId="0"/>
  </cellStyleXfs>
  <cellXfs count="174">
    <xf numFmtId="0" fontId="0" fillId="0" borderId="0" xfId="0"/>
    <xf numFmtId="166" fontId="4" fillId="0" borderId="3" xfId="3" applyNumberFormat="1" applyFont="1" applyFill="1" applyBorder="1" applyAlignment="1">
      <alignment horizontal="center" vertical="center"/>
    </xf>
    <xf numFmtId="17" fontId="4" fillId="2" borderId="3" xfId="2" applyNumberFormat="1" applyFont="1" applyFill="1" applyBorder="1" applyAlignment="1">
      <alignment horizontal="center"/>
    </xf>
    <xf numFmtId="167" fontId="4" fillId="0" borderId="3" xfId="3" applyNumberFormat="1" applyFont="1" applyFill="1" applyBorder="1" applyAlignment="1">
      <alignment horizontal="center" vertical="center"/>
    </xf>
    <xf numFmtId="165" fontId="4" fillId="0" borderId="3" xfId="2" applyNumberFormat="1" applyFont="1" applyBorder="1" applyAlignment="1">
      <alignment horizontal="center" vertical="center" wrapText="1"/>
    </xf>
    <xf numFmtId="168" fontId="4" fillId="0" borderId="3" xfId="3" applyNumberFormat="1" applyFont="1" applyFill="1" applyBorder="1" applyAlignment="1">
      <alignment horizontal="center" vertical="center"/>
    </xf>
    <xf numFmtId="15" fontId="7" fillId="0" borderId="8" xfId="0" applyNumberFormat="1" applyFont="1" applyBorder="1"/>
    <xf numFmtId="169" fontId="7" fillId="0" borderId="8" xfId="5" applyNumberFormat="1" applyFont="1" applyBorder="1"/>
    <xf numFmtId="10" fontId="7" fillId="0" borderId="9" xfId="1" applyNumberFormat="1" applyFont="1" applyBorder="1"/>
    <xf numFmtId="0" fontId="5" fillId="0" borderId="0" xfId="0" applyFont="1"/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167" fontId="5" fillId="0" borderId="3" xfId="0" applyNumberFormat="1" applyFont="1" applyBorder="1" applyAlignment="1">
      <alignment horizontal="center"/>
    </xf>
    <xf numFmtId="168" fontId="5" fillId="0" borderId="3" xfId="0" applyNumberFormat="1" applyFon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1" fontId="13" fillId="0" borderId="0" xfId="6"/>
    <xf numFmtId="1" fontId="15" fillId="0" borderId="0" xfId="6" applyFont="1"/>
    <xf numFmtId="175" fontId="15" fillId="0" borderId="0" xfId="6" applyNumberFormat="1" applyFont="1" applyAlignment="1">
      <alignment wrapText="1"/>
    </xf>
    <xf numFmtId="4" fontId="15" fillId="4" borderId="2" xfId="6" applyNumberFormat="1" applyFont="1" applyFill="1" applyBorder="1" applyAlignment="1">
      <alignment horizontal="center"/>
    </xf>
    <xf numFmtId="4" fontId="15" fillId="4" borderId="24" xfId="6" applyNumberFormat="1" applyFont="1" applyFill="1" applyBorder="1" applyAlignment="1">
      <alignment horizontal="center"/>
    </xf>
    <xf numFmtId="3" fontId="13" fillId="4" borderId="26" xfId="6" applyNumberFormat="1" applyFill="1" applyBorder="1" applyAlignment="1">
      <alignment horizontal="center"/>
    </xf>
    <xf numFmtId="3" fontId="13" fillId="4" borderId="27" xfId="6" applyNumberFormat="1" applyFill="1" applyBorder="1" applyAlignment="1">
      <alignment horizontal="center"/>
    </xf>
    <xf numFmtId="1" fontId="13" fillId="0" borderId="0" xfId="6" applyAlignment="1">
      <alignment horizontal="left"/>
    </xf>
    <xf numFmtId="3" fontId="13" fillId="0" borderId="0" xfId="6" applyNumberFormat="1"/>
    <xf numFmtId="3" fontId="13" fillId="0" borderId="0" xfId="6" applyNumberFormat="1" applyAlignment="1">
      <alignment horizontal="right"/>
    </xf>
    <xf numFmtId="176" fontId="13" fillId="0" borderId="27" xfId="6" applyNumberFormat="1" applyBorder="1" applyAlignment="1">
      <alignment horizontal="center"/>
    </xf>
    <xf numFmtId="1" fontId="15" fillId="0" borderId="31" xfId="6" applyFont="1" applyBorder="1"/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left"/>
    </xf>
    <xf numFmtId="0" fontId="18" fillId="0" borderId="31" xfId="0" applyFont="1" applyBorder="1"/>
    <xf numFmtId="0" fontId="18" fillId="0" borderId="3" xfId="0" applyFont="1" applyBorder="1" applyAlignment="1">
      <alignment wrapText="1"/>
    </xf>
    <xf numFmtId="1" fontId="18" fillId="0" borderId="31" xfId="0" applyNumberFormat="1" applyFont="1" applyBorder="1"/>
    <xf numFmtId="0" fontId="18" fillId="0" borderId="14" xfId="0" applyFont="1" applyBorder="1"/>
    <xf numFmtId="1" fontId="18" fillId="0" borderId="14" xfId="0" applyNumberFormat="1" applyFont="1" applyBorder="1"/>
    <xf numFmtId="1" fontId="18" fillId="0" borderId="18" xfId="0" applyNumberFormat="1" applyFont="1" applyBorder="1"/>
    <xf numFmtId="0" fontId="18" fillId="6" borderId="3" xfId="0" applyFont="1" applyFill="1" applyBorder="1"/>
    <xf numFmtId="0" fontId="18" fillId="6" borderId="32" xfId="0" applyFont="1" applyFill="1" applyBorder="1" applyAlignment="1">
      <alignment wrapText="1"/>
    </xf>
    <xf numFmtId="0" fontId="19" fillId="0" borderId="3" xfId="0" applyFont="1" applyBorder="1"/>
    <xf numFmtId="1" fontId="19" fillId="0" borderId="2" xfId="0" applyNumberFormat="1" applyFont="1" applyBorder="1"/>
    <xf numFmtId="0" fontId="19" fillId="0" borderId="2" xfId="0" applyFont="1" applyBorder="1"/>
    <xf numFmtId="1" fontId="19" fillId="0" borderId="3" xfId="0" applyNumberFormat="1" applyFont="1" applyBorder="1"/>
    <xf numFmtId="0" fontId="18" fillId="7" borderId="2" xfId="0" applyFont="1" applyFill="1" applyBorder="1"/>
    <xf numFmtId="0" fontId="18" fillId="7" borderId="2" xfId="0" applyFont="1" applyFill="1" applyBorder="1" applyAlignment="1">
      <alignment wrapText="1"/>
    </xf>
    <xf numFmtId="0" fontId="18" fillId="8" borderId="2" xfId="0" applyFont="1" applyFill="1" applyBorder="1" applyAlignment="1">
      <alignment wrapText="1"/>
    </xf>
    <xf numFmtId="1" fontId="18" fillId="0" borderId="2" xfId="0" applyNumberFormat="1" applyFont="1" applyBorder="1"/>
    <xf numFmtId="0" fontId="18" fillId="0" borderId="3" xfId="0" applyFont="1" applyBorder="1"/>
    <xf numFmtId="164" fontId="7" fillId="0" borderId="8" xfId="5" applyFont="1" applyBorder="1"/>
    <xf numFmtId="176" fontId="13" fillId="0" borderId="26" xfId="6" applyNumberFormat="1" applyBorder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9" fillId="2" borderId="14" xfId="0" applyFont="1" applyFill="1" applyBorder="1"/>
    <xf numFmtId="0" fontId="10" fillId="2" borderId="14" xfId="0" applyFont="1" applyFill="1" applyBorder="1" applyAlignment="1">
      <alignment horizontal="right"/>
    </xf>
    <xf numFmtId="0" fontId="10" fillId="2" borderId="14" xfId="0" applyFont="1" applyFill="1" applyBorder="1"/>
    <xf numFmtId="0" fontId="8" fillId="2" borderId="14" xfId="0" applyFont="1" applyFill="1" applyBorder="1"/>
    <xf numFmtId="0" fontId="9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/>
    <xf numFmtId="49" fontId="9" fillId="2" borderId="0" xfId="0" applyNumberFormat="1" applyFont="1" applyFill="1" applyAlignment="1">
      <alignment horizontal="left"/>
    </xf>
    <xf numFmtId="17" fontId="9" fillId="2" borderId="0" xfId="0" quotePrefix="1" applyNumberFormat="1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8" fillId="2" borderId="14" xfId="0" applyFont="1" applyFill="1" applyBorder="1" applyAlignment="1">
      <alignment horizontal="right"/>
    </xf>
    <xf numFmtId="0" fontId="11" fillId="2" borderId="0" xfId="0" applyFont="1" applyFill="1"/>
    <xf numFmtId="3" fontId="8" fillId="2" borderId="0" xfId="0" applyNumberFormat="1" applyFont="1" applyFill="1" applyAlignment="1">
      <alignment horizontal="right"/>
    </xf>
    <xf numFmtId="0" fontId="11" fillId="2" borderId="17" xfId="0" applyFont="1" applyFill="1" applyBorder="1"/>
    <xf numFmtId="0" fontId="11" fillId="2" borderId="20" xfId="0" applyFont="1" applyFill="1" applyBorder="1" applyAlignment="1">
      <alignment horizontal="left"/>
    </xf>
    <xf numFmtId="4" fontId="11" fillId="2" borderId="17" xfId="0" applyNumberFormat="1" applyFont="1" applyFill="1" applyBorder="1" applyAlignment="1">
      <alignment horizontal="right"/>
    </xf>
    <xf numFmtId="0" fontId="11" fillId="2" borderId="20" xfId="0" applyFont="1" applyFill="1" applyBorder="1"/>
    <xf numFmtId="0" fontId="11" fillId="2" borderId="17" xfId="0" applyFont="1" applyFill="1" applyBorder="1" applyAlignment="1">
      <alignment horizontal="right"/>
    </xf>
    <xf numFmtId="0" fontId="8" fillId="2" borderId="20" xfId="0" applyFont="1" applyFill="1" applyBorder="1"/>
    <xf numFmtId="4" fontId="8" fillId="2" borderId="20" xfId="0" applyNumberFormat="1" applyFont="1" applyFill="1" applyBorder="1" applyAlignment="1">
      <alignment horizontal="right"/>
    </xf>
    <xf numFmtId="4" fontId="8" fillId="2" borderId="0" xfId="0" applyNumberFormat="1" applyFont="1" applyFill="1" applyAlignment="1">
      <alignment horizontal="right"/>
    </xf>
    <xf numFmtId="176" fontId="8" fillId="2" borderId="0" xfId="0" applyNumberFormat="1" applyFont="1" applyFill="1" applyAlignment="1">
      <alignment horizontal="right"/>
    </xf>
    <xf numFmtId="4" fontId="8" fillId="2" borderId="14" xfId="0" applyNumberFormat="1" applyFont="1" applyFill="1" applyBorder="1" applyAlignment="1">
      <alignment horizontal="right"/>
    </xf>
    <xf numFmtId="2" fontId="8" fillId="2" borderId="0" xfId="0" applyNumberFormat="1" applyFont="1" applyFill="1"/>
    <xf numFmtId="3" fontId="8" fillId="2" borderId="20" xfId="0" applyNumberFormat="1" applyFont="1" applyFill="1" applyBorder="1" applyAlignment="1">
      <alignment horizontal="right"/>
    </xf>
    <xf numFmtId="171" fontId="8" fillId="2" borderId="0" xfId="0" applyNumberFormat="1" applyFont="1" applyFill="1" applyAlignment="1">
      <alignment horizontal="right"/>
    </xf>
    <xf numFmtId="3" fontId="8" fillId="2" borderId="0" xfId="0" applyNumberFormat="1" applyFont="1" applyFill="1"/>
    <xf numFmtId="172" fontId="8" fillId="2" borderId="0" xfId="0" applyNumberFormat="1" applyFont="1" applyFill="1" applyAlignment="1">
      <alignment horizontal="right"/>
    </xf>
    <xf numFmtId="171" fontId="8" fillId="2" borderId="14" xfId="1" applyNumberFormat="1" applyFont="1" applyFill="1" applyBorder="1" applyAlignment="1">
      <alignment horizontal="right"/>
    </xf>
    <xf numFmtId="3" fontId="8" fillId="2" borderId="14" xfId="0" applyNumberFormat="1" applyFont="1" applyFill="1" applyBorder="1" applyAlignment="1">
      <alignment horizontal="right"/>
    </xf>
    <xf numFmtId="0" fontId="3" fillId="2" borderId="0" xfId="0" applyFont="1" applyFill="1"/>
    <xf numFmtId="4" fontId="12" fillId="2" borderId="0" xfId="0" applyNumberFormat="1" applyFont="1" applyFill="1" applyAlignment="1">
      <alignment horizontal="right"/>
    </xf>
    <xf numFmtId="4" fontId="12" fillId="2" borderId="0" xfId="0" applyNumberFormat="1" applyFont="1" applyFill="1"/>
    <xf numFmtId="0" fontId="12" fillId="2" borderId="0" xfId="0" applyFont="1" applyFill="1"/>
    <xf numFmtId="9" fontId="8" fillId="2" borderId="0" xfId="1" applyFont="1" applyFill="1" applyBorder="1"/>
    <xf numFmtId="170" fontId="11" fillId="2" borderId="0" xfId="0" applyNumberFormat="1" applyFont="1" applyFill="1"/>
    <xf numFmtId="173" fontId="8" fillId="2" borderId="0" xfId="0" applyNumberFormat="1" applyFont="1" applyFill="1" applyAlignment="1">
      <alignment horizontal="left"/>
    </xf>
    <xf numFmtId="1" fontId="8" fillId="2" borderId="0" xfId="0" applyNumberFormat="1" applyFont="1" applyFill="1"/>
    <xf numFmtId="4" fontId="8" fillId="2" borderId="0" xfId="0" applyNumberFormat="1" applyFont="1" applyFill="1" applyAlignment="1">
      <alignment horizontal="left"/>
    </xf>
    <xf numFmtId="170" fontId="8" fillId="2" borderId="0" xfId="0" applyNumberFormat="1" applyFont="1" applyFill="1" applyAlignment="1">
      <alignment horizontal="left"/>
    </xf>
    <xf numFmtId="1" fontId="15" fillId="0" borderId="34" xfId="6" applyFont="1" applyBorder="1"/>
    <xf numFmtId="174" fontId="15" fillId="0" borderId="0" xfId="6" applyNumberFormat="1" applyFont="1" applyAlignment="1">
      <alignment horizontal="left"/>
    </xf>
    <xf numFmtId="1" fontId="15" fillId="0" borderId="35" xfId="6" applyFont="1" applyBorder="1" applyAlignment="1">
      <alignment vertical="center"/>
    </xf>
    <xf numFmtId="1" fontId="13" fillId="0" borderId="36" xfId="6" applyBorder="1" applyAlignment="1">
      <alignment vertical="center"/>
    </xf>
    <xf numFmtId="1" fontId="13" fillId="0" borderId="17" xfId="6" applyBorder="1"/>
    <xf numFmtId="1" fontId="13" fillId="0" borderId="18" xfId="6" applyBorder="1"/>
    <xf numFmtId="165" fontId="13" fillId="0" borderId="17" xfId="6" applyNumberFormat="1" applyBorder="1" applyAlignment="1">
      <alignment horizontal="center"/>
    </xf>
    <xf numFmtId="168" fontId="0" fillId="0" borderId="3" xfId="0" applyNumberFormat="1" applyBorder="1" applyAlignment="1">
      <alignment horizontal="center"/>
    </xf>
    <xf numFmtId="168" fontId="0" fillId="0" borderId="0" xfId="0" applyNumberFormat="1"/>
    <xf numFmtId="166" fontId="0" fillId="0" borderId="0" xfId="0" applyNumberFormat="1"/>
    <xf numFmtId="1" fontId="0" fillId="0" borderId="0" xfId="0" applyNumberFormat="1"/>
    <xf numFmtId="0" fontId="18" fillId="11" borderId="0" xfId="0" applyFont="1" applyFill="1" applyAlignment="1">
      <alignment horizontal="left"/>
    </xf>
    <xf numFmtId="0" fontId="18" fillId="11" borderId="0" xfId="0" applyFont="1" applyFill="1"/>
    <xf numFmtId="0" fontId="19" fillId="0" borderId="0" xfId="0" applyFont="1" applyAlignment="1">
      <alignment horizontal="left"/>
    </xf>
    <xf numFmtId="0" fontId="19" fillId="0" borderId="0" xfId="0" applyFont="1"/>
    <xf numFmtId="0" fontId="18" fillId="0" borderId="3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1" fontId="22" fillId="0" borderId="3" xfId="0" applyNumberFormat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1" fontId="0" fillId="0" borderId="3" xfId="0" applyNumberForma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" fontId="19" fillId="0" borderId="31" xfId="0" applyNumberFormat="1" applyFont="1" applyBorder="1" applyAlignment="1">
      <alignment horizontal="left"/>
    </xf>
    <xf numFmtId="1" fontId="19" fillId="0" borderId="17" xfId="0" applyNumberFormat="1" applyFont="1" applyBorder="1" applyAlignment="1">
      <alignment horizontal="left"/>
    </xf>
    <xf numFmtId="1" fontId="19" fillId="0" borderId="18" xfId="0" applyNumberFormat="1" applyFont="1" applyBorder="1" applyAlignment="1">
      <alignment horizontal="left"/>
    </xf>
    <xf numFmtId="1" fontId="18" fillId="0" borderId="31" xfId="0" applyNumberFormat="1" applyFont="1" applyBorder="1" applyAlignment="1">
      <alignment horizontal="left"/>
    </xf>
    <xf numFmtId="1" fontId="18" fillId="0" borderId="17" xfId="0" applyNumberFormat="1" applyFont="1" applyBorder="1" applyAlignment="1">
      <alignment horizontal="left"/>
    </xf>
    <xf numFmtId="1" fontId="18" fillId="0" borderId="18" xfId="0" applyNumberFormat="1" applyFont="1" applyBorder="1" applyAlignment="1">
      <alignment horizontal="left"/>
    </xf>
    <xf numFmtId="2" fontId="19" fillId="0" borderId="31" xfId="0" applyNumberFormat="1" applyFont="1" applyBorder="1" applyAlignment="1">
      <alignment horizontal="left"/>
    </xf>
    <xf numFmtId="2" fontId="19" fillId="0" borderId="17" xfId="0" applyNumberFormat="1" applyFont="1" applyBorder="1" applyAlignment="1">
      <alignment horizontal="left"/>
    </xf>
    <xf numFmtId="2" fontId="19" fillId="0" borderId="18" xfId="0" applyNumberFormat="1" applyFont="1" applyBorder="1" applyAlignment="1">
      <alignment horizontal="left"/>
    </xf>
    <xf numFmtId="2" fontId="18" fillId="0" borderId="31" xfId="0" applyNumberFormat="1" applyFont="1" applyBorder="1" applyAlignment="1">
      <alignment horizontal="left"/>
    </xf>
    <xf numFmtId="2" fontId="18" fillId="0" borderId="17" xfId="0" applyNumberFormat="1" applyFont="1" applyBorder="1" applyAlignment="1">
      <alignment horizontal="left"/>
    </xf>
    <xf numFmtId="2" fontId="18" fillId="0" borderId="18" xfId="0" applyNumberFormat="1" applyFont="1" applyBorder="1" applyAlignment="1">
      <alignment horizontal="left"/>
    </xf>
    <xf numFmtId="0" fontId="19" fillId="0" borderId="31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0" fontId="18" fillId="11" borderId="31" xfId="0" applyFont="1" applyFill="1" applyBorder="1" applyAlignment="1">
      <alignment horizontal="left"/>
    </xf>
    <xf numFmtId="0" fontId="18" fillId="11" borderId="17" xfId="0" applyFont="1" applyFill="1" applyBorder="1" applyAlignment="1">
      <alignment horizontal="left"/>
    </xf>
    <xf numFmtId="0" fontId="18" fillId="11" borderId="1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3" borderId="4" xfId="2" applyFont="1" applyFill="1" applyBorder="1" applyAlignment="1">
      <alignment horizontal="center" vertical="top"/>
    </xf>
    <xf numFmtId="0" fontId="3" fillId="3" borderId="6" xfId="2" applyFont="1" applyFill="1" applyBorder="1" applyAlignment="1">
      <alignment horizontal="center" vertical="top"/>
    </xf>
    <xf numFmtId="0" fontId="3" fillId="3" borderId="7" xfId="2" applyFont="1" applyFill="1" applyBorder="1" applyAlignment="1">
      <alignment horizontal="center" vertical="top"/>
    </xf>
    <xf numFmtId="0" fontId="3" fillId="3" borderId="5" xfId="2" applyFont="1" applyFill="1" applyBorder="1" applyAlignment="1">
      <alignment horizontal="center" vertical="top" wrapText="1"/>
    </xf>
    <xf numFmtId="0" fontId="3" fillId="3" borderId="1" xfId="2" applyFont="1" applyFill="1" applyBorder="1" applyAlignment="1">
      <alignment horizontal="center" vertical="top" wrapText="1"/>
    </xf>
    <xf numFmtId="0" fontId="3" fillId="3" borderId="2" xfId="2" applyFont="1" applyFill="1" applyBorder="1" applyAlignment="1">
      <alignment horizontal="center" vertical="top" wrapText="1"/>
    </xf>
    <xf numFmtId="1" fontId="15" fillId="0" borderId="29" xfId="6" applyFont="1" applyBorder="1" applyAlignment="1">
      <alignment horizontal="left"/>
    </xf>
    <xf numFmtId="165" fontId="13" fillId="0" borderId="30" xfId="6" applyNumberFormat="1" applyBorder="1" applyAlignment="1">
      <alignment horizontal="center"/>
    </xf>
    <xf numFmtId="1" fontId="13" fillId="0" borderId="22" xfId="6" applyBorder="1" applyAlignment="1">
      <alignment horizontal="center"/>
    </xf>
    <xf numFmtId="1" fontId="15" fillId="0" borderId="25" xfId="6" applyFont="1" applyBorder="1" applyAlignment="1">
      <alignment horizontal="left"/>
    </xf>
    <xf numFmtId="1" fontId="16" fillId="5" borderId="21" xfId="6" applyFont="1" applyFill="1" applyBorder="1" applyAlignment="1">
      <alignment horizontal="left"/>
    </xf>
    <xf numFmtId="165" fontId="13" fillId="0" borderId="28" xfId="6" applyNumberFormat="1" applyBorder="1" applyAlignment="1">
      <alignment horizontal="center"/>
    </xf>
    <xf numFmtId="1" fontId="14" fillId="9" borderId="33" xfId="6" applyFont="1" applyFill="1" applyBorder="1" applyAlignment="1">
      <alignment horizontal="center" vertical="center" wrapText="1"/>
    </xf>
    <xf numFmtId="1" fontId="15" fillId="0" borderId="37" xfId="6" applyFont="1" applyBorder="1" applyAlignment="1">
      <alignment horizontal="left"/>
    </xf>
    <xf numFmtId="1" fontId="16" fillId="10" borderId="21" xfId="6" applyFont="1" applyFill="1" applyBorder="1" applyAlignment="1">
      <alignment horizontal="left"/>
    </xf>
    <xf numFmtId="4" fontId="15" fillId="4" borderId="23" xfId="6" applyNumberFormat="1" applyFont="1" applyFill="1" applyBorder="1" applyAlignment="1">
      <alignment horizontal="center"/>
    </xf>
    <xf numFmtId="3" fontId="13" fillId="0" borderId="26" xfId="6" applyNumberFormat="1" applyBorder="1" applyAlignment="1">
      <alignment horizontal="center"/>
    </xf>
    <xf numFmtId="176" fontId="13" fillId="0" borderId="26" xfId="6" applyNumberFormat="1" applyBorder="1" applyAlignment="1">
      <alignment horizontal="center"/>
    </xf>
    <xf numFmtId="0" fontId="17" fillId="0" borderId="0" xfId="0" applyFont="1"/>
    <xf numFmtId="2" fontId="19" fillId="0" borderId="31" xfId="0" applyNumberFormat="1" applyFont="1" applyBorder="1" applyAlignment="1">
      <alignment horizontal="center"/>
    </xf>
    <xf numFmtId="2" fontId="19" fillId="0" borderId="17" xfId="0" applyNumberFormat="1" applyFont="1" applyBorder="1" applyAlignment="1">
      <alignment horizontal="center"/>
    </xf>
    <xf numFmtId="2" fontId="19" fillId="0" borderId="18" xfId="0" applyNumberFormat="1" applyFont="1" applyBorder="1" applyAlignment="1">
      <alignment horizontal="center"/>
    </xf>
  </cellXfs>
  <cellStyles count="7">
    <cellStyle name="Comma" xfId="5" builtinId="3"/>
    <cellStyle name="Comma 2" xfId="3" xr:uid="{00000000-0005-0000-0000-000001000000}"/>
    <cellStyle name="Normal" xfId="0" builtinId="0"/>
    <cellStyle name="Normal 16" xfId="6" xr:uid="{00000000-0005-0000-0000-000003000000}"/>
    <cellStyle name="Normal 2" xfId="2" xr:uid="{00000000-0005-0000-0000-000004000000}"/>
    <cellStyle name="Normal 3" xfId="4" xr:uid="{00000000-0005-0000-0000-000005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Folders/EKIESL/HZL/Latest%20CEA%20data%20base/ER%20Calculation@28.06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 Calculations"/>
      <sheetName val="Base data"/>
      <sheetName val="EF Calculation"/>
      <sheetName val="CEA Database Results"/>
    </sheetNames>
    <sheetDataSet>
      <sheetData sheetId="0"/>
      <sheetData sheetId="1"/>
      <sheetData sheetId="2"/>
      <sheetData sheetId="3">
        <row r="14">
          <cell r="Q14">
            <v>0.95433977818005977</v>
          </cell>
          <cell r="R14">
            <v>0.96030998520797184</v>
          </cell>
          <cell r="S14">
            <v>0.95554866735373067</v>
          </cell>
        </row>
        <row r="15">
          <cell r="S15">
            <v>0.86821088302740268</v>
          </cell>
        </row>
        <row r="33">
          <cell r="I33">
            <v>960692.88193948974</v>
          </cell>
          <cell r="J33">
            <v>995956.5149627775</v>
          </cell>
          <cell r="K33">
            <v>965009.19717101986</v>
          </cell>
          <cell r="Q33">
            <v>0</v>
          </cell>
          <cell r="R33">
            <v>0</v>
          </cell>
          <cell r="S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workbookViewId="0">
      <selection activeCell="H12" sqref="H12"/>
    </sheetView>
  </sheetViews>
  <sheetFormatPr defaultRowHeight="14.4" x14ac:dyDescent="0.3"/>
  <cols>
    <col min="1" max="1" width="10.44140625" customWidth="1"/>
    <col min="2" max="2" width="11.44140625" customWidth="1"/>
    <col min="3" max="3" width="15.109375" customWidth="1"/>
    <col min="4" max="4" width="12" customWidth="1"/>
  </cols>
  <sheetData>
    <row r="1" spans="1:4" x14ac:dyDescent="0.3">
      <c r="A1" s="130" t="s">
        <v>5</v>
      </c>
      <c r="B1" s="131"/>
      <c r="C1" s="131"/>
      <c r="D1" s="132"/>
    </row>
    <row r="2" spans="1:4" x14ac:dyDescent="0.3">
      <c r="A2" s="121" t="s">
        <v>6</v>
      </c>
      <c r="B2" s="122"/>
      <c r="C2" s="123"/>
      <c r="D2" s="6">
        <v>43709</v>
      </c>
    </row>
    <row r="3" spans="1:4" x14ac:dyDescent="0.3">
      <c r="A3" s="121" t="s">
        <v>7</v>
      </c>
      <c r="B3" s="122"/>
      <c r="C3" s="123"/>
      <c r="D3" s="6">
        <v>44196</v>
      </c>
    </row>
    <row r="4" spans="1:4" x14ac:dyDescent="0.3">
      <c r="A4" s="121" t="s">
        <v>8</v>
      </c>
      <c r="B4" s="122"/>
      <c r="C4" s="123"/>
      <c r="D4" s="7">
        <f>D3-D2+1</f>
        <v>488</v>
      </c>
    </row>
    <row r="5" spans="1:4" x14ac:dyDescent="0.3">
      <c r="A5" s="121" t="s">
        <v>9</v>
      </c>
      <c r="B5" s="122"/>
      <c r="C5" s="123"/>
      <c r="D5" s="7">
        <v>20682</v>
      </c>
    </row>
    <row r="6" spans="1:4" x14ac:dyDescent="0.3">
      <c r="A6" s="121" t="s">
        <v>10</v>
      </c>
      <c r="B6" s="122"/>
      <c r="C6" s="123"/>
      <c r="D6" s="7">
        <f>(D5/365)*D4</f>
        <v>27651.550684931506</v>
      </c>
    </row>
    <row r="7" spans="1:4" x14ac:dyDescent="0.3">
      <c r="A7" s="121" t="s">
        <v>11</v>
      </c>
      <c r="B7" s="122"/>
      <c r="C7" s="123"/>
      <c r="D7" s="7">
        <f>'ER Sheet'!L29</f>
        <v>21602</v>
      </c>
    </row>
    <row r="8" spans="1:4" ht="15" thickBot="1" x14ac:dyDescent="0.35">
      <c r="A8" s="127" t="s">
        <v>12</v>
      </c>
      <c r="B8" s="128"/>
      <c r="C8" s="129"/>
      <c r="D8" s="8">
        <f>(D7-D6)/D6</f>
        <v>-0.218777990206103</v>
      </c>
    </row>
    <row r="10" spans="1:4" ht="15" thickBot="1" x14ac:dyDescent="0.35"/>
    <row r="11" spans="1:4" x14ac:dyDescent="0.3">
      <c r="A11" s="130" t="s">
        <v>96</v>
      </c>
      <c r="B11" s="131"/>
      <c r="C11" s="131"/>
      <c r="D11" s="132"/>
    </row>
    <row r="12" spans="1:4" x14ac:dyDescent="0.3">
      <c r="A12" s="121" t="s">
        <v>6</v>
      </c>
      <c r="B12" s="122"/>
      <c r="C12" s="123"/>
      <c r="D12" s="6">
        <v>43709</v>
      </c>
    </row>
    <row r="13" spans="1:4" x14ac:dyDescent="0.3">
      <c r="A13" s="121" t="s">
        <v>7</v>
      </c>
      <c r="B13" s="122"/>
      <c r="C13" s="123"/>
      <c r="D13" s="6">
        <v>44196</v>
      </c>
    </row>
    <row r="14" spans="1:4" x14ac:dyDescent="0.3">
      <c r="A14" s="121" t="s">
        <v>8</v>
      </c>
      <c r="B14" s="122"/>
      <c r="C14" s="123"/>
      <c r="D14" s="7">
        <f>D13-D12+1</f>
        <v>488</v>
      </c>
    </row>
    <row r="15" spans="1:4" x14ac:dyDescent="0.3">
      <c r="A15" s="121" t="s">
        <v>97</v>
      </c>
      <c r="B15" s="122"/>
      <c r="C15" s="123"/>
      <c r="D15" s="7">
        <v>22130</v>
      </c>
    </row>
    <row r="16" spans="1:4" ht="30" customHeight="1" x14ac:dyDescent="0.3">
      <c r="A16" s="124" t="s">
        <v>98</v>
      </c>
      <c r="B16" s="125"/>
      <c r="C16" s="126"/>
      <c r="D16" s="54">
        <f>(D15/365)*D14</f>
        <v>29587.506849315068</v>
      </c>
    </row>
    <row r="17" spans="1:4" ht="30.75" customHeight="1" x14ac:dyDescent="0.3">
      <c r="A17" s="124" t="s">
        <v>99</v>
      </c>
      <c r="B17" s="125"/>
      <c r="C17" s="126"/>
      <c r="D17" s="54">
        <f>'ER Sheet'!C29</f>
        <v>23133.645000000004</v>
      </c>
    </row>
    <row r="18" spans="1:4" ht="15" thickBot="1" x14ac:dyDescent="0.35">
      <c r="A18" s="127" t="s">
        <v>12</v>
      </c>
      <c r="B18" s="128"/>
      <c r="C18" s="129"/>
      <c r="D18" s="8">
        <f>(D17-D16)/D16</f>
        <v>-0.21812793765232258</v>
      </c>
    </row>
  </sheetData>
  <mergeCells count="16">
    <mergeCell ref="A6:C6"/>
    <mergeCell ref="A1:D1"/>
    <mergeCell ref="A2:C2"/>
    <mergeCell ref="A3:C3"/>
    <mergeCell ref="A4:C4"/>
    <mergeCell ref="A5:C5"/>
    <mergeCell ref="A15:C15"/>
    <mergeCell ref="A16:C16"/>
    <mergeCell ref="A17:C17"/>
    <mergeCell ref="A18:C18"/>
    <mergeCell ref="A7:C7"/>
    <mergeCell ref="A8:C8"/>
    <mergeCell ref="A11:D11"/>
    <mergeCell ref="A12:C12"/>
    <mergeCell ref="A13:C13"/>
    <mergeCell ref="A14:C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79083-5B06-4DEC-8EE6-D88CDA740852}">
  <dimension ref="C4:K39"/>
  <sheetViews>
    <sheetView tabSelected="1" topLeftCell="A16" workbookViewId="0">
      <selection activeCell="F34" sqref="F34"/>
    </sheetView>
  </sheetViews>
  <sheetFormatPr defaultRowHeight="14.4" x14ac:dyDescent="0.3"/>
  <cols>
    <col min="3" max="3" width="30.5546875" customWidth="1"/>
    <col min="4" max="4" width="17.6640625" customWidth="1"/>
    <col min="6" max="6" width="12.44140625" customWidth="1"/>
    <col min="8" max="8" width="11.44140625" customWidth="1"/>
    <col min="9" max="9" width="19.109375" customWidth="1"/>
    <col min="10" max="10" width="19.33203125" customWidth="1"/>
    <col min="11" max="11" width="13.21875" customWidth="1"/>
    <col min="12" max="12" width="11.109375" customWidth="1"/>
  </cols>
  <sheetData>
    <row r="4" spans="3:6" x14ac:dyDescent="0.3">
      <c r="C4" s="109" t="s">
        <v>111</v>
      </c>
      <c r="D4" s="109" t="s">
        <v>112</v>
      </c>
      <c r="E4" s="110"/>
      <c r="F4" s="110"/>
    </row>
    <row r="5" spans="3:6" x14ac:dyDescent="0.3">
      <c r="C5" s="111"/>
      <c r="D5" s="111"/>
      <c r="E5" s="112"/>
      <c r="F5" s="112"/>
    </row>
    <row r="6" spans="3:6" x14ac:dyDescent="0.3">
      <c r="C6" s="113" t="s">
        <v>113</v>
      </c>
      <c r="D6" s="114" t="s">
        <v>114</v>
      </c>
      <c r="E6" s="114"/>
      <c r="F6" s="114"/>
    </row>
    <row r="7" spans="3:6" x14ac:dyDescent="0.3">
      <c r="C7" s="114">
        <v>2019</v>
      </c>
      <c r="D7" s="139">
        <f>'ER Sheet'!N16</f>
        <v>5297.7219999999998</v>
      </c>
      <c r="E7" s="140"/>
      <c r="F7" s="141"/>
    </row>
    <row r="8" spans="3:6" x14ac:dyDescent="0.3">
      <c r="C8" s="114">
        <v>2020</v>
      </c>
      <c r="D8" s="139">
        <f>'ER Sheet'!N28</f>
        <v>17835.923000000003</v>
      </c>
      <c r="E8" s="140"/>
      <c r="F8" s="141"/>
    </row>
    <row r="9" spans="3:6" x14ac:dyDescent="0.3">
      <c r="C9" s="113" t="s">
        <v>115</v>
      </c>
      <c r="D9" s="142">
        <f>SUM(D7:D8)</f>
        <v>23133.645000000004</v>
      </c>
      <c r="E9" s="143"/>
      <c r="F9" s="144"/>
    </row>
    <row r="10" spans="3:6" x14ac:dyDescent="0.3">
      <c r="C10" s="111"/>
      <c r="D10" s="111"/>
      <c r="E10" s="111"/>
      <c r="F10" s="111"/>
    </row>
    <row r="11" spans="3:6" x14ac:dyDescent="0.3">
      <c r="C11" s="109" t="s">
        <v>116</v>
      </c>
      <c r="D11" s="109" t="s">
        <v>117</v>
      </c>
      <c r="E11" s="109"/>
      <c r="F11" s="109"/>
    </row>
    <row r="12" spans="3:6" x14ac:dyDescent="0.3">
      <c r="C12" s="111"/>
      <c r="D12" s="111"/>
      <c r="E12" s="111"/>
      <c r="F12" s="111"/>
    </row>
    <row r="13" spans="3:6" x14ac:dyDescent="0.3">
      <c r="C13" s="114"/>
      <c r="D13" s="114" t="s">
        <v>118</v>
      </c>
      <c r="E13" s="114"/>
      <c r="F13" s="114"/>
    </row>
    <row r="14" spans="3:6" x14ac:dyDescent="0.3">
      <c r="C14" s="114" t="s">
        <v>113</v>
      </c>
      <c r="D14" s="114" t="s">
        <v>119</v>
      </c>
      <c r="E14" s="114" t="s">
        <v>120</v>
      </c>
      <c r="F14" s="113" t="s">
        <v>115</v>
      </c>
    </row>
    <row r="15" spans="3:6" x14ac:dyDescent="0.3">
      <c r="C15" s="114">
        <v>2019</v>
      </c>
      <c r="D15" s="114">
        <v>12</v>
      </c>
      <c r="E15" s="114">
        <v>3</v>
      </c>
      <c r="F15" s="113">
        <v>15</v>
      </c>
    </row>
    <row r="16" spans="3:6" x14ac:dyDescent="0.3">
      <c r="C16" s="114">
        <v>2020</v>
      </c>
      <c r="D16" s="114">
        <v>12</v>
      </c>
      <c r="E16" s="114">
        <v>3</v>
      </c>
      <c r="F16" s="113">
        <v>15</v>
      </c>
    </row>
    <row r="17" spans="3:11" x14ac:dyDescent="0.3">
      <c r="C17" s="111"/>
      <c r="D17" s="111"/>
      <c r="E17" s="111"/>
      <c r="F17" s="111"/>
    </row>
    <row r="18" spans="3:11" x14ac:dyDescent="0.3">
      <c r="C18" s="114"/>
      <c r="D18" s="114" t="s">
        <v>121</v>
      </c>
      <c r="E18" s="114"/>
      <c r="F18" s="114"/>
    </row>
    <row r="19" spans="3:11" x14ac:dyDescent="0.3">
      <c r="C19" s="114" t="s">
        <v>93</v>
      </c>
      <c r="D19" s="114" t="s">
        <v>121</v>
      </c>
      <c r="E19" s="114"/>
      <c r="F19" s="114"/>
    </row>
    <row r="20" spans="3:11" x14ac:dyDescent="0.3">
      <c r="C20" s="114">
        <v>2019</v>
      </c>
      <c r="D20" s="145">
        <v>1</v>
      </c>
      <c r="E20" s="146"/>
      <c r="F20" s="147"/>
    </row>
    <row r="21" spans="3:11" x14ac:dyDescent="0.3">
      <c r="C21" s="114">
        <v>2020</v>
      </c>
      <c r="D21" s="145">
        <v>0</v>
      </c>
      <c r="E21" s="146"/>
      <c r="F21" s="147"/>
    </row>
    <row r="22" spans="3:11" x14ac:dyDescent="0.3">
      <c r="C22" s="111"/>
      <c r="D22" s="111"/>
      <c r="E22" s="111"/>
      <c r="F22" s="111"/>
    </row>
    <row r="23" spans="3:11" x14ac:dyDescent="0.3">
      <c r="C23" s="148" t="s">
        <v>122</v>
      </c>
      <c r="D23" s="149"/>
      <c r="E23" s="149"/>
      <c r="F23" s="150"/>
    </row>
    <row r="24" spans="3:11" x14ac:dyDescent="0.3">
      <c r="C24" s="114" t="s">
        <v>93</v>
      </c>
      <c r="D24" s="114" t="s">
        <v>123</v>
      </c>
      <c r="E24" s="114"/>
      <c r="F24" s="114"/>
    </row>
    <row r="25" spans="3:11" x14ac:dyDescent="0.3">
      <c r="C25" s="114">
        <v>2019</v>
      </c>
      <c r="D25" s="133">
        <f>'ER Sheet'!P16</f>
        <v>4947</v>
      </c>
      <c r="E25" s="134"/>
      <c r="F25" s="135"/>
    </row>
    <row r="26" spans="3:11" x14ac:dyDescent="0.3">
      <c r="C26" s="114">
        <v>2020</v>
      </c>
      <c r="D26" s="133">
        <f>'ER Sheet'!P28</f>
        <v>16655</v>
      </c>
      <c r="E26" s="134"/>
      <c r="F26" s="135"/>
    </row>
    <row r="27" spans="3:11" x14ac:dyDescent="0.3">
      <c r="C27" s="113" t="s">
        <v>115</v>
      </c>
      <c r="D27" s="136">
        <f>SUM(D25:D26)</f>
        <v>21602</v>
      </c>
      <c r="E27" s="137"/>
      <c r="F27" s="138"/>
    </row>
    <row r="30" spans="3:11" x14ac:dyDescent="0.3">
      <c r="C30" s="115" t="s">
        <v>124</v>
      </c>
      <c r="D30" s="115" t="s">
        <v>125</v>
      </c>
      <c r="H30" s="118"/>
      <c r="I30" s="118" t="s">
        <v>131</v>
      </c>
      <c r="J30" s="118" t="s">
        <v>132</v>
      </c>
      <c r="K30" s="118" t="s">
        <v>125</v>
      </c>
    </row>
    <row r="31" spans="3:11" x14ac:dyDescent="0.3">
      <c r="C31" s="116" t="s">
        <v>126</v>
      </c>
      <c r="D31" s="116">
        <v>129060</v>
      </c>
      <c r="H31" s="119" t="s">
        <v>127</v>
      </c>
      <c r="I31" s="119">
        <v>290345772</v>
      </c>
      <c r="J31" s="119">
        <f>I31+D32-1</f>
        <v>290348353</v>
      </c>
      <c r="K31" s="119">
        <f>J31-I31+1</f>
        <v>2582</v>
      </c>
    </row>
    <row r="32" spans="3:11" x14ac:dyDescent="0.3">
      <c r="C32" s="116" t="s">
        <v>127</v>
      </c>
      <c r="D32" s="116">
        <f>ROUNDUP(D31*2%,)</f>
        <v>2582</v>
      </c>
      <c r="H32" s="119" t="s">
        <v>130</v>
      </c>
      <c r="I32" s="119">
        <f>J31+1</f>
        <v>290348354</v>
      </c>
      <c r="J32" s="119">
        <f>I32+D36-1</f>
        <v>290453229</v>
      </c>
      <c r="K32" s="119">
        <f>J32-I32+1</f>
        <v>104876</v>
      </c>
    </row>
    <row r="33" spans="3:11" x14ac:dyDescent="0.3">
      <c r="C33" s="116" t="s">
        <v>128</v>
      </c>
      <c r="D33" s="116">
        <f>D31-D32</f>
        <v>126478</v>
      </c>
      <c r="H33" s="119" t="s">
        <v>129</v>
      </c>
      <c r="I33" s="119">
        <f>J32+1</f>
        <v>290453230</v>
      </c>
      <c r="J33" s="120">
        <f>I33+D35-1</f>
        <v>290474831</v>
      </c>
      <c r="K33" s="119">
        <f>J33-I33+1</f>
        <v>21602</v>
      </c>
    </row>
    <row r="34" spans="3:11" x14ac:dyDescent="0.3">
      <c r="C34" s="116"/>
      <c r="D34" s="116"/>
      <c r="H34" s="118" t="s">
        <v>22</v>
      </c>
      <c r="I34" s="118">
        <f>I31</f>
        <v>290345772</v>
      </c>
      <c r="J34" s="118">
        <f>I34+K34-1</f>
        <v>290474831</v>
      </c>
      <c r="K34" s="118">
        <f>SUM(K31:K33)</f>
        <v>129060</v>
      </c>
    </row>
    <row r="35" spans="3:11" x14ac:dyDescent="0.3">
      <c r="C35" s="116" t="s">
        <v>129</v>
      </c>
      <c r="D35" s="117">
        <f>D27</f>
        <v>21602</v>
      </c>
      <c r="H35" s="118" t="s">
        <v>133</v>
      </c>
      <c r="I35" s="119"/>
      <c r="J35" s="119"/>
      <c r="K35" s="119"/>
    </row>
    <row r="36" spans="3:11" x14ac:dyDescent="0.3">
      <c r="C36" s="116" t="s">
        <v>130</v>
      </c>
      <c r="D36" s="116">
        <f>D33-D35</f>
        <v>104876</v>
      </c>
      <c r="H36" s="119">
        <v>2019</v>
      </c>
      <c r="I36" s="119">
        <f>I33</f>
        <v>290453230</v>
      </c>
      <c r="J36" s="119">
        <f>I36+K36-1</f>
        <v>290458176</v>
      </c>
      <c r="K36" s="120">
        <f>D25</f>
        <v>4947</v>
      </c>
    </row>
    <row r="37" spans="3:11" x14ac:dyDescent="0.3">
      <c r="C37" s="116"/>
      <c r="D37" s="116">
        <f>SUM(D35:D36)</f>
        <v>126478</v>
      </c>
      <c r="H37" s="119">
        <v>2020</v>
      </c>
      <c r="I37" s="119">
        <f>J36+1</f>
        <v>290458177</v>
      </c>
      <c r="J37" s="119">
        <f t="shared" ref="J37" si="0">I37+K37-1</f>
        <v>290474831</v>
      </c>
      <c r="K37" s="120">
        <f>D26</f>
        <v>16655</v>
      </c>
    </row>
    <row r="38" spans="3:11" x14ac:dyDescent="0.3">
      <c r="H38" s="119"/>
      <c r="I38" s="119"/>
      <c r="J38" s="119"/>
      <c r="K38" s="119"/>
    </row>
    <row r="39" spans="3:11" x14ac:dyDescent="0.3">
      <c r="H39" s="119"/>
      <c r="I39" s="119"/>
      <c r="J39" s="119">
        <f>(J37-I36)+1</f>
        <v>21602</v>
      </c>
      <c r="K39" s="119"/>
    </row>
  </sheetData>
  <mergeCells count="9">
    <mergeCell ref="D25:F25"/>
    <mergeCell ref="D26:F26"/>
    <mergeCell ref="D27:F27"/>
    <mergeCell ref="D7:F7"/>
    <mergeCell ref="D8:F8"/>
    <mergeCell ref="D9:F9"/>
    <mergeCell ref="D20:F20"/>
    <mergeCell ref="D21:F21"/>
    <mergeCell ref="C23:F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1"/>
  <sheetViews>
    <sheetView topLeftCell="D10" workbookViewId="0">
      <selection activeCell="O21" sqref="O21"/>
    </sheetView>
  </sheetViews>
  <sheetFormatPr defaultRowHeight="14.4" x14ac:dyDescent="0.3"/>
  <cols>
    <col min="2" max="2" width="22.6640625" customWidth="1"/>
    <col min="3" max="3" width="23.6640625" customWidth="1"/>
    <col min="4" max="4" width="19.109375" customWidth="1"/>
    <col min="5" max="5" width="22.44140625" customWidth="1"/>
    <col min="6" max="6" width="19.109375" customWidth="1"/>
    <col min="7" max="7" width="20.109375" customWidth="1"/>
    <col min="8" max="8" width="13" customWidth="1"/>
    <col min="9" max="9" width="12.44140625" customWidth="1"/>
    <col min="10" max="10" width="9.6640625" customWidth="1"/>
    <col min="11" max="11" width="10.6640625" customWidth="1"/>
    <col min="12" max="12" width="13" customWidth="1"/>
    <col min="14" max="14" width="10.33203125" bestFit="1" customWidth="1"/>
  </cols>
  <sheetData>
    <row r="2" spans="2:19" x14ac:dyDescent="0.3">
      <c r="B2" s="20" t="s">
        <v>32</v>
      </c>
      <c r="C2" s="20" t="s">
        <v>37</v>
      </c>
      <c r="D2" s="20"/>
      <c r="E2" s="20"/>
    </row>
    <row r="3" spans="2:19" x14ac:dyDescent="0.3">
      <c r="B3" s="20"/>
      <c r="C3" s="20"/>
      <c r="D3" s="20"/>
      <c r="E3" s="20"/>
    </row>
    <row r="4" spans="2:19" x14ac:dyDescent="0.3">
      <c r="B4" s="20" t="s">
        <v>33</v>
      </c>
      <c r="C4" s="21">
        <v>7755</v>
      </c>
      <c r="D4" s="20"/>
      <c r="E4" s="20"/>
    </row>
    <row r="5" spans="2:19" x14ac:dyDescent="0.3">
      <c r="B5" s="20"/>
      <c r="C5" s="20"/>
      <c r="D5" s="20"/>
      <c r="E5" s="20"/>
    </row>
    <row r="6" spans="2:19" x14ac:dyDescent="0.3">
      <c r="B6" s="20" t="s">
        <v>34</v>
      </c>
      <c r="C6" s="21">
        <v>10073</v>
      </c>
      <c r="D6" s="20"/>
      <c r="E6" s="20"/>
    </row>
    <row r="7" spans="2:19" x14ac:dyDescent="0.3">
      <c r="B7" s="20"/>
      <c r="C7" s="20"/>
      <c r="D7" s="20"/>
      <c r="E7" s="20"/>
    </row>
    <row r="8" spans="2:19" x14ac:dyDescent="0.3">
      <c r="B8" s="20" t="s">
        <v>35</v>
      </c>
      <c r="C8" s="151" t="s">
        <v>36</v>
      </c>
      <c r="D8" s="151"/>
      <c r="E8" s="20"/>
    </row>
    <row r="9" spans="2:19" ht="15" thickBot="1" x14ac:dyDescent="0.35"/>
    <row r="10" spans="2:19" ht="15.75" customHeight="1" x14ac:dyDescent="0.3">
      <c r="B10" s="152" t="s">
        <v>13</v>
      </c>
      <c r="C10" s="155" t="s">
        <v>14</v>
      </c>
      <c r="D10" s="155" t="s">
        <v>31</v>
      </c>
      <c r="E10" s="155" t="s">
        <v>15</v>
      </c>
      <c r="F10" s="155" t="s">
        <v>16</v>
      </c>
      <c r="G10" s="155" t="s">
        <v>29</v>
      </c>
      <c r="H10" s="155" t="s">
        <v>0</v>
      </c>
      <c r="I10" s="155" t="s">
        <v>1</v>
      </c>
      <c r="J10" s="155" t="s">
        <v>2</v>
      </c>
      <c r="K10" s="155" t="s">
        <v>3</v>
      </c>
      <c r="L10" s="155" t="s">
        <v>4</v>
      </c>
    </row>
    <row r="11" spans="2:19" x14ac:dyDescent="0.3">
      <c r="B11" s="153"/>
      <c r="C11" s="156"/>
      <c r="D11" s="156"/>
      <c r="E11" s="156"/>
      <c r="F11" s="156"/>
      <c r="G11" s="156"/>
      <c r="H11" s="156"/>
      <c r="I11" s="156"/>
      <c r="J11" s="156"/>
      <c r="K11" s="156"/>
      <c r="L11" s="156"/>
    </row>
    <row r="12" spans="2:19" ht="67.5" customHeight="1" x14ac:dyDescent="0.3">
      <c r="B12" s="154"/>
      <c r="C12" s="157"/>
      <c r="D12" s="157"/>
      <c r="E12" s="157"/>
      <c r="F12" s="157"/>
      <c r="G12" s="157"/>
      <c r="H12" s="157"/>
      <c r="I12" s="157"/>
      <c r="J12" s="157"/>
      <c r="K12" s="157"/>
      <c r="L12" s="157"/>
    </row>
    <row r="13" spans="2:19" x14ac:dyDescent="0.3">
      <c r="B13" s="2">
        <v>43709</v>
      </c>
      <c r="C13" s="3">
        <f>'4.2 MW'!C20+'8.4 MW'!E20</f>
        <v>1042.9560000000001</v>
      </c>
      <c r="D13" s="3">
        <f>'4.2 MW'!D20+'8.4 MW'!F20</f>
        <v>1042.9559999999999</v>
      </c>
      <c r="E13" s="4">
        <f>'4.2 MW'!E20+'8.4 MW'!G20</f>
        <v>7387.1309999999994</v>
      </c>
      <c r="F13" s="5">
        <f>'4.2 MW'!F20+'8.4 MW'!H20</f>
        <v>228.89999999999998</v>
      </c>
      <c r="G13" s="1">
        <f>'4.2 MW'!G20+'8.4 MW'!I20</f>
        <v>1086.386</v>
      </c>
      <c r="H13" s="4">
        <v>0.93459999999999999</v>
      </c>
      <c r="I13" s="1">
        <f>'4.2 MW'!I20+'8.4 MW'!K20</f>
        <v>974.74667760000011</v>
      </c>
      <c r="J13" s="1">
        <v>0</v>
      </c>
      <c r="K13" s="1">
        <v>0</v>
      </c>
      <c r="L13" s="10">
        <f>SUM('4.2 MW'!L20+'8.4 MW'!N20)</f>
        <v>973</v>
      </c>
    </row>
    <row r="14" spans="2:19" x14ac:dyDescent="0.3">
      <c r="B14" s="2">
        <v>43739</v>
      </c>
      <c r="C14" s="3">
        <f>'4.2 MW'!C21+'8.4 MW'!E21</f>
        <v>1226.8399999999999</v>
      </c>
      <c r="D14" s="3">
        <f>'4.2 MW'!D21+'8.4 MW'!F21</f>
        <v>1226.8399999999999</v>
      </c>
      <c r="E14" s="4">
        <f>'4.2 MW'!E21+'8.4 MW'!G21</f>
        <v>8810.8080000000009</v>
      </c>
      <c r="F14" s="5">
        <f>'4.2 MW'!F21+'8.4 MW'!H21</f>
        <v>274.20000000000005</v>
      </c>
      <c r="G14" s="1">
        <f>'4.2 MW'!G21+'8.4 MW'!I21</f>
        <v>1279.739</v>
      </c>
      <c r="H14" s="4">
        <v>0.93459999999999999</v>
      </c>
      <c r="I14" s="1">
        <f>'4.2 MW'!I21+'8.4 MW'!K21</f>
        <v>1146.604664</v>
      </c>
      <c r="J14" s="1">
        <v>0</v>
      </c>
      <c r="K14" s="1">
        <v>0</v>
      </c>
      <c r="L14" s="10">
        <f>SUM('4.2 MW'!L21+'8.4 MW'!N21)</f>
        <v>1146</v>
      </c>
    </row>
    <row r="15" spans="2:19" x14ac:dyDescent="0.3">
      <c r="B15" s="2">
        <v>43770</v>
      </c>
      <c r="C15" s="3">
        <f>'4.2 MW'!C22+'8.4 MW'!E22</f>
        <v>837.06899999999996</v>
      </c>
      <c r="D15" s="3">
        <f>'4.2 MW'!D22+'8.4 MW'!F22</f>
        <v>837.06899999999996</v>
      </c>
      <c r="E15" s="4">
        <f>'4.2 MW'!E22+'8.4 MW'!G22</f>
        <v>6375.3270000000002</v>
      </c>
      <c r="F15" s="5">
        <f>'4.2 MW'!F22+'8.4 MW'!H22</f>
        <v>192</v>
      </c>
      <c r="G15" s="1">
        <f>'4.2 MW'!G22+'8.4 MW'!I22</f>
        <v>880.97299999999996</v>
      </c>
      <c r="H15" s="4">
        <v>0.93459999999999999</v>
      </c>
      <c r="I15" s="1">
        <f>'4.2 MW'!I22+'8.4 MW'!K22</f>
        <v>782.32468740000002</v>
      </c>
      <c r="J15" s="1">
        <v>0</v>
      </c>
      <c r="K15" s="1">
        <v>0</v>
      </c>
      <c r="L15" s="10">
        <f>SUM('4.2 MW'!L22+'8.4 MW'!N22)</f>
        <v>782</v>
      </c>
    </row>
    <row r="16" spans="2:19" x14ac:dyDescent="0.3">
      <c r="B16" s="2">
        <v>43800</v>
      </c>
      <c r="C16" s="3">
        <f>'4.2 MW'!C23+'8.4 MW'!E23</f>
        <v>2190.857</v>
      </c>
      <c r="D16" s="3">
        <f>'4.2 MW'!D23+'8.4 MW'!F23</f>
        <v>2190.857</v>
      </c>
      <c r="E16" s="4">
        <f>'4.2 MW'!E23+'8.4 MW'!G23</f>
        <v>17311.475999999999</v>
      </c>
      <c r="F16" s="5">
        <f>'4.2 MW'!F23+'8.4 MW'!H23</f>
        <v>684.6</v>
      </c>
      <c r="G16" s="1">
        <f>'4.2 MW'!G23+'8.4 MW'!I23</f>
        <v>2270.375</v>
      </c>
      <c r="H16" s="4">
        <v>0.93459999999999999</v>
      </c>
      <c r="I16" s="1">
        <f>'4.2 MW'!I23+'8.4 MW'!K23</f>
        <v>2047.5749522000001</v>
      </c>
      <c r="J16" s="1">
        <v>0</v>
      </c>
      <c r="K16" s="1">
        <v>0</v>
      </c>
      <c r="L16" s="10">
        <f>SUM('4.2 MW'!L23+'8.4 MW'!N23)</f>
        <v>2046</v>
      </c>
      <c r="N16" s="106">
        <f>SUM(C13:C16)</f>
        <v>5297.7219999999998</v>
      </c>
      <c r="P16">
        <f>SUM(L13:L16)</f>
        <v>4947</v>
      </c>
      <c r="S16" s="108"/>
    </row>
    <row r="17" spans="2:19" x14ac:dyDescent="0.3">
      <c r="B17" s="2">
        <v>43831</v>
      </c>
      <c r="C17" s="3">
        <f>'4.2 MW'!C24+'8.4 MW'!E24</f>
        <v>1817.982</v>
      </c>
      <c r="D17" s="3">
        <f>'4.2 MW'!D24+'8.4 MW'!F24</f>
        <v>1817.982</v>
      </c>
      <c r="E17" s="4">
        <f>'4.2 MW'!E24+'8.4 MW'!G24</f>
        <v>14142.09</v>
      </c>
      <c r="F17" s="5">
        <f>'4.2 MW'!F24+'8.4 MW'!H24</f>
        <v>513.29999999999995</v>
      </c>
      <c r="G17" s="1">
        <f>'4.2 MW'!G24+'8.4 MW'!I24</f>
        <v>1872.4960000000001</v>
      </c>
      <c r="H17" s="4">
        <v>0.93459999999999999</v>
      </c>
      <c r="I17" s="1">
        <f>'4.2 MW'!I24+'8.4 MW'!K24</f>
        <v>1699.0859771999999</v>
      </c>
      <c r="J17" s="1">
        <v>0</v>
      </c>
      <c r="K17" s="1">
        <v>0</v>
      </c>
      <c r="L17" s="10">
        <f>SUM('4.2 MW'!L24+'8.4 MW'!N24)</f>
        <v>1698</v>
      </c>
      <c r="N17" s="106"/>
    </row>
    <row r="18" spans="2:19" x14ac:dyDescent="0.3">
      <c r="B18" s="2">
        <v>43862</v>
      </c>
      <c r="C18" s="3">
        <f>'4.2 MW'!C25+'8.4 MW'!E25</f>
        <v>1878.15</v>
      </c>
      <c r="D18" s="3">
        <f>'4.2 MW'!D25+'8.4 MW'!F25</f>
        <v>1878.15</v>
      </c>
      <c r="E18" s="4">
        <f>'4.2 MW'!E25+'8.4 MW'!G25</f>
        <v>12565.188</v>
      </c>
      <c r="F18" s="5">
        <f>'4.2 MW'!F25+'8.4 MW'!H25</f>
        <v>509.7</v>
      </c>
      <c r="G18" s="1">
        <f>'4.2 MW'!G25+'8.4 MW'!I25</f>
        <v>1943.518</v>
      </c>
      <c r="H18" s="4">
        <v>0.93459999999999999</v>
      </c>
      <c r="I18" s="1">
        <f>'4.2 MW'!I25+'8.4 MW'!K25</f>
        <v>1755.3189899999998</v>
      </c>
      <c r="J18" s="1">
        <v>0</v>
      </c>
      <c r="K18" s="1">
        <v>0</v>
      </c>
      <c r="L18" s="10">
        <f>SUM('4.2 MW'!L25+'8.4 MW'!N25)</f>
        <v>1754</v>
      </c>
      <c r="N18" s="106"/>
    </row>
    <row r="19" spans="2:19" x14ac:dyDescent="0.3">
      <c r="B19" s="2">
        <v>43891</v>
      </c>
      <c r="C19" s="3">
        <f>'4.2 MW'!C26+'8.4 MW'!E26</f>
        <v>1719.9979999999998</v>
      </c>
      <c r="D19" s="3">
        <f>'4.2 MW'!D26+'8.4 MW'!F26</f>
        <v>1719.998</v>
      </c>
      <c r="E19" s="4">
        <f>'4.2 MW'!E26+'8.4 MW'!G26</f>
        <v>11779.434000000001</v>
      </c>
      <c r="F19" s="5">
        <f>'4.2 MW'!F26+'8.4 MW'!H26</f>
        <v>282.3</v>
      </c>
      <c r="G19" s="1">
        <f>'4.2 MW'!G26+'8.4 MW'!I26</f>
        <v>1778.529</v>
      </c>
      <c r="H19" s="4">
        <v>0.93459999999999999</v>
      </c>
      <c r="I19" s="1">
        <f>'4.2 MW'!I26+'8.4 MW'!K26</f>
        <v>1607.5101307999998</v>
      </c>
      <c r="J19" s="1">
        <v>0</v>
      </c>
      <c r="K19" s="1">
        <v>0</v>
      </c>
      <c r="L19" s="10">
        <f>SUM('4.2 MW'!L26+'8.4 MW'!N26)</f>
        <v>1606</v>
      </c>
      <c r="N19" s="106"/>
    </row>
    <row r="20" spans="2:19" x14ac:dyDescent="0.3">
      <c r="B20" s="2">
        <v>43922</v>
      </c>
      <c r="C20" s="3">
        <f>'4.2 MW'!C27+'8.4 MW'!E27</f>
        <v>1806.0989999999999</v>
      </c>
      <c r="D20" s="3">
        <f>'4.2 MW'!D27+'8.4 MW'!F27</f>
        <v>1806.0990000000002</v>
      </c>
      <c r="E20" s="4">
        <f>'4.2 MW'!E27+'8.4 MW'!G27</f>
        <v>11144.993999999999</v>
      </c>
      <c r="F20" s="5">
        <f>'4.2 MW'!F27+'8.4 MW'!H27</f>
        <v>150</v>
      </c>
      <c r="G20" s="1">
        <f>'4.2 MW'!G27+'8.4 MW'!I27</f>
        <v>1863.0409999999999</v>
      </c>
      <c r="H20" s="4">
        <v>0.93459999999999999</v>
      </c>
      <c r="I20" s="1">
        <f>'4.2 MW'!I27+'8.4 MW'!K27</f>
        <v>1687.9801253999999</v>
      </c>
      <c r="J20" s="1">
        <v>0</v>
      </c>
      <c r="K20" s="1">
        <v>0</v>
      </c>
      <c r="L20" s="10">
        <f>SUM('4.2 MW'!L27+'8.4 MW'!N27)</f>
        <v>1687</v>
      </c>
      <c r="N20" s="106"/>
    </row>
    <row r="21" spans="2:19" x14ac:dyDescent="0.3">
      <c r="B21" s="2">
        <v>43952</v>
      </c>
      <c r="C21" s="3">
        <f>'4.2 MW'!C28+'8.4 MW'!E28</f>
        <v>2591.587</v>
      </c>
      <c r="D21" s="3">
        <f>'4.2 MW'!D28+'8.4 MW'!F28</f>
        <v>2591.587</v>
      </c>
      <c r="E21" s="4">
        <f>'4.2 MW'!E28+'8.4 MW'!G28</f>
        <v>17503.859</v>
      </c>
      <c r="F21" s="5">
        <f>'4.2 MW'!F28+'8.4 MW'!H28</f>
        <v>394.5</v>
      </c>
      <c r="G21" s="1">
        <f>'4.2 MW'!G28+'8.4 MW'!I28</f>
        <v>2668.9120000000003</v>
      </c>
      <c r="H21" s="4">
        <v>0.93459999999999999</v>
      </c>
      <c r="I21" s="1">
        <f>'4.2 MW'!I28+'8.4 MW'!K28</f>
        <v>2422.0972102000001</v>
      </c>
      <c r="J21" s="1">
        <v>0</v>
      </c>
      <c r="K21" s="1">
        <v>0</v>
      </c>
      <c r="L21" s="10">
        <f>SUM('4.2 MW'!L28+'8.4 MW'!N28)</f>
        <v>2421</v>
      </c>
      <c r="N21" s="106"/>
    </row>
    <row r="22" spans="2:19" x14ac:dyDescent="0.3">
      <c r="B22" s="2">
        <v>43983</v>
      </c>
      <c r="C22" s="3">
        <f>'4.2 MW'!C29+'8.4 MW'!E29</f>
        <v>817.72699999999998</v>
      </c>
      <c r="D22" s="3">
        <f>'4.2 MW'!D29+'8.4 MW'!F29</f>
        <v>817.72699999999998</v>
      </c>
      <c r="E22" s="4">
        <f>'4.2 MW'!E29+'8.4 MW'!G29</f>
        <v>8455.5600000000013</v>
      </c>
      <c r="F22" s="5">
        <f>'4.2 MW'!F29+'8.4 MW'!H29</f>
        <v>42</v>
      </c>
      <c r="G22" s="1">
        <f>'4.2 MW'!G29+'8.4 MW'!I29</f>
        <v>853.06200000000001</v>
      </c>
      <c r="H22" s="4">
        <v>0.93459999999999999</v>
      </c>
      <c r="I22" s="1">
        <f>'4.2 MW'!I29+'8.4 MW'!K29</f>
        <v>764.24765419999994</v>
      </c>
      <c r="J22" s="1">
        <v>0</v>
      </c>
      <c r="K22" s="1">
        <v>0</v>
      </c>
      <c r="L22" s="10">
        <f>SUM('4.2 MW'!L29+'8.4 MW'!N29)</f>
        <v>763</v>
      </c>
      <c r="N22" s="106"/>
    </row>
    <row r="23" spans="2:19" x14ac:dyDescent="0.3">
      <c r="B23" s="2">
        <v>44013</v>
      </c>
      <c r="C23" s="3">
        <f>'4.2 MW'!C30+'8.4 MW'!E30</f>
        <v>1133.864</v>
      </c>
      <c r="D23" s="3">
        <f>'4.2 MW'!D30+'8.4 MW'!F30</f>
        <v>1133.864</v>
      </c>
      <c r="E23" s="4">
        <f>'4.2 MW'!E30+'8.4 MW'!G30</f>
        <v>9955.5329999999994</v>
      </c>
      <c r="F23" s="5">
        <f>'4.2 MW'!F30+'8.4 MW'!H30</f>
        <v>47.4</v>
      </c>
      <c r="G23" s="1">
        <f>'4.2 MW'!G30+'8.4 MW'!I30</f>
        <v>1179.0350000000001</v>
      </c>
      <c r="H23" s="4">
        <v>0.93459999999999999</v>
      </c>
      <c r="I23" s="1">
        <f>'4.2 MW'!I30+'8.4 MW'!K30</f>
        <v>1059.7092944000001</v>
      </c>
      <c r="J23" s="1">
        <v>0</v>
      </c>
      <c r="K23" s="1">
        <v>0</v>
      </c>
      <c r="L23" s="10">
        <f>SUM('4.2 MW'!L30+'8.4 MW'!N30)</f>
        <v>1059</v>
      </c>
      <c r="N23" s="106"/>
    </row>
    <row r="24" spans="2:19" x14ac:dyDescent="0.3">
      <c r="B24" s="2">
        <v>44044</v>
      </c>
      <c r="C24" s="3">
        <f>'4.2 MW'!C31+'8.4 MW'!E31</f>
        <v>2002.825</v>
      </c>
      <c r="D24" s="3">
        <f>'4.2 MW'!D31+'8.4 MW'!F31</f>
        <v>2002.825</v>
      </c>
      <c r="E24" s="4">
        <f>'4.2 MW'!E31+'8.4 MW'!G31</f>
        <v>17139.035</v>
      </c>
      <c r="F24" s="5">
        <f>'4.2 MW'!F31+'8.4 MW'!H31</f>
        <v>15.9</v>
      </c>
      <c r="G24" s="1">
        <f>'4.2 MW'!G31+'8.4 MW'!I31</f>
        <v>2352.7199999999998</v>
      </c>
      <c r="H24" s="4">
        <v>0.93459999999999999</v>
      </c>
      <c r="I24" s="1">
        <f>'4.2 MW'!I31+'8.4 MW'!K31</f>
        <v>1871.8402450000001</v>
      </c>
      <c r="J24" s="1">
        <v>0</v>
      </c>
      <c r="K24" s="1">
        <v>0</v>
      </c>
      <c r="L24" s="10">
        <f>SUM('4.2 MW'!L31+'8.4 MW'!N31)</f>
        <v>1871</v>
      </c>
      <c r="N24" s="106"/>
    </row>
    <row r="25" spans="2:19" x14ac:dyDescent="0.3">
      <c r="B25" s="2">
        <v>44075</v>
      </c>
      <c r="C25" s="3">
        <f>'4.2 MW'!C32+'8.4 MW'!E32</f>
        <v>234.57499999999999</v>
      </c>
      <c r="D25" s="3">
        <f>'4.2 MW'!D32+'8.4 MW'!F32</f>
        <v>234.57499999999999</v>
      </c>
      <c r="E25" s="4">
        <f>'4.2 MW'!E32+'8.4 MW'!G32</f>
        <v>2722.9139999999998</v>
      </c>
      <c r="F25" s="5">
        <f>'4.2 MW'!F32+'8.4 MW'!H32</f>
        <v>71.100000000000009</v>
      </c>
      <c r="G25" s="1">
        <f>'4.2 MW'!G32+'8.4 MW'!I32</f>
        <v>259.87700000000001</v>
      </c>
      <c r="H25" s="4">
        <v>0.93459999999999999</v>
      </c>
      <c r="I25" s="1">
        <f>'4.2 MW'!I32+'8.4 MW'!K32</f>
        <v>219.23379499999999</v>
      </c>
      <c r="J25" s="1">
        <v>0</v>
      </c>
      <c r="K25" s="1">
        <v>0</v>
      </c>
      <c r="L25" s="10">
        <f>SUM('4.2 MW'!L32+'8.4 MW'!N32)</f>
        <v>218</v>
      </c>
      <c r="N25" s="106"/>
    </row>
    <row r="26" spans="2:19" x14ac:dyDescent="0.3">
      <c r="B26" s="2">
        <v>44105</v>
      </c>
      <c r="C26" s="3">
        <f>'4.2 MW'!C33+'8.4 MW'!E33</f>
        <v>684.279</v>
      </c>
      <c r="D26" s="3">
        <f>'4.2 MW'!D33+'8.4 MW'!F33</f>
        <v>684.279</v>
      </c>
      <c r="E26" s="4">
        <f>'4.2 MW'!E33+'8.4 MW'!G33</f>
        <v>4967.491</v>
      </c>
      <c r="F26" s="5">
        <f>'4.2 MW'!F33+'8.4 MW'!H33</f>
        <v>71.099999999999994</v>
      </c>
      <c r="G26" s="1">
        <f>'4.2 MW'!G33+'8.4 MW'!I33</f>
        <v>738.12300000000005</v>
      </c>
      <c r="H26" s="4">
        <v>0.93459999999999999</v>
      </c>
      <c r="I26" s="1">
        <f>'4.2 MW'!I33+'8.4 MW'!K33</f>
        <v>639.52715339999997</v>
      </c>
      <c r="J26" s="1">
        <v>0</v>
      </c>
      <c r="K26" s="1">
        <v>0</v>
      </c>
      <c r="L26" s="10">
        <f>SUM('4.2 MW'!L33+'8.4 MW'!N33)</f>
        <v>638</v>
      </c>
      <c r="N26" s="106"/>
    </row>
    <row r="27" spans="2:19" x14ac:dyDescent="0.3">
      <c r="B27" s="2">
        <v>44136</v>
      </c>
      <c r="C27" s="3">
        <f>'4.2 MW'!C34+'8.4 MW'!E34</f>
        <v>1543.348</v>
      </c>
      <c r="D27" s="3">
        <f>'4.2 MW'!D34+'8.4 MW'!F34</f>
        <v>1543.348</v>
      </c>
      <c r="E27" s="4">
        <f>'4.2 MW'!E34+'8.4 MW'!G34</f>
        <v>11537.593000000001</v>
      </c>
      <c r="F27" s="5">
        <f>'4.2 MW'!F34+'8.4 MW'!H34</f>
        <v>32.1</v>
      </c>
      <c r="G27" s="1">
        <f>'4.2 MW'!G34+'8.4 MW'!I34</f>
        <v>1606.5429999999999</v>
      </c>
      <c r="H27" s="4">
        <v>0.93459999999999999</v>
      </c>
      <c r="I27" s="1">
        <f>'4.2 MW'!I34+'8.4 MW'!K34</f>
        <v>1442.4130408000001</v>
      </c>
      <c r="J27" s="1">
        <v>0</v>
      </c>
      <c r="K27" s="1">
        <v>0</v>
      </c>
      <c r="L27" s="10">
        <f>SUM('4.2 MW'!L34+'8.4 MW'!N34)</f>
        <v>1441</v>
      </c>
      <c r="N27" s="106"/>
    </row>
    <row r="28" spans="2:19" x14ac:dyDescent="0.3">
      <c r="B28" s="2">
        <v>44166</v>
      </c>
      <c r="C28" s="3">
        <f>'4.2 MW'!C35+'8.4 MW'!E35</f>
        <v>1605.489</v>
      </c>
      <c r="D28" s="3">
        <f>'4.2 MW'!D35+'8.4 MW'!F35</f>
        <v>1605.489</v>
      </c>
      <c r="E28" s="4">
        <f>'4.2 MW'!E35+'8.4 MW'!G35</f>
        <v>11173.713</v>
      </c>
      <c r="F28" s="5">
        <f>'4.2 MW'!F35+'8.4 MW'!H35</f>
        <v>44.4</v>
      </c>
      <c r="G28" s="1">
        <f>'4.2 MW'!G35+'8.4 MW'!I35</f>
        <v>1661.4590000000001</v>
      </c>
      <c r="H28" s="4">
        <v>0.93459999999999999</v>
      </c>
      <c r="I28" s="1">
        <f>'4.2 MW'!I35+'8.4 MW'!K35</f>
        <v>1500.4900194000002</v>
      </c>
      <c r="J28" s="10">
        <v>0</v>
      </c>
      <c r="K28" s="10">
        <v>0</v>
      </c>
      <c r="L28" s="10">
        <f>SUM('4.2 MW'!L35+'8.4 MW'!N35)</f>
        <v>1499</v>
      </c>
      <c r="N28" s="106">
        <f>SUM(C17:C28)</f>
        <v>17835.923000000003</v>
      </c>
      <c r="P28">
        <f>SUM(L17:L28)</f>
        <v>16655</v>
      </c>
      <c r="S28" s="108"/>
    </row>
    <row r="29" spans="2:19" x14ac:dyDescent="0.3">
      <c r="B29" s="11" t="s">
        <v>22</v>
      </c>
      <c r="C29" s="105">
        <f>SUM(C13:C28)</f>
        <v>23133.645000000004</v>
      </c>
      <c r="D29" s="105">
        <f>SUM(D13:D28)</f>
        <v>23133.645000000004</v>
      </c>
      <c r="E29" s="15">
        <f>SUM(E13:E28)</f>
        <v>172972.14599999998</v>
      </c>
      <c r="F29" s="15">
        <f>SUM(F13:F28)</f>
        <v>3553.5</v>
      </c>
      <c r="G29" s="15">
        <f>SUM(G13:G28)</f>
        <v>24294.788000000004</v>
      </c>
      <c r="H29" s="15"/>
      <c r="I29" s="15">
        <f>SUM(I13:I28)</f>
        <v>21620.704616999996</v>
      </c>
      <c r="J29" s="15">
        <f>SUM(J13:J28)</f>
        <v>0</v>
      </c>
      <c r="K29" s="15">
        <f>SUM(K13:K28)</f>
        <v>0</v>
      </c>
      <c r="L29" s="19">
        <f>SUM(L13:L28)</f>
        <v>21602</v>
      </c>
    </row>
    <row r="31" spans="2:19" x14ac:dyDescent="0.3">
      <c r="P31" s="107"/>
      <c r="S31" s="108"/>
    </row>
  </sheetData>
  <mergeCells count="12">
    <mergeCell ref="F10:F12"/>
    <mergeCell ref="J10:J12"/>
    <mergeCell ref="K10:K12"/>
    <mergeCell ref="L10:L12"/>
    <mergeCell ref="G10:G12"/>
    <mergeCell ref="H10:H12"/>
    <mergeCell ref="I10:I12"/>
    <mergeCell ref="C8:D8"/>
    <mergeCell ref="B10:B12"/>
    <mergeCell ref="C10:C12"/>
    <mergeCell ref="D10:D12"/>
    <mergeCell ref="E10:E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36"/>
  <sheetViews>
    <sheetView topLeftCell="A13" workbookViewId="0">
      <selection activeCell="N19" sqref="N19"/>
    </sheetView>
  </sheetViews>
  <sheetFormatPr defaultRowHeight="14.4" x14ac:dyDescent="0.3"/>
  <cols>
    <col min="1" max="1" width="8.33203125" customWidth="1"/>
    <col min="2" max="2" width="12.6640625" customWidth="1"/>
    <col min="3" max="3" width="18.44140625" customWidth="1"/>
    <col min="4" max="4" width="18" customWidth="1"/>
    <col min="5" max="7" width="14.88671875" customWidth="1"/>
    <col min="8" max="8" width="13" customWidth="1"/>
    <col min="9" max="9" width="11.109375" customWidth="1"/>
    <col min="10" max="10" width="10.5546875" customWidth="1"/>
    <col min="11" max="11" width="10.88671875" customWidth="1"/>
    <col min="12" max="12" width="12.109375" customWidth="1"/>
  </cols>
  <sheetData>
    <row r="2" spans="2:8" x14ac:dyDescent="0.3">
      <c r="B2" s="20" t="s">
        <v>32</v>
      </c>
      <c r="C2" s="20" t="s">
        <v>37</v>
      </c>
      <c r="D2" s="20"/>
      <c r="E2" s="20"/>
      <c r="F2" s="20"/>
      <c r="G2" s="20"/>
      <c r="H2" s="20"/>
    </row>
    <row r="3" spans="2:8" x14ac:dyDescent="0.3">
      <c r="B3" s="20"/>
      <c r="C3" s="20"/>
      <c r="D3" s="20"/>
      <c r="E3" s="20"/>
      <c r="F3" s="20"/>
      <c r="G3" s="20"/>
      <c r="H3" s="20"/>
    </row>
    <row r="4" spans="2:8" x14ac:dyDescent="0.3">
      <c r="B4" s="20" t="s">
        <v>33</v>
      </c>
      <c r="C4" s="21">
        <v>7755</v>
      </c>
      <c r="D4" s="20"/>
      <c r="E4" s="20"/>
      <c r="F4" s="20"/>
      <c r="G4" s="20"/>
      <c r="H4" s="20"/>
    </row>
    <row r="5" spans="2:8" x14ac:dyDescent="0.3">
      <c r="B5" s="20"/>
      <c r="C5" s="20"/>
      <c r="D5" s="20"/>
      <c r="E5" s="20"/>
      <c r="F5" s="20"/>
      <c r="G5" s="20"/>
      <c r="H5" s="20"/>
    </row>
    <row r="6" spans="2:8" x14ac:dyDescent="0.3">
      <c r="B6" s="20" t="s">
        <v>34</v>
      </c>
      <c r="C6" s="21">
        <v>10073</v>
      </c>
      <c r="D6" s="20"/>
      <c r="E6" s="20"/>
      <c r="F6" s="20"/>
      <c r="G6" s="20"/>
      <c r="H6" s="20"/>
    </row>
    <row r="7" spans="2:8" x14ac:dyDescent="0.3">
      <c r="B7" s="20"/>
      <c r="C7" s="20"/>
      <c r="D7" s="20"/>
      <c r="E7" s="20"/>
      <c r="F7" s="20"/>
      <c r="G7" s="20"/>
      <c r="H7" s="20"/>
    </row>
    <row r="8" spans="2:8" x14ac:dyDescent="0.3">
      <c r="B8" s="20" t="s">
        <v>35</v>
      </c>
      <c r="C8" s="20"/>
      <c r="D8" s="20" t="s">
        <v>36</v>
      </c>
      <c r="E8" s="20"/>
      <c r="F8" s="20"/>
      <c r="G8" s="20"/>
      <c r="H8" s="20"/>
    </row>
    <row r="10" spans="2:8" x14ac:dyDescent="0.3">
      <c r="B10" s="9" t="s">
        <v>19</v>
      </c>
      <c r="C10" s="9"/>
      <c r="D10" s="9"/>
      <c r="E10" s="9"/>
    </row>
    <row r="11" spans="2:8" x14ac:dyDescent="0.3">
      <c r="B11" s="9"/>
      <c r="C11" s="9"/>
      <c r="D11" s="9"/>
      <c r="E11" s="9"/>
    </row>
    <row r="12" spans="2:8" x14ac:dyDescent="0.3">
      <c r="B12" s="9" t="s">
        <v>18</v>
      </c>
      <c r="C12" s="9" t="s">
        <v>17</v>
      </c>
      <c r="D12" s="9"/>
      <c r="E12" s="9"/>
    </row>
    <row r="13" spans="2:8" x14ac:dyDescent="0.3">
      <c r="B13" s="9"/>
      <c r="C13" s="9"/>
      <c r="D13" s="9"/>
      <c r="E13" s="9"/>
    </row>
    <row r="14" spans="2:8" x14ac:dyDescent="0.3">
      <c r="B14" s="9" t="s">
        <v>20</v>
      </c>
      <c r="C14" s="9"/>
      <c r="D14" s="9" t="s">
        <v>21</v>
      </c>
      <c r="E14" s="9"/>
    </row>
    <row r="15" spans="2:8" ht="15" thickBot="1" x14ac:dyDescent="0.35"/>
    <row r="16" spans="2:8" ht="15" hidden="1" thickBot="1" x14ac:dyDescent="0.35"/>
    <row r="17" spans="2:12" x14ac:dyDescent="0.3">
      <c r="B17" s="152" t="s">
        <v>13</v>
      </c>
      <c r="C17" s="155" t="s">
        <v>14</v>
      </c>
      <c r="D17" s="155" t="s">
        <v>31</v>
      </c>
      <c r="E17" s="155" t="s">
        <v>15</v>
      </c>
      <c r="F17" s="155" t="s">
        <v>16</v>
      </c>
      <c r="G17" s="155" t="s">
        <v>30</v>
      </c>
      <c r="H17" s="155" t="s">
        <v>0</v>
      </c>
      <c r="I17" s="155" t="s">
        <v>1</v>
      </c>
      <c r="J17" s="155" t="s">
        <v>2</v>
      </c>
      <c r="K17" s="155" t="s">
        <v>3</v>
      </c>
      <c r="L17" s="155" t="s">
        <v>4</v>
      </c>
    </row>
    <row r="18" spans="2:12" x14ac:dyDescent="0.3">
      <c r="B18" s="153"/>
      <c r="C18" s="156"/>
      <c r="D18" s="156"/>
      <c r="E18" s="156"/>
      <c r="F18" s="156"/>
      <c r="G18" s="156"/>
      <c r="H18" s="156"/>
      <c r="I18" s="156"/>
      <c r="J18" s="156"/>
      <c r="K18" s="156"/>
      <c r="L18" s="156"/>
    </row>
    <row r="19" spans="2:12" ht="93" customHeight="1" x14ac:dyDescent="0.3">
      <c r="B19" s="154"/>
      <c r="C19" s="157"/>
      <c r="D19" s="157"/>
      <c r="E19" s="157"/>
      <c r="F19" s="157"/>
      <c r="G19" s="157"/>
      <c r="H19" s="157"/>
      <c r="I19" s="157"/>
      <c r="J19" s="157"/>
      <c r="K19" s="157"/>
      <c r="L19" s="157"/>
    </row>
    <row r="20" spans="2:12" x14ac:dyDescent="0.3">
      <c r="B20" s="2">
        <v>43709</v>
      </c>
      <c r="C20" s="10">
        <v>315.44900000000001</v>
      </c>
      <c r="D20" s="10">
        <v>315.44900000000001</v>
      </c>
      <c r="E20" s="10">
        <v>4149.5789999999997</v>
      </c>
      <c r="F20" s="17">
        <v>165.6</v>
      </c>
      <c r="G20" s="10">
        <f>332332/1000</f>
        <v>332.33199999999999</v>
      </c>
      <c r="H20" s="4">
        <v>0.93459999999999999</v>
      </c>
      <c r="I20" s="16">
        <f t="shared" ref="I20:I27" si="0">C20*H20</f>
        <v>294.81863540000001</v>
      </c>
      <c r="J20" s="1">
        <v>0</v>
      </c>
      <c r="K20" s="1">
        <v>0</v>
      </c>
      <c r="L20" s="1">
        <f t="shared" ref="L20:L27" si="1">ROUNDDOWN((I20-J20-K20),0)</f>
        <v>294</v>
      </c>
    </row>
    <row r="21" spans="2:12" x14ac:dyDescent="0.3">
      <c r="B21" s="2">
        <v>43739</v>
      </c>
      <c r="C21" s="10">
        <v>364.041</v>
      </c>
      <c r="D21" s="10">
        <v>364.041</v>
      </c>
      <c r="E21" s="10">
        <v>4725.1710000000003</v>
      </c>
      <c r="F21" s="17">
        <v>175.8</v>
      </c>
      <c r="G21" s="10">
        <f>384132/1000</f>
        <v>384.13200000000001</v>
      </c>
      <c r="H21" s="4">
        <v>0.93459999999999999</v>
      </c>
      <c r="I21" s="16">
        <f t="shared" si="0"/>
        <v>340.2327186</v>
      </c>
      <c r="J21" s="1">
        <v>0</v>
      </c>
      <c r="K21" s="1">
        <v>0</v>
      </c>
      <c r="L21" s="1">
        <f t="shared" si="1"/>
        <v>340</v>
      </c>
    </row>
    <row r="22" spans="2:12" x14ac:dyDescent="0.3">
      <c r="B22" s="2">
        <v>43770</v>
      </c>
      <c r="C22" s="10">
        <v>227.053</v>
      </c>
      <c r="D22" s="10">
        <v>227.053</v>
      </c>
      <c r="E22" s="10">
        <v>3574.2060000000001</v>
      </c>
      <c r="F22" s="17">
        <v>171.3</v>
      </c>
      <c r="G22" s="10">
        <f>239372/1000</f>
        <v>239.37200000000001</v>
      </c>
      <c r="H22" s="4">
        <v>0.93459999999999999</v>
      </c>
      <c r="I22" s="16">
        <f t="shared" si="0"/>
        <v>212.20373379999998</v>
      </c>
      <c r="J22" s="1">
        <v>0</v>
      </c>
      <c r="K22" s="1">
        <v>0</v>
      </c>
      <c r="L22" s="1">
        <f t="shared" si="1"/>
        <v>212</v>
      </c>
    </row>
    <row r="23" spans="2:12" x14ac:dyDescent="0.3">
      <c r="B23" s="2">
        <v>43800</v>
      </c>
      <c r="C23" s="10">
        <v>677.11199999999997</v>
      </c>
      <c r="D23" s="10">
        <v>677.11199999999997</v>
      </c>
      <c r="E23" s="10">
        <v>9642.4889999999996</v>
      </c>
      <c r="F23" s="17">
        <v>486</v>
      </c>
      <c r="G23" s="10">
        <f>714768/1000</f>
        <v>714.76800000000003</v>
      </c>
      <c r="H23" s="4">
        <v>0.93459999999999999</v>
      </c>
      <c r="I23" s="16">
        <f t="shared" si="0"/>
        <v>632.82887519999997</v>
      </c>
      <c r="J23" s="1">
        <v>0</v>
      </c>
      <c r="K23" s="1">
        <v>0</v>
      </c>
      <c r="L23" s="1">
        <f t="shared" si="1"/>
        <v>632</v>
      </c>
    </row>
    <row r="24" spans="2:12" x14ac:dyDescent="0.3">
      <c r="B24" s="2">
        <v>43831</v>
      </c>
      <c r="C24" s="10">
        <v>632.69299999999998</v>
      </c>
      <c r="D24" s="10">
        <v>632.69299999999998</v>
      </c>
      <c r="E24" s="10">
        <v>7712.6130000000003</v>
      </c>
      <c r="F24" s="17">
        <v>331.2</v>
      </c>
      <c r="G24" s="10">
        <f>654729/1000</f>
        <v>654.72900000000004</v>
      </c>
      <c r="H24" s="4">
        <v>0.93459999999999999</v>
      </c>
      <c r="I24" s="16">
        <f t="shared" si="0"/>
        <v>591.31487779999998</v>
      </c>
      <c r="J24" s="1">
        <v>0</v>
      </c>
      <c r="K24" s="1">
        <v>0</v>
      </c>
      <c r="L24" s="1">
        <f t="shared" si="1"/>
        <v>591</v>
      </c>
    </row>
    <row r="25" spans="2:12" x14ac:dyDescent="0.3">
      <c r="B25" s="2">
        <v>43862</v>
      </c>
      <c r="C25" s="10">
        <v>548.67600000000004</v>
      </c>
      <c r="D25" s="10">
        <v>548.67600000000004</v>
      </c>
      <c r="E25" s="10">
        <v>6622.0230000000001</v>
      </c>
      <c r="F25" s="17">
        <v>339</v>
      </c>
      <c r="G25" s="10">
        <f>570257/1000</f>
        <v>570.25699999999995</v>
      </c>
      <c r="H25" s="4">
        <v>0.93459999999999999</v>
      </c>
      <c r="I25" s="16">
        <f t="shared" si="0"/>
        <v>512.79258960000004</v>
      </c>
      <c r="J25" s="1">
        <v>0</v>
      </c>
      <c r="K25" s="1">
        <v>0</v>
      </c>
      <c r="L25" s="1">
        <f t="shared" si="1"/>
        <v>512</v>
      </c>
    </row>
    <row r="26" spans="2:12" x14ac:dyDescent="0.3">
      <c r="B26" s="2">
        <v>43891</v>
      </c>
      <c r="C26" s="10">
        <v>502.666</v>
      </c>
      <c r="D26" s="10">
        <v>502.666</v>
      </c>
      <c r="E26" s="10">
        <v>6333.27</v>
      </c>
      <c r="F26" s="17">
        <v>183.9</v>
      </c>
      <c r="G26" s="10">
        <f>523074/1000</f>
        <v>523.07399999999996</v>
      </c>
      <c r="H26" s="4">
        <v>0.93459999999999999</v>
      </c>
      <c r="I26" s="16">
        <f t="shared" si="0"/>
        <v>469.79164359999999</v>
      </c>
      <c r="J26" s="1">
        <v>0</v>
      </c>
      <c r="K26" s="1">
        <v>0</v>
      </c>
      <c r="L26" s="1">
        <f t="shared" si="1"/>
        <v>469</v>
      </c>
    </row>
    <row r="27" spans="2:12" x14ac:dyDescent="0.3">
      <c r="B27" s="2">
        <v>43922</v>
      </c>
      <c r="C27" s="10">
        <v>464.34300000000002</v>
      </c>
      <c r="D27" s="10">
        <v>464.34300000000002</v>
      </c>
      <c r="E27" s="10">
        <v>5814.8159999999998</v>
      </c>
      <c r="F27" s="17">
        <v>82.5</v>
      </c>
      <c r="G27" s="10">
        <f>482965/1000</f>
        <v>482.96499999999997</v>
      </c>
      <c r="H27" s="4">
        <v>0.93459999999999999</v>
      </c>
      <c r="I27" s="16">
        <f t="shared" si="0"/>
        <v>433.9749678</v>
      </c>
      <c r="J27" s="1">
        <v>0</v>
      </c>
      <c r="K27" s="1">
        <v>0</v>
      </c>
      <c r="L27" s="1">
        <f t="shared" si="1"/>
        <v>433</v>
      </c>
    </row>
    <row r="28" spans="2:12" x14ac:dyDescent="0.3">
      <c r="B28" s="2">
        <v>43952</v>
      </c>
      <c r="C28" s="10">
        <v>803.44200000000001</v>
      </c>
      <c r="D28" s="10">
        <v>803.44200000000001</v>
      </c>
      <c r="E28" s="10">
        <v>10102.287</v>
      </c>
      <c r="F28" s="17">
        <v>255.9</v>
      </c>
      <c r="G28" s="10">
        <f>830109/1000</f>
        <v>830.10900000000004</v>
      </c>
      <c r="H28" s="4">
        <v>0.93459999999999999</v>
      </c>
      <c r="I28" s="16">
        <f t="shared" ref="I28:I35" si="2">C28*H28</f>
        <v>750.89689320000002</v>
      </c>
      <c r="J28" s="1">
        <v>0</v>
      </c>
      <c r="K28" s="1">
        <v>0</v>
      </c>
      <c r="L28" s="1">
        <f t="shared" ref="L28:L34" si="3">ROUNDDOWN((I28-J28-K28),0)</f>
        <v>750</v>
      </c>
    </row>
    <row r="29" spans="2:12" x14ac:dyDescent="0.3">
      <c r="B29" s="2">
        <v>43983</v>
      </c>
      <c r="C29" s="10">
        <v>217.511</v>
      </c>
      <c r="D29" s="10">
        <v>217.511</v>
      </c>
      <c r="E29" s="10">
        <v>4930.8450000000003</v>
      </c>
      <c r="F29" s="17">
        <v>32.4</v>
      </c>
      <c r="G29" s="10">
        <f>227076/1000</f>
        <v>227.07599999999999</v>
      </c>
      <c r="H29" s="4">
        <v>0.93459999999999999</v>
      </c>
      <c r="I29" s="16">
        <f t="shared" si="2"/>
        <v>203.28578059999998</v>
      </c>
      <c r="J29" s="1">
        <v>0</v>
      </c>
      <c r="K29" s="1">
        <v>0</v>
      </c>
      <c r="L29" s="1">
        <f t="shared" si="3"/>
        <v>203</v>
      </c>
    </row>
    <row r="30" spans="2:12" x14ac:dyDescent="0.3">
      <c r="B30" s="2">
        <v>44013</v>
      </c>
      <c r="C30" s="17">
        <v>218.75</v>
      </c>
      <c r="D30" s="17">
        <v>218.75</v>
      </c>
      <c r="E30" s="10">
        <v>5902.9620000000004</v>
      </c>
      <c r="F30" s="17">
        <v>38.4</v>
      </c>
      <c r="G30" s="10">
        <f>227295/1000</f>
        <v>227.29499999999999</v>
      </c>
      <c r="H30" s="4">
        <v>0.93459999999999999</v>
      </c>
      <c r="I30" s="16">
        <f t="shared" si="2"/>
        <v>204.44374999999999</v>
      </c>
      <c r="J30" s="1">
        <v>0</v>
      </c>
      <c r="K30" s="1">
        <v>0</v>
      </c>
      <c r="L30" s="1">
        <f t="shared" si="3"/>
        <v>204</v>
      </c>
    </row>
    <row r="31" spans="2:12" x14ac:dyDescent="0.3">
      <c r="B31" s="2">
        <v>44044</v>
      </c>
      <c r="C31" s="10">
        <v>404.13499999999999</v>
      </c>
      <c r="D31" s="10">
        <v>404.13499999999999</v>
      </c>
      <c r="E31" s="10">
        <v>9949.2860000000001</v>
      </c>
      <c r="F31" s="17">
        <v>12.3</v>
      </c>
      <c r="G31" s="10">
        <f>717399/1000</f>
        <v>717.399</v>
      </c>
      <c r="H31" s="4">
        <v>0.93459999999999999</v>
      </c>
      <c r="I31" s="16">
        <f t="shared" si="2"/>
        <v>377.70457099999999</v>
      </c>
      <c r="J31" s="1">
        <v>0</v>
      </c>
      <c r="K31" s="1">
        <v>0</v>
      </c>
      <c r="L31" s="1">
        <f t="shared" si="3"/>
        <v>377</v>
      </c>
    </row>
    <row r="32" spans="2:12" x14ac:dyDescent="0.3">
      <c r="B32" s="2">
        <v>44075</v>
      </c>
      <c r="C32" s="10">
        <v>43.658999999999999</v>
      </c>
      <c r="D32" s="18">
        <v>43.658999999999999</v>
      </c>
      <c r="E32" s="10">
        <v>1582.3889999999999</v>
      </c>
      <c r="F32" s="17">
        <v>55.2</v>
      </c>
      <c r="G32" s="10">
        <f>47971/1000</f>
        <v>47.970999999999997</v>
      </c>
      <c r="H32" s="4">
        <v>0.93459999999999999</v>
      </c>
      <c r="I32" s="16">
        <f t="shared" si="2"/>
        <v>40.803701400000001</v>
      </c>
      <c r="J32" s="1">
        <v>0</v>
      </c>
      <c r="K32" s="1">
        <v>0</v>
      </c>
      <c r="L32" s="1">
        <f t="shared" si="3"/>
        <v>40</v>
      </c>
    </row>
    <row r="33" spans="2:12" x14ac:dyDescent="0.3">
      <c r="B33" s="2">
        <v>44105</v>
      </c>
      <c r="C33" s="10">
        <v>120.63200000000001</v>
      </c>
      <c r="D33" s="10">
        <v>120.63200000000001</v>
      </c>
      <c r="E33" s="10">
        <v>2600.694</v>
      </c>
      <c r="F33" s="17">
        <v>54.9</v>
      </c>
      <c r="G33" s="10">
        <f>128273/1000</f>
        <v>128.273</v>
      </c>
      <c r="H33" s="4">
        <v>0.93459999999999999</v>
      </c>
      <c r="I33" s="16">
        <f t="shared" si="2"/>
        <v>112.7426672</v>
      </c>
      <c r="J33" s="1">
        <v>0</v>
      </c>
      <c r="K33" s="1">
        <v>0</v>
      </c>
      <c r="L33" s="1">
        <f t="shared" si="3"/>
        <v>112</v>
      </c>
    </row>
    <row r="34" spans="2:12" x14ac:dyDescent="0.3">
      <c r="B34" s="2">
        <v>44136</v>
      </c>
      <c r="C34" s="10">
        <v>457.351</v>
      </c>
      <c r="D34" s="10">
        <v>457.351</v>
      </c>
      <c r="E34" s="10">
        <v>6063.3779999999997</v>
      </c>
      <c r="F34" s="17">
        <v>24</v>
      </c>
      <c r="G34" s="10">
        <f>474734/1000</f>
        <v>474.73399999999998</v>
      </c>
      <c r="H34" s="4">
        <v>0.93459999999999999</v>
      </c>
      <c r="I34" s="16">
        <f t="shared" si="2"/>
        <v>427.44024459999997</v>
      </c>
      <c r="J34" s="1">
        <v>0</v>
      </c>
      <c r="K34" s="1">
        <v>0</v>
      </c>
      <c r="L34" s="1">
        <f t="shared" si="3"/>
        <v>427</v>
      </c>
    </row>
    <row r="35" spans="2:12" x14ac:dyDescent="0.3">
      <c r="B35" s="2">
        <v>44166</v>
      </c>
      <c r="C35" s="10">
        <v>477.18900000000002</v>
      </c>
      <c r="D35" s="10">
        <v>477.18900000000002</v>
      </c>
      <c r="E35" s="10">
        <v>6396.0029999999997</v>
      </c>
      <c r="F35" s="17">
        <v>31.2</v>
      </c>
      <c r="G35" s="10">
        <f>494213/1000</f>
        <v>494.21300000000002</v>
      </c>
      <c r="H35" s="4">
        <v>0.93459999999999999</v>
      </c>
      <c r="I35" s="16">
        <f t="shared" si="2"/>
        <v>445.98083940000004</v>
      </c>
      <c r="J35" s="10">
        <v>0</v>
      </c>
      <c r="K35" s="10">
        <v>0</v>
      </c>
      <c r="L35" s="1">
        <f>ROUNDDOWN((I35-J35-K35),0)</f>
        <v>445</v>
      </c>
    </row>
    <row r="36" spans="2:12" x14ac:dyDescent="0.3">
      <c r="B36" s="11" t="s">
        <v>22</v>
      </c>
      <c r="C36" s="13">
        <f>SUM(C20:C35)</f>
        <v>6474.7020000000002</v>
      </c>
      <c r="D36" s="13">
        <f>SUM(D20:D35)</f>
        <v>6474.7020000000002</v>
      </c>
      <c r="E36" s="13">
        <f>SUM(E20:E35)</f>
        <v>96102.010999999984</v>
      </c>
      <c r="F36" s="13">
        <f>SUM(F20:F35)</f>
        <v>2439.6000000000004</v>
      </c>
      <c r="G36" s="13">
        <f>SUM(G20:G35)</f>
        <v>7048.6990000000005</v>
      </c>
      <c r="H36" s="11"/>
      <c r="I36" s="14">
        <f>SUM(I20:I35)</f>
        <v>6051.2564892000019</v>
      </c>
      <c r="J36" s="12">
        <f>SUM(J20:J35)</f>
        <v>0</v>
      </c>
      <c r="K36" s="12">
        <f>SUM(K20:K35)</f>
        <v>0</v>
      </c>
      <c r="L36" s="12">
        <f>SUM(L20:L35)</f>
        <v>6041</v>
      </c>
    </row>
  </sheetData>
  <mergeCells count="11">
    <mergeCell ref="K17:K19"/>
    <mergeCell ref="L17:L19"/>
    <mergeCell ref="E17:E19"/>
    <mergeCell ref="F17:F19"/>
    <mergeCell ref="G17:G19"/>
    <mergeCell ref="J17:J19"/>
    <mergeCell ref="B17:B19"/>
    <mergeCell ref="C17:C19"/>
    <mergeCell ref="D17:D19"/>
    <mergeCell ref="H17:H19"/>
    <mergeCell ref="I17:I1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36"/>
  <sheetViews>
    <sheetView topLeftCell="A15" workbookViewId="0">
      <selection activeCell="H37" sqref="H37"/>
    </sheetView>
  </sheetViews>
  <sheetFormatPr defaultRowHeight="14.4" x14ac:dyDescent="0.3"/>
  <cols>
    <col min="1" max="1" width="8.33203125" customWidth="1"/>
    <col min="2" max="2" width="12.6640625" customWidth="1"/>
    <col min="3" max="5" width="21.33203125" customWidth="1"/>
    <col min="6" max="9" width="14.88671875" customWidth="1"/>
    <col min="10" max="10" width="13" customWidth="1"/>
    <col min="11" max="11" width="11.109375" customWidth="1"/>
    <col min="12" max="12" width="10.5546875" customWidth="1"/>
    <col min="13" max="13" width="10.88671875" customWidth="1"/>
    <col min="14" max="14" width="12.109375" customWidth="1"/>
  </cols>
  <sheetData>
    <row r="2" spans="2:7" x14ac:dyDescent="0.3">
      <c r="B2" s="20" t="s">
        <v>32</v>
      </c>
      <c r="C2" s="20" t="s">
        <v>37</v>
      </c>
      <c r="D2" s="20"/>
      <c r="E2" s="20"/>
    </row>
    <row r="3" spans="2:7" x14ac:dyDescent="0.3">
      <c r="B3" s="20"/>
      <c r="C3" s="20"/>
      <c r="D3" s="20"/>
      <c r="E3" s="20"/>
    </row>
    <row r="4" spans="2:7" x14ac:dyDescent="0.3">
      <c r="B4" s="20" t="s">
        <v>33</v>
      </c>
      <c r="C4" s="21">
        <v>7755</v>
      </c>
      <c r="D4" s="20"/>
      <c r="E4" s="20"/>
    </row>
    <row r="5" spans="2:7" x14ac:dyDescent="0.3">
      <c r="B5" s="20"/>
      <c r="C5" s="20"/>
      <c r="D5" s="20"/>
      <c r="E5" s="20"/>
    </row>
    <row r="6" spans="2:7" x14ac:dyDescent="0.3">
      <c r="B6" s="20" t="s">
        <v>34</v>
      </c>
      <c r="C6" s="21">
        <v>10073</v>
      </c>
      <c r="D6" s="20"/>
      <c r="E6" s="20"/>
    </row>
    <row r="7" spans="2:7" x14ac:dyDescent="0.3">
      <c r="B7" s="20"/>
      <c r="C7" s="20"/>
      <c r="D7" s="20"/>
      <c r="E7" s="20"/>
    </row>
    <row r="8" spans="2:7" x14ac:dyDescent="0.3">
      <c r="B8" s="20" t="s">
        <v>35</v>
      </c>
      <c r="C8" s="20"/>
      <c r="D8" s="20" t="s">
        <v>36</v>
      </c>
      <c r="E8" s="20"/>
    </row>
    <row r="10" spans="2:7" x14ac:dyDescent="0.3">
      <c r="B10" s="9" t="s">
        <v>19</v>
      </c>
      <c r="C10" s="9"/>
      <c r="D10" s="9"/>
      <c r="E10" s="9"/>
      <c r="F10" s="9"/>
      <c r="G10" s="9"/>
    </row>
    <row r="11" spans="2:7" x14ac:dyDescent="0.3">
      <c r="B11" s="9"/>
      <c r="C11" s="9"/>
      <c r="D11" s="9"/>
      <c r="E11" s="9"/>
      <c r="F11" s="9"/>
      <c r="G11" s="9"/>
    </row>
    <row r="12" spans="2:7" x14ac:dyDescent="0.3">
      <c r="B12" s="9" t="s">
        <v>18</v>
      </c>
      <c r="C12" s="9" t="s">
        <v>23</v>
      </c>
      <c r="D12" s="9"/>
      <c r="E12" s="9"/>
      <c r="F12" s="9"/>
      <c r="G12" s="9"/>
    </row>
    <row r="13" spans="2:7" x14ac:dyDescent="0.3">
      <c r="B13" s="9"/>
      <c r="C13" s="9"/>
      <c r="D13" s="9"/>
      <c r="E13" s="9"/>
      <c r="F13" s="9"/>
      <c r="G13" s="9"/>
    </row>
    <row r="14" spans="2:7" x14ac:dyDescent="0.3">
      <c r="B14" s="9" t="s">
        <v>24</v>
      </c>
      <c r="C14" s="9"/>
      <c r="D14" s="9" t="s">
        <v>25</v>
      </c>
      <c r="E14" s="9"/>
      <c r="F14" s="9"/>
      <c r="G14" s="9"/>
    </row>
    <row r="15" spans="2:7" ht="15" thickBot="1" x14ac:dyDescent="0.35"/>
    <row r="16" spans="2:7" ht="15" hidden="1" thickBot="1" x14ac:dyDescent="0.35"/>
    <row r="17" spans="2:14" x14ac:dyDescent="0.3">
      <c r="B17" s="152" t="s">
        <v>13</v>
      </c>
      <c r="C17" s="155" t="s">
        <v>26</v>
      </c>
      <c r="D17" s="155" t="s">
        <v>27</v>
      </c>
      <c r="E17" s="155" t="s">
        <v>28</v>
      </c>
      <c r="F17" s="155" t="s">
        <v>31</v>
      </c>
      <c r="G17" s="155" t="s">
        <v>15</v>
      </c>
      <c r="H17" s="155" t="s">
        <v>16</v>
      </c>
      <c r="I17" s="155" t="s">
        <v>30</v>
      </c>
      <c r="J17" s="155" t="s">
        <v>0</v>
      </c>
      <c r="K17" s="155" t="s">
        <v>1</v>
      </c>
      <c r="L17" s="155" t="s">
        <v>2</v>
      </c>
      <c r="M17" s="155" t="s">
        <v>3</v>
      </c>
      <c r="N17" s="155" t="s">
        <v>4</v>
      </c>
    </row>
    <row r="18" spans="2:14" x14ac:dyDescent="0.3">
      <c r="B18" s="153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</row>
    <row r="19" spans="2:14" ht="93" customHeight="1" x14ac:dyDescent="0.3">
      <c r="B19" s="154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</row>
    <row r="20" spans="2:14" x14ac:dyDescent="0.3">
      <c r="B20" s="2">
        <v>43709</v>
      </c>
      <c r="C20" s="10">
        <v>504.154</v>
      </c>
      <c r="D20" s="10">
        <v>223.35300000000001</v>
      </c>
      <c r="E20" s="3">
        <f t="shared" ref="E20:E27" si="0">C20+D20</f>
        <v>727.50700000000006</v>
      </c>
      <c r="F20" s="10">
        <v>727.50699999999995</v>
      </c>
      <c r="G20" s="10">
        <v>3237.5520000000001</v>
      </c>
      <c r="H20" s="17">
        <v>63.3</v>
      </c>
      <c r="I20" s="10">
        <f>754054/1000</f>
        <v>754.05399999999997</v>
      </c>
      <c r="J20" s="4">
        <v>0.93459999999999999</v>
      </c>
      <c r="K20" s="5">
        <f t="shared" ref="K20:K27" si="1">E20*J20</f>
        <v>679.92804220000005</v>
      </c>
      <c r="L20" s="1">
        <v>0</v>
      </c>
      <c r="M20" s="1">
        <v>0</v>
      </c>
      <c r="N20" s="1">
        <f t="shared" ref="N20:N27" si="2">ROUNDDOWN((K20-L20-M20),0)</f>
        <v>679</v>
      </c>
    </row>
    <row r="21" spans="2:14" x14ac:dyDescent="0.3">
      <c r="B21" s="2">
        <v>43739</v>
      </c>
      <c r="C21" s="10">
        <v>605.53099999999995</v>
      </c>
      <c r="D21" s="10">
        <v>257.26799999999997</v>
      </c>
      <c r="E21" s="3">
        <f t="shared" si="0"/>
        <v>862.79899999999998</v>
      </c>
      <c r="F21" s="10">
        <v>862.79899999999998</v>
      </c>
      <c r="G21" s="10">
        <v>4085.6370000000002</v>
      </c>
      <c r="H21" s="17">
        <v>98.4</v>
      </c>
      <c r="I21" s="10">
        <f>895607/1000</f>
        <v>895.60699999999997</v>
      </c>
      <c r="J21" s="4">
        <v>0.93459999999999999</v>
      </c>
      <c r="K21" s="5">
        <f t="shared" si="1"/>
        <v>806.37194539999996</v>
      </c>
      <c r="L21" s="1">
        <v>0</v>
      </c>
      <c r="M21" s="1">
        <v>0</v>
      </c>
      <c r="N21" s="1">
        <f t="shared" si="2"/>
        <v>806</v>
      </c>
    </row>
    <row r="22" spans="2:14" x14ac:dyDescent="0.3">
      <c r="B22" s="2">
        <v>43770</v>
      </c>
      <c r="C22" s="10">
        <v>405.64699999999999</v>
      </c>
      <c r="D22" s="10">
        <v>204.369</v>
      </c>
      <c r="E22" s="3">
        <f t="shared" si="0"/>
        <v>610.01599999999996</v>
      </c>
      <c r="F22" s="10">
        <v>610.01599999999996</v>
      </c>
      <c r="G22" s="10">
        <v>2801.1210000000001</v>
      </c>
      <c r="H22" s="17">
        <v>20.7</v>
      </c>
      <c r="I22" s="10">
        <f>641601/1000</f>
        <v>641.601</v>
      </c>
      <c r="J22" s="4">
        <v>0.93459999999999999</v>
      </c>
      <c r="K22" s="5">
        <f t="shared" si="1"/>
        <v>570.12095360000001</v>
      </c>
      <c r="L22" s="1">
        <v>0</v>
      </c>
      <c r="M22" s="1">
        <v>0</v>
      </c>
      <c r="N22" s="1">
        <f t="shared" si="2"/>
        <v>570</v>
      </c>
    </row>
    <row r="23" spans="2:14" x14ac:dyDescent="0.3">
      <c r="B23" s="2">
        <v>43800</v>
      </c>
      <c r="C23" s="10">
        <v>1025.8050000000001</v>
      </c>
      <c r="D23" s="10">
        <v>487.94</v>
      </c>
      <c r="E23" s="3">
        <f t="shared" si="0"/>
        <v>1513.7450000000001</v>
      </c>
      <c r="F23" s="10">
        <v>1513.7449999999999</v>
      </c>
      <c r="G23" s="10">
        <v>7668.9870000000001</v>
      </c>
      <c r="H23" s="17">
        <v>198.6</v>
      </c>
      <c r="I23" s="10">
        <f>1555607/1000</f>
        <v>1555.607</v>
      </c>
      <c r="J23" s="4">
        <v>0.93459999999999999</v>
      </c>
      <c r="K23" s="5">
        <f t="shared" si="1"/>
        <v>1414.746077</v>
      </c>
      <c r="L23" s="1">
        <v>0</v>
      </c>
      <c r="M23" s="1">
        <v>0</v>
      </c>
      <c r="N23" s="1">
        <f t="shared" si="2"/>
        <v>1414</v>
      </c>
    </row>
    <row r="24" spans="2:14" x14ac:dyDescent="0.3">
      <c r="B24" s="2">
        <v>43831</v>
      </c>
      <c r="C24" s="10">
        <v>736.13900000000001</v>
      </c>
      <c r="D24" s="10">
        <v>449.15</v>
      </c>
      <c r="E24" s="3">
        <f t="shared" si="0"/>
        <v>1185.289</v>
      </c>
      <c r="F24" s="10">
        <v>1185.289</v>
      </c>
      <c r="G24" s="10">
        <v>6429.4769999999999</v>
      </c>
      <c r="H24" s="17">
        <v>182.1</v>
      </c>
      <c r="I24" s="10">
        <f>1217767/1000</f>
        <v>1217.7670000000001</v>
      </c>
      <c r="J24" s="4">
        <v>0.93459999999999999</v>
      </c>
      <c r="K24" s="5">
        <f t="shared" si="1"/>
        <v>1107.7710993999999</v>
      </c>
      <c r="L24" s="1">
        <v>0</v>
      </c>
      <c r="M24" s="1">
        <v>0</v>
      </c>
      <c r="N24" s="1">
        <f t="shared" si="2"/>
        <v>1107</v>
      </c>
    </row>
    <row r="25" spans="2:14" x14ac:dyDescent="0.3">
      <c r="B25" s="2">
        <v>43862</v>
      </c>
      <c r="C25" s="10">
        <v>935.18700000000001</v>
      </c>
      <c r="D25" s="10">
        <v>394.28699999999998</v>
      </c>
      <c r="E25" s="3">
        <f t="shared" si="0"/>
        <v>1329.4739999999999</v>
      </c>
      <c r="F25" s="10">
        <v>1329.4739999999999</v>
      </c>
      <c r="G25" s="10">
        <v>5943.165</v>
      </c>
      <c r="H25" s="17">
        <v>170.7</v>
      </c>
      <c r="I25" s="10">
        <f>1373261/1000</f>
        <v>1373.261</v>
      </c>
      <c r="J25" s="4">
        <v>0.93459999999999999</v>
      </c>
      <c r="K25" s="5">
        <f t="shared" si="1"/>
        <v>1242.5264003999998</v>
      </c>
      <c r="L25" s="1">
        <v>0</v>
      </c>
      <c r="M25" s="1">
        <v>0</v>
      </c>
      <c r="N25" s="1">
        <f t="shared" si="2"/>
        <v>1242</v>
      </c>
    </row>
    <row r="26" spans="2:14" x14ac:dyDescent="0.3">
      <c r="B26" s="2">
        <v>43891</v>
      </c>
      <c r="C26" s="10">
        <v>850.322</v>
      </c>
      <c r="D26" s="10">
        <v>367.01</v>
      </c>
      <c r="E26" s="3">
        <f t="shared" si="0"/>
        <v>1217.3319999999999</v>
      </c>
      <c r="F26" s="10">
        <v>1217.3320000000001</v>
      </c>
      <c r="G26" s="10">
        <v>5446.1639999999998</v>
      </c>
      <c r="H26" s="17">
        <v>98.4</v>
      </c>
      <c r="I26" s="10">
        <f>1255455/1000</f>
        <v>1255.4549999999999</v>
      </c>
      <c r="J26" s="4">
        <v>0.93459999999999999</v>
      </c>
      <c r="K26" s="5">
        <f t="shared" si="1"/>
        <v>1137.7184871999998</v>
      </c>
      <c r="L26" s="1">
        <v>0</v>
      </c>
      <c r="M26" s="1">
        <v>0</v>
      </c>
      <c r="N26" s="1">
        <f t="shared" si="2"/>
        <v>1137</v>
      </c>
    </row>
    <row r="27" spans="2:14" x14ac:dyDescent="0.3">
      <c r="B27" s="2">
        <v>43922</v>
      </c>
      <c r="C27" s="10">
        <v>902.49699999999996</v>
      </c>
      <c r="D27" s="10">
        <v>439.25900000000001</v>
      </c>
      <c r="E27" s="3">
        <f t="shared" si="0"/>
        <v>1341.7559999999999</v>
      </c>
      <c r="F27" s="10">
        <v>1341.7560000000001</v>
      </c>
      <c r="G27" s="10">
        <v>5330.1779999999999</v>
      </c>
      <c r="H27" s="17">
        <v>67.5</v>
      </c>
      <c r="I27" s="10">
        <f>1380076/1000</f>
        <v>1380.076</v>
      </c>
      <c r="J27" s="4">
        <v>0.93459999999999999</v>
      </c>
      <c r="K27" s="5">
        <f t="shared" si="1"/>
        <v>1254.0051575999998</v>
      </c>
      <c r="L27" s="1">
        <v>0</v>
      </c>
      <c r="M27" s="1">
        <v>0</v>
      </c>
      <c r="N27" s="1">
        <f t="shared" si="2"/>
        <v>1254</v>
      </c>
    </row>
    <row r="28" spans="2:14" x14ac:dyDescent="0.3">
      <c r="B28" s="2">
        <v>43952</v>
      </c>
      <c r="C28" s="10">
        <v>1297.6949999999999</v>
      </c>
      <c r="D28" s="10">
        <v>490.45</v>
      </c>
      <c r="E28" s="3">
        <f t="shared" ref="E28:E35" si="3">C28+D28</f>
        <v>1788.145</v>
      </c>
      <c r="F28" s="10">
        <v>1788.145</v>
      </c>
      <c r="G28" s="10">
        <v>7401.5720000000001</v>
      </c>
      <c r="H28" s="17">
        <v>138.6</v>
      </c>
      <c r="I28" s="10">
        <f>1838803/1000</f>
        <v>1838.8030000000001</v>
      </c>
      <c r="J28" s="4">
        <v>0.93459999999999999</v>
      </c>
      <c r="K28" s="5">
        <f t="shared" ref="K28:K35" si="4">E28*J28</f>
        <v>1671.200317</v>
      </c>
      <c r="L28" s="1">
        <v>0</v>
      </c>
      <c r="M28" s="1">
        <v>0</v>
      </c>
      <c r="N28" s="1">
        <f t="shared" ref="N28:N34" si="5">ROUNDDOWN((K28-L28-M28),0)</f>
        <v>1671</v>
      </c>
    </row>
    <row r="29" spans="2:14" x14ac:dyDescent="0.3">
      <c r="B29" s="2">
        <v>43983</v>
      </c>
      <c r="C29" s="10">
        <v>394.40199999999999</v>
      </c>
      <c r="D29" s="10">
        <v>205.81399999999999</v>
      </c>
      <c r="E29" s="3">
        <f t="shared" si="3"/>
        <v>600.21600000000001</v>
      </c>
      <c r="F29" s="10">
        <v>600.21600000000001</v>
      </c>
      <c r="G29" s="10">
        <v>3524.7150000000001</v>
      </c>
      <c r="H29" s="17">
        <v>9.6</v>
      </c>
      <c r="I29" s="10">
        <f>625986/1000</f>
        <v>625.98599999999999</v>
      </c>
      <c r="J29" s="4">
        <v>0.93459999999999999</v>
      </c>
      <c r="K29" s="5">
        <f t="shared" si="4"/>
        <v>560.96187359999999</v>
      </c>
      <c r="L29" s="1">
        <v>0</v>
      </c>
      <c r="M29" s="1">
        <v>0</v>
      </c>
      <c r="N29" s="1">
        <f t="shared" si="5"/>
        <v>560</v>
      </c>
    </row>
    <row r="30" spans="2:14" x14ac:dyDescent="0.3">
      <c r="B30" s="2">
        <v>44013</v>
      </c>
      <c r="C30" s="17">
        <v>641.32000000000005</v>
      </c>
      <c r="D30" s="10">
        <v>273.79399999999998</v>
      </c>
      <c r="E30" s="3">
        <f t="shared" si="3"/>
        <v>915.11400000000003</v>
      </c>
      <c r="F30" s="10">
        <v>915.11400000000003</v>
      </c>
      <c r="G30" s="10">
        <v>4052.5709999999999</v>
      </c>
      <c r="H30" s="17">
        <v>9</v>
      </c>
      <c r="I30" s="10">
        <f>951740/1000</f>
        <v>951.74</v>
      </c>
      <c r="J30" s="4">
        <v>0.93459999999999999</v>
      </c>
      <c r="K30" s="5">
        <f t="shared" si="4"/>
        <v>855.26554440000007</v>
      </c>
      <c r="L30" s="1">
        <v>0</v>
      </c>
      <c r="M30" s="1">
        <v>0</v>
      </c>
      <c r="N30" s="1">
        <f t="shared" si="5"/>
        <v>855</v>
      </c>
    </row>
    <row r="31" spans="2:14" x14ac:dyDescent="0.3">
      <c r="B31" s="2">
        <v>44044</v>
      </c>
      <c r="C31" s="10">
        <v>1155.2909999999999</v>
      </c>
      <c r="D31" s="10">
        <v>443.399</v>
      </c>
      <c r="E31" s="3">
        <f t="shared" si="3"/>
        <v>1598.69</v>
      </c>
      <c r="F31" s="10">
        <v>1598.69</v>
      </c>
      <c r="G31" s="10">
        <v>7189.7489999999998</v>
      </c>
      <c r="H31" s="17">
        <v>3.6</v>
      </c>
      <c r="I31" s="10">
        <f>1635321/1000</f>
        <v>1635.3209999999999</v>
      </c>
      <c r="J31" s="4">
        <v>0.93459999999999999</v>
      </c>
      <c r="K31" s="5">
        <f t="shared" si="4"/>
        <v>1494.1356740000001</v>
      </c>
      <c r="L31" s="1">
        <v>0</v>
      </c>
      <c r="M31" s="1">
        <v>0</v>
      </c>
      <c r="N31" s="1">
        <f t="shared" si="5"/>
        <v>1494</v>
      </c>
    </row>
    <row r="32" spans="2:14" x14ac:dyDescent="0.3">
      <c r="B32" s="2">
        <v>44075</v>
      </c>
      <c r="C32" s="10">
        <v>123.47499999999999</v>
      </c>
      <c r="D32" s="10">
        <v>67.441000000000003</v>
      </c>
      <c r="E32" s="3">
        <f t="shared" si="3"/>
        <v>190.916</v>
      </c>
      <c r="F32" s="10">
        <v>190.916</v>
      </c>
      <c r="G32" s="10">
        <v>1140.5250000000001</v>
      </c>
      <c r="H32" s="17">
        <v>15.9</v>
      </c>
      <c r="I32" s="10">
        <f>211906/1000</f>
        <v>211.90600000000001</v>
      </c>
      <c r="J32" s="4">
        <v>0.93459999999999999</v>
      </c>
      <c r="K32" s="5">
        <f t="shared" si="4"/>
        <v>178.43009359999999</v>
      </c>
      <c r="L32" s="1">
        <v>0</v>
      </c>
      <c r="M32" s="1">
        <v>0</v>
      </c>
      <c r="N32" s="1">
        <f t="shared" si="5"/>
        <v>178</v>
      </c>
    </row>
    <row r="33" spans="2:14" x14ac:dyDescent="0.3">
      <c r="B33" s="2">
        <v>44105</v>
      </c>
      <c r="C33" s="10">
        <v>364.82799999999997</v>
      </c>
      <c r="D33" s="10">
        <v>198.81899999999999</v>
      </c>
      <c r="E33" s="3">
        <f t="shared" si="3"/>
        <v>563.64699999999993</v>
      </c>
      <c r="F33" s="10">
        <v>563.64700000000005</v>
      </c>
      <c r="G33" s="10">
        <v>2366.797</v>
      </c>
      <c r="H33" s="17">
        <v>16.2</v>
      </c>
      <c r="I33" s="10">
        <f>609850/1000</f>
        <v>609.85</v>
      </c>
      <c r="J33" s="4">
        <v>0.93459999999999999</v>
      </c>
      <c r="K33" s="5">
        <f t="shared" si="4"/>
        <v>526.78448619999995</v>
      </c>
      <c r="L33" s="1">
        <v>0</v>
      </c>
      <c r="M33" s="1">
        <v>0</v>
      </c>
      <c r="N33" s="1">
        <f t="shared" si="5"/>
        <v>526</v>
      </c>
    </row>
    <row r="34" spans="2:14" x14ac:dyDescent="0.3">
      <c r="B34" s="2">
        <v>44136</v>
      </c>
      <c r="C34" s="10">
        <v>773.952</v>
      </c>
      <c r="D34" s="10">
        <v>312.04500000000002</v>
      </c>
      <c r="E34" s="3">
        <f t="shared" si="3"/>
        <v>1085.9970000000001</v>
      </c>
      <c r="F34" s="10">
        <v>1085.9970000000001</v>
      </c>
      <c r="G34" s="10">
        <v>5474.2150000000001</v>
      </c>
      <c r="H34" s="17">
        <v>8.1</v>
      </c>
      <c r="I34" s="10">
        <f>1131809/1000</f>
        <v>1131.809</v>
      </c>
      <c r="J34" s="4">
        <v>0.93459999999999999</v>
      </c>
      <c r="K34" s="5">
        <f t="shared" si="4"/>
        <v>1014.9727962000001</v>
      </c>
      <c r="L34" s="1">
        <v>0</v>
      </c>
      <c r="M34" s="1">
        <v>0</v>
      </c>
      <c r="N34" s="1">
        <f t="shared" si="5"/>
        <v>1014</v>
      </c>
    </row>
    <row r="35" spans="2:14" x14ac:dyDescent="0.3">
      <c r="B35" s="2">
        <v>44166</v>
      </c>
      <c r="C35" s="10">
        <v>799.875</v>
      </c>
      <c r="D35" s="10">
        <v>328.42500000000001</v>
      </c>
      <c r="E35" s="3">
        <f t="shared" si="3"/>
        <v>1128.3</v>
      </c>
      <c r="F35" s="17">
        <v>1128.3</v>
      </c>
      <c r="G35" s="17">
        <v>4777.71</v>
      </c>
      <c r="H35" s="17">
        <v>13.2</v>
      </c>
      <c r="I35" s="10">
        <f>1167246/1000</f>
        <v>1167.2460000000001</v>
      </c>
      <c r="J35" s="4">
        <v>0.93459999999999999</v>
      </c>
      <c r="K35" s="5">
        <f t="shared" si="4"/>
        <v>1054.50918</v>
      </c>
      <c r="L35" s="10">
        <v>0</v>
      </c>
      <c r="M35" s="10">
        <v>0</v>
      </c>
      <c r="N35" s="1">
        <f>ROUNDDOWN((K35-L35-M35),0)</f>
        <v>1054</v>
      </c>
    </row>
    <row r="36" spans="2:14" x14ac:dyDescent="0.3">
      <c r="B36" s="11" t="s">
        <v>22</v>
      </c>
      <c r="C36" s="13">
        <f t="shared" ref="C36:I36" si="6">SUM(C20:C35)</f>
        <v>11516.119999999999</v>
      </c>
      <c r="D36" s="13">
        <f t="shared" si="6"/>
        <v>5142.8230000000003</v>
      </c>
      <c r="E36" s="13">
        <f t="shared" si="6"/>
        <v>16658.942999999999</v>
      </c>
      <c r="F36" s="13">
        <f t="shared" si="6"/>
        <v>16658.942999999999</v>
      </c>
      <c r="G36" s="13">
        <f t="shared" si="6"/>
        <v>76870.134999999995</v>
      </c>
      <c r="H36" s="13">
        <f t="shared" si="6"/>
        <v>1113.8999999999999</v>
      </c>
      <c r="I36" s="13">
        <f t="shared" si="6"/>
        <v>17246.089</v>
      </c>
      <c r="J36" s="11"/>
      <c r="K36" s="14">
        <f>SUM(K20:K35)</f>
        <v>15569.448127799998</v>
      </c>
      <c r="L36" s="12">
        <f>SUM(L20:L35)</f>
        <v>0</v>
      </c>
      <c r="M36" s="12">
        <f>SUM(M20:M35)</f>
        <v>0</v>
      </c>
      <c r="N36" s="12">
        <f>SUM(N20:N35)</f>
        <v>15561</v>
      </c>
    </row>
  </sheetData>
  <mergeCells count="13">
    <mergeCell ref="L17:L19"/>
    <mergeCell ref="M17:M19"/>
    <mergeCell ref="N17:N19"/>
    <mergeCell ref="B17:B19"/>
    <mergeCell ref="C17:C19"/>
    <mergeCell ref="F17:F19"/>
    <mergeCell ref="J17:J19"/>
    <mergeCell ref="K17:K19"/>
    <mergeCell ref="G17:G19"/>
    <mergeCell ref="H17:H19"/>
    <mergeCell ref="I17:I19"/>
    <mergeCell ref="D17:D19"/>
    <mergeCell ref="E17:E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4"/>
  <sheetViews>
    <sheetView topLeftCell="A4" workbookViewId="0">
      <selection activeCell="I18" sqref="I18"/>
    </sheetView>
  </sheetViews>
  <sheetFormatPr defaultRowHeight="14.4" x14ac:dyDescent="0.3"/>
  <cols>
    <col min="1" max="1" width="3.5546875" customWidth="1"/>
    <col min="2" max="2" width="20.33203125" customWidth="1"/>
    <col min="3" max="3" width="9" customWidth="1"/>
    <col min="4" max="4" width="13.88671875" customWidth="1"/>
    <col min="5" max="5" width="20.6640625" customWidth="1"/>
    <col min="6" max="6" width="13.6640625" customWidth="1"/>
    <col min="7" max="7" width="10.6640625" customWidth="1"/>
    <col min="8" max="8" width="14" customWidth="1"/>
    <col min="9" max="9" width="19.88671875" customWidth="1"/>
    <col min="10" max="1023" width="9" customWidth="1"/>
  </cols>
  <sheetData>
    <row r="1" spans="2:9" ht="15" thickBot="1" x14ac:dyDescent="0.35"/>
    <row r="2" spans="2:9" ht="15.75" customHeight="1" thickTop="1" thickBot="1" x14ac:dyDescent="0.35">
      <c r="B2" s="164" t="s">
        <v>38</v>
      </c>
      <c r="C2" s="164"/>
      <c r="D2" s="164"/>
      <c r="E2" s="164"/>
      <c r="F2" s="164"/>
      <c r="G2" s="164"/>
      <c r="H2" s="164"/>
      <c r="I2" s="164"/>
    </row>
    <row r="3" spans="2:9" ht="15" customHeight="1" thickTop="1" x14ac:dyDescent="0.3">
      <c r="B3" s="98" t="s">
        <v>75</v>
      </c>
      <c r="C3" s="22"/>
      <c r="D3" s="99">
        <v>16</v>
      </c>
      <c r="E3" s="23"/>
      <c r="F3" s="23"/>
      <c r="G3" s="23"/>
      <c r="H3" s="23"/>
      <c r="I3" s="23"/>
    </row>
    <row r="4" spans="2:9" ht="15" customHeight="1" x14ac:dyDescent="0.3">
      <c r="B4" s="98" t="s">
        <v>40</v>
      </c>
      <c r="C4" s="22"/>
      <c r="D4" s="23" t="s">
        <v>104</v>
      </c>
      <c r="E4" s="23"/>
      <c r="F4" s="23"/>
      <c r="G4" s="23"/>
      <c r="H4" s="24"/>
      <c r="I4" s="24"/>
    </row>
    <row r="5" spans="2:9" ht="15" thickBot="1" x14ac:dyDescent="0.35">
      <c r="B5" s="100" t="s">
        <v>41</v>
      </c>
      <c r="C5" s="101"/>
      <c r="D5" s="165" t="s">
        <v>76</v>
      </c>
      <c r="E5" s="165"/>
      <c r="F5" s="165"/>
      <c r="G5" s="165"/>
      <c r="H5" s="165"/>
      <c r="I5" s="165"/>
    </row>
    <row r="6" spans="2:9" ht="15.75" customHeight="1" thickTop="1" thickBot="1" x14ac:dyDescent="0.35">
      <c r="B6" s="22"/>
      <c r="C6" s="22"/>
      <c r="D6" s="22"/>
      <c r="E6" s="22"/>
      <c r="F6" s="22"/>
      <c r="G6" s="22"/>
      <c r="H6" s="22"/>
      <c r="I6" s="22"/>
    </row>
    <row r="7" spans="2:9" ht="15.6" thickTop="1" thickBot="1" x14ac:dyDescent="0.35">
      <c r="B7" s="166" t="s">
        <v>77</v>
      </c>
      <c r="C7" s="166"/>
      <c r="D7" s="166"/>
      <c r="E7" s="166"/>
      <c r="F7" s="166"/>
      <c r="G7" s="166"/>
      <c r="H7" s="166"/>
      <c r="I7" s="166"/>
    </row>
    <row r="8" spans="2:9" ht="15.75" customHeight="1" thickTop="1" x14ac:dyDescent="0.3">
      <c r="B8" s="160"/>
      <c r="C8" s="160"/>
      <c r="D8" s="160"/>
      <c r="E8" s="160"/>
      <c r="F8" s="167" t="s">
        <v>47</v>
      </c>
      <c r="G8" s="167"/>
      <c r="H8" s="25" t="s">
        <v>48</v>
      </c>
      <c r="I8" s="26" t="s">
        <v>102</v>
      </c>
    </row>
    <row r="9" spans="2:9" ht="15.75" customHeight="1" thickBot="1" x14ac:dyDescent="0.35">
      <c r="B9" s="161" t="s">
        <v>78</v>
      </c>
      <c r="C9" s="161"/>
      <c r="D9" s="161"/>
      <c r="E9" s="161"/>
      <c r="F9" s="168">
        <f>'[1]CEA Database Results'!I33+'[1]CEA Database Results'!Q33</f>
        <v>960692.88193948974</v>
      </c>
      <c r="G9" s="168"/>
      <c r="H9" s="27">
        <f>'[1]CEA Database Results'!J33+'[1]CEA Database Results'!R33</f>
        <v>995956.5149627775</v>
      </c>
      <c r="I9" s="28">
        <f>'[1]CEA Database Results'!K33+'[1]CEA Database Results'!S33</f>
        <v>965009.19717101986</v>
      </c>
    </row>
    <row r="10" spans="2:9" ht="15.6" thickTop="1" thickBot="1" x14ac:dyDescent="0.35">
      <c r="B10" s="29"/>
      <c r="C10" s="29"/>
      <c r="D10" s="29"/>
      <c r="E10" s="29"/>
      <c r="F10" s="30"/>
      <c r="G10" s="30"/>
      <c r="H10" s="31"/>
      <c r="I10" s="31"/>
    </row>
    <row r="11" spans="2:9" ht="15.6" thickTop="1" thickBot="1" x14ac:dyDescent="0.35">
      <c r="B11" s="162" t="s">
        <v>79</v>
      </c>
      <c r="C11" s="162"/>
      <c r="D11" s="162"/>
      <c r="E11" s="162"/>
      <c r="F11" s="162"/>
      <c r="G11" s="162"/>
      <c r="H11" s="162"/>
      <c r="I11" s="162"/>
    </row>
    <row r="12" spans="2:9" ht="15.75" customHeight="1" thickTop="1" x14ac:dyDescent="0.3">
      <c r="B12" s="160"/>
      <c r="C12" s="160"/>
      <c r="D12" s="160"/>
      <c r="E12" s="160"/>
      <c r="F12" s="167" t="s">
        <v>47</v>
      </c>
      <c r="G12" s="167"/>
      <c r="H12" s="25" t="s">
        <v>48</v>
      </c>
      <c r="I12" s="26" t="s">
        <v>102</v>
      </c>
    </row>
    <row r="13" spans="2:9" ht="15.75" customHeight="1" thickBot="1" x14ac:dyDescent="0.35">
      <c r="B13" s="161" t="s">
        <v>78</v>
      </c>
      <c r="C13" s="161"/>
      <c r="D13" s="161"/>
      <c r="E13" s="161"/>
      <c r="F13" s="169">
        <f>'[1]CEA Database Results'!Q14</f>
        <v>0.95433977818005977</v>
      </c>
      <c r="G13" s="169"/>
      <c r="H13" s="55">
        <f>'[1]CEA Database Results'!R14</f>
        <v>0.96030998520797184</v>
      </c>
      <c r="I13" s="32">
        <f>'[1]CEA Database Results'!S14</f>
        <v>0.95554866735373067</v>
      </c>
    </row>
    <row r="14" spans="2:9" ht="15.6" thickTop="1" thickBot="1" x14ac:dyDescent="0.35">
      <c r="B14" s="29"/>
      <c r="C14" s="29"/>
      <c r="D14" s="29"/>
      <c r="E14" s="29"/>
      <c r="F14" s="30"/>
      <c r="G14" s="30"/>
      <c r="H14" s="31"/>
      <c r="I14" s="31"/>
    </row>
    <row r="15" spans="2:9" ht="15.6" thickTop="1" thickBot="1" x14ac:dyDescent="0.35">
      <c r="B15" s="162" t="s">
        <v>80</v>
      </c>
      <c r="C15" s="162"/>
      <c r="D15" s="162"/>
      <c r="E15" s="162"/>
      <c r="F15" s="162"/>
      <c r="G15" s="22"/>
      <c r="H15" s="22"/>
      <c r="I15" s="22"/>
    </row>
    <row r="16" spans="2:9" ht="15.75" customHeight="1" thickTop="1" x14ac:dyDescent="0.3">
      <c r="B16" s="160"/>
      <c r="C16" s="160"/>
      <c r="D16" s="160"/>
      <c r="E16" s="160"/>
      <c r="F16" s="26" t="s">
        <v>102</v>
      </c>
      <c r="G16" s="22"/>
      <c r="H16" s="22"/>
      <c r="I16" s="22"/>
    </row>
    <row r="17" spans="2:9" ht="15.75" customHeight="1" thickBot="1" x14ac:dyDescent="0.35">
      <c r="B17" s="161" t="s">
        <v>78</v>
      </c>
      <c r="C17" s="161"/>
      <c r="D17" s="161"/>
      <c r="E17" s="161"/>
      <c r="F17" s="32">
        <f>'[1]CEA Database Results'!S15</f>
        <v>0.86821088302740268</v>
      </c>
      <c r="G17" s="22"/>
      <c r="H17" s="22"/>
      <c r="I17" s="22"/>
    </row>
    <row r="18" spans="2:9" ht="15.6" thickTop="1" thickBot="1" x14ac:dyDescent="0.35">
      <c r="B18" s="22"/>
      <c r="C18" s="22"/>
      <c r="D18" s="22"/>
      <c r="E18" s="22"/>
      <c r="F18" s="22"/>
      <c r="G18" s="22"/>
      <c r="H18" s="22"/>
      <c r="I18" s="22"/>
    </row>
    <row r="19" spans="2:9" ht="15.6" thickTop="1" thickBot="1" x14ac:dyDescent="0.35">
      <c r="B19" s="162" t="s">
        <v>81</v>
      </c>
      <c r="C19" s="162"/>
      <c r="D19" s="162"/>
      <c r="E19" s="162"/>
      <c r="F19" s="162"/>
      <c r="G19" s="162"/>
      <c r="H19" s="162"/>
      <c r="I19" s="22"/>
    </row>
    <row r="20" spans="2:9" ht="16.5" customHeight="1" thickTop="1" thickBot="1" x14ac:dyDescent="0.35">
      <c r="B20" s="161" t="s">
        <v>78</v>
      </c>
      <c r="C20" s="161"/>
      <c r="D20" s="161"/>
      <c r="E20" s="161"/>
      <c r="F20" s="163">
        <f>(F13*F9+H13*H9+I13*I9)/SUM(F9:I9)</f>
        <v>0.95677423639174364</v>
      </c>
      <c r="G20" s="163"/>
      <c r="H20" s="163"/>
      <c r="I20" s="22"/>
    </row>
    <row r="21" spans="2:9" ht="15.6" thickTop="1" thickBot="1" x14ac:dyDescent="0.35">
      <c r="B21" s="22"/>
      <c r="C21" s="22"/>
      <c r="D21" s="22"/>
      <c r="E21" s="22"/>
      <c r="F21" s="22"/>
      <c r="G21" s="22"/>
      <c r="H21" s="22"/>
      <c r="I21" s="22"/>
    </row>
    <row r="22" spans="2:9" ht="15.6" thickTop="1" thickBot="1" x14ac:dyDescent="0.35">
      <c r="B22" s="162" t="s">
        <v>82</v>
      </c>
      <c r="C22" s="162"/>
      <c r="D22" s="162"/>
      <c r="E22" s="162"/>
      <c r="F22" s="162"/>
      <c r="G22" s="162"/>
      <c r="H22" s="162"/>
      <c r="I22" s="22"/>
    </row>
    <row r="23" spans="2:9" ht="15" thickTop="1" x14ac:dyDescent="0.3">
      <c r="B23" s="158" t="s">
        <v>78</v>
      </c>
      <c r="C23" s="158"/>
      <c r="D23" s="158"/>
      <c r="E23" s="158"/>
      <c r="F23" s="159">
        <f>ROUNDDOWN(0.75*F20+0.25*F17,4)</f>
        <v>0.93459999999999999</v>
      </c>
      <c r="G23" s="159"/>
      <c r="H23" s="159"/>
      <c r="I23" s="22"/>
    </row>
    <row r="24" spans="2:9" x14ac:dyDescent="0.3">
      <c r="B24" s="33" t="s">
        <v>83</v>
      </c>
      <c r="C24" s="102"/>
      <c r="D24" s="102"/>
      <c r="E24" s="102"/>
      <c r="F24" s="102"/>
      <c r="G24" s="104">
        <v>0.93459999999999999</v>
      </c>
      <c r="H24" s="103"/>
      <c r="I24" s="22"/>
    </row>
  </sheetData>
  <mergeCells count="21">
    <mergeCell ref="B15:F15"/>
    <mergeCell ref="B2:I2"/>
    <mergeCell ref="D5:I5"/>
    <mergeCell ref="B7:I7"/>
    <mergeCell ref="B8:E8"/>
    <mergeCell ref="F8:G8"/>
    <mergeCell ref="B9:E9"/>
    <mergeCell ref="F9:G9"/>
    <mergeCell ref="B11:I11"/>
    <mergeCell ref="B12:E12"/>
    <mergeCell ref="F12:G12"/>
    <mergeCell ref="B13:E13"/>
    <mergeCell ref="F13:G13"/>
    <mergeCell ref="B23:E23"/>
    <mergeCell ref="F23:H23"/>
    <mergeCell ref="B16:E16"/>
    <mergeCell ref="B17:E17"/>
    <mergeCell ref="B19:H19"/>
    <mergeCell ref="B20:E20"/>
    <mergeCell ref="F20:H20"/>
    <mergeCell ref="B22:H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19"/>
  <sheetViews>
    <sheetView topLeftCell="A7" workbookViewId="0">
      <selection activeCell="E23" sqref="E23"/>
    </sheetView>
  </sheetViews>
  <sheetFormatPr defaultRowHeight="14.4" x14ac:dyDescent="0.3"/>
  <cols>
    <col min="2" max="2" width="26.5546875" customWidth="1"/>
    <col min="3" max="3" width="22.88671875" customWidth="1"/>
    <col min="4" max="4" width="20" customWidth="1"/>
    <col min="5" max="5" width="19" customWidth="1"/>
    <col min="6" max="6" width="22.109375" customWidth="1"/>
    <col min="7" max="7" width="22.44140625" customWidth="1"/>
    <col min="258" max="258" width="34.44140625" customWidth="1"/>
    <col min="259" max="259" width="11.88671875" customWidth="1"/>
    <col min="260" max="260" width="12.33203125" customWidth="1"/>
    <col min="261" max="261" width="21.6640625" customWidth="1"/>
    <col min="262" max="262" width="22.109375" customWidth="1"/>
    <col min="263" max="263" width="12.33203125" customWidth="1"/>
    <col min="514" max="514" width="34.44140625" customWidth="1"/>
    <col min="515" max="515" width="11.88671875" customWidth="1"/>
    <col min="516" max="516" width="12.33203125" customWidth="1"/>
    <col min="517" max="517" width="21.6640625" customWidth="1"/>
    <col min="518" max="518" width="22.109375" customWidth="1"/>
    <col min="519" max="519" width="12.33203125" customWidth="1"/>
    <col min="770" max="770" width="34.44140625" customWidth="1"/>
    <col min="771" max="771" width="11.88671875" customWidth="1"/>
    <col min="772" max="772" width="12.33203125" customWidth="1"/>
    <col min="773" max="773" width="21.6640625" customWidth="1"/>
    <col min="774" max="774" width="22.109375" customWidth="1"/>
    <col min="775" max="775" width="12.33203125" customWidth="1"/>
    <col min="1026" max="1026" width="34.44140625" customWidth="1"/>
    <col min="1027" max="1027" width="11.88671875" customWidth="1"/>
    <col min="1028" max="1028" width="12.33203125" customWidth="1"/>
    <col min="1029" max="1029" width="21.6640625" customWidth="1"/>
    <col min="1030" max="1030" width="22.109375" customWidth="1"/>
    <col min="1031" max="1031" width="12.33203125" customWidth="1"/>
    <col min="1282" max="1282" width="34.44140625" customWidth="1"/>
    <col min="1283" max="1283" width="11.88671875" customWidth="1"/>
    <col min="1284" max="1284" width="12.33203125" customWidth="1"/>
    <col min="1285" max="1285" width="21.6640625" customWidth="1"/>
    <col min="1286" max="1286" width="22.109375" customWidth="1"/>
    <col min="1287" max="1287" width="12.33203125" customWidth="1"/>
    <col min="1538" max="1538" width="34.44140625" customWidth="1"/>
    <col min="1539" max="1539" width="11.88671875" customWidth="1"/>
    <col min="1540" max="1540" width="12.33203125" customWidth="1"/>
    <col min="1541" max="1541" width="21.6640625" customWidth="1"/>
    <col min="1542" max="1542" width="22.109375" customWidth="1"/>
    <col min="1543" max="1543" width="12.33203125" customWidth="1"/>
    <col min="1794" max="1794" width="34.44140625" customWidth="1"/>
    <col min="1795" max="1795" width="11.88671875" customWidth="1"/>
    <col min="1796" max="1796" width="12.33203125" customWidth="1"/>
    <col min="1797" max="1797" width="21.6640625" customWidth="1"/>
    <col min="1798" max="1798" width="22.109375" customWidth="1"/>
    <col min="1799" max="1799" width="12.33203125" customWidth="1"/>
    <col min="2050" max="2050" width="34.44140625" customWidth="1"/>
    <col min="2051" max="2051" width="11.88671875" customWidth="1"/>
    <col min="2052" max="2052" width="12.33203125" customWidth="1"/>
    <col min="2053" max="2053" width="21.6640625" customWidth="1"/>
    <col min="2054" max="2054" width="22.109375" customWidth="1"/>
    <col min="2055" max="2055" width="12.33203125" customWidth="1"/>
    <col min="2306" max="2306" width="34.44140625" customWidth="1"/>
    <col min="2307" max="2307" width="11.88671875" customWidth="1"/>
    <col min="2308" max="2308" width="12.33203125" customWidth="1"/>
    <col min="2309" max="2309" width="21.6640625" customWidth="1"/>
    <col min="2310" max="2310" width="22.109375" customWidth="1"/>
    <col min="2311" max="2311" width="12.33203125" customWidth="1"/>
    <col min="2562" max="2562" width="34.44140625" customWidth="1"/>
    <col min="2563" max="2563" width="11.88671875" customWidth="1"/>
    <col min="2564" max="2564" width="12.33203125" customWidth="1"/>
    <col min="2565" max="2565" width="21.6640625" customWidth="1"/>
    <col min="2566" max="2566" width="22.109375" customWidth="1"/>
    <col min="2567" max="2567" width="12.33203125" customWidth="1"/>
    <col min="2818" max="2818" width="34.44140625" customWidth="1"/>
    <col min="2819" max="2819" width="11.88671875" customWidth="1"/>
    <col min="2820" max="2820" width="12.33203125" customWidth="1"/>
    <col min="2821" max="2821" width="21.6640625" customWidth="1"/>
    <col min="2822" max="2822" width="22.109375" customWidth="1"/>
    <col min="2823" max="2823" width="12.33203125" customWidth="1"/>
    <col min="3074" max="3074" width="34.44140625" customWidth="1"/>
    <col min="3075" max="3075" width="11.88671875" customWidth="1"/>
    <col min="3076" max="3076" width="12.33203125" customWidth="1"/>
    <col min="3077" max="3077" width="21.6640625" customWidth="1"/>
    <col min="3078" max="3078" width="22.109375" customWidth="1"/>
    <col min="3079" max="3079" width="12.33203125" customWidth="1"/>
    <col min="3330" max="3330" width="34.44140625" customWidth="1"/>
    <col min="3331" max="3331" width="11.88671875" customWidth="1"/>
    <col min="3332" max="3332" width="12.33203125" customWidth="1"/>
    <col min="3333" max="3333" width="21.6640625" customWidth="1"/>
    <col min="3334" max="3334" width="22.109375" customWidth="1"/>
    <col min="3335" max="3335" width="12.33203125" customWidth="1"/>
    <col min="3586" max="3586" width="34.44140625" customWidth="1"/>
    <col min="3587" max="3587" width="11.88671875" customWidth="1"/>
    <col min="3588" max="3588" width="12.33203125" customWidth="1"/>
    <col min="3589" max="3589" width="21.6640625" customWidth="1"/>
    <col min="3590" max="3590" width="22.109375" customWidth="1"/>
    <col min="3591" max="3591" width="12.33203125" customWidth="1"/>
    <col min="3842" max="3842" width="34.44140625" customWidth="1"/>
    <col min="3843" max="3843" width="11.88671875" customWidth="1"/>
    <col min="3844" max="3844" width="12.33203125" customWidth="1"/>
    <col min="3845" max="3845" width="21.6640625" customWidth="1"/>
    <col min="3846" max="3846" width="22.109375" customWidth="1"/>
    <col min="3847" max="3847" width="12.33203125" customWidth="1"/>
    <col min="4098" max="4098" width="34.44140625" customWidth="1"/>
    <col min="4099" max="4099" width="11.88671875" customWidth="1"/>
    <col min="4100" max="4100" width="12.33203125" customWidth="1"/>
    <col min="4101" max="4101" width="21.6640625" customWidth="1"/>
    <col min="4102" max="4102" width="22.109375" customWidth="1"/>
    <col min="4103" max="4103" width="12.33203125" customWidth="1"/>
    <col min="4354" max="4354" width="34.44140625" customWidth="1"/>
    <col min="4355" max="4355" width="11.88671875" customWidth="1"/>
    <col min="4356" max="4356" width="12.33203125" customWidth="1"/>
    <col min="4357" max="4357" width="21.6640625" customWidth="1"/>
    <col min="4358" max="4358" width="22.109375" customWidth="1"/>
    <col min="4359" max="4359" width="12.33203125" customWidth="1"/>
    <col min="4610" max="4610" width="34.44140625" customWidth="1"/>
    <col min="4611" max="4611" width="11.88671875" customWidth="1"/>
    <col min="4612" max="4612" width="12.33203125" customWidth="1"/>
    <col min="4613" max="4613" width="21.6640625" customWidth="1"/>
    <col min="4614" max="4614" width="22.109375" customWidth="1"/>
    <col min="4615" max="4615" width="12.33203125" customWidth="1"/>
    <col min="4866" max="4866" width="34.44140625" customWidth="1"/>
    <col min="4867" max="4867" width="11.88671875" customWidth="1"/>
    <col min="4868" max="4868" width="12.33203125" customWidth="1"/>
    <col min="4869" max="4869" width="21.6640625" customWidth="1"/>
    <col min="4870" max="4870" width="22.109375" customWidth="1"/>
    <col min="4871" max="4871" width="12.33203125" customWidth="1"/>
    <col min="5122" max="5122" width="34.44140625" customWidth="1"/>
    <col min="5123" max="5123" width="11.88671875" customWidth="1"/>
    <col min="5124" max="5124" width="12.33203125" customWidth="1"/>
    <col min="5125" max="5125" width="21.6640625" customWidth="1"/>
    <col min="5126" max="5126" width="22.109375" customWidth="1"/>
    <col min="5127" max="5127" width="12.33203125" customWidth="1"/>
    <col min="5378" max="5378" width="34.44140625" customWidth="1"/>
    <col min="5379" max="5379" width="11.88671875" customWidth="1"/>
    <col min="5380" max="5380" width="12.33203125" customWidth="1"/>
    <col min="5381" max="5381" width="21.6640625" customWidth="1"/>
    <col min="5382" max="5382" width="22.109375" customWidth="1"/>
    <col min="5383" max="5383" width="12.33203125" customWidth="1"/>
    <col min="5634" max="5634" width="34.44140625" customWidth="1"/>
    <col min="5635" max="5635" width="11.88671875" customWidth="1"/>
    <col min="5636" max="5636" width="12.33203125" customWidth="1"/>
    <col min="5637" max="5637" width="21.6640625" customWidth="1"/>
    <col min="5638" max="5638" width="22.109375" customWidth="1"/>
    <col min="5639" max="5639" width="12.33203125" customWidth="1"/>
    <col min="5890" max="5890" width="34.44140625" customWidth="1"/>
    <col min="5891" max="5891" width="11.88671875" customWidth="1"/>
    <col min="5892" max="5892" width="12.33203125" customWidth="1"/>
    <col min="5893" max="5893" width="21.6640625" customWidth="1"/>
    <col min="5894" max="5894" width="22.109375" customWidth="1"/>
    <col min="5895" max="5895" width="12.33203125" customWidth="1"/>
    <col min="6146" max="6146" width="34.44140625" customWidth="1"/>
    <col min="6147" max="6147" width="11.88671875" customWidth="1"/>
    <col min="6148" max="6148" width="12.33203125" customWidth="1"/>
    <col min="6149" max="6149" width="21.6640625" customWidth="1"/>
    <col min="6150" max="6150" width="22.109375" customWidth="1"/>
    <col min="6151" max="6151" width="12.33203125" customWidth="1"/>
    <col min="6402" max="6402" width="34.44140625" customWidth="1"/>
    <col min="6403" max="6403" width="11.88671875" customWidth="1"/>
    <col min="6404" max="6404" width="12.33203125" customWidth="1"/>
    <col min="6405" max="6405" width="21.6640625" customWidth="1"/>
    <col min="6406" max="6406" width="22.109375" customWidth="1"/>
    <col min="6407" max="6407" width="12.33203125" customWidth="1"/>
    <col min="6658" max="6658" width="34.44140625" customWidth="1"/>
    <col min="6659" max="6659" width="11.88671875" customWidth="1"/>
    <col min="6660" max="6660" width="12.33203125" customWidth="1"/>
    <col min="6661" max="6661" width="21.6640625" customWidth="1"/>
    <col min="6662" max="6662" width="22.109375" customWidth="1"/>
    <col min="6663" max="6663" width="12.33203125" customWidth="1"/>
    <col min="6914" max="6914" width="34.44140625" customWidth="1"/>
    <col min="6915" max="6915" width="11.88671875" customWidth="1"/>
    <col min="6916" max="6916" width="12.33203125" customWidth="1"/>
    <col min="6917" max="6917" width="21.6640625" customWidth="1"/>
    <col min="6918" max="6918" width="22.109375" customWidth="1"/>
    <col min="6919" max="6919" width="12.33203125" customWidth="1"/>
    <col min="7170" max="7170" width="34.44140625" customWidth="1"/>
    <col min="7171" max="7171" width="11.88671875" customWidth="1"/>
    <col min="7172" max="7172" width="12.33203125" customWidth="1"/>
    <col min="7173" max="7173" width="21.6640625" customWidth="1"/>
    <col min="7174" max="7174" width="22.109375" customWidth="1"/>
    <col min="7175" max="7175" width="12.33203125" customWidth="1"/>
    <col min="7426" max="7426" width="34.44140625" customWidth="1"/>
    <col min="7427" max="7427" width="11.88671875" customWidth="1"/>
    <col min="7428" max="7428" width="12.33203125" customWidth="1"/>
    <col min="7429" max="7429" width="21.6640625" customWidth="1"/>
    <col min="7430" max="7430" width="22.109375" customWidth="1"/>
    <col min="7431" max="7431" width="12.33203125" customWidth="1"/>
    <col min="7682" max="7682" width="34.44140625" customWidth="1"/>
    <col min="7683" max="7683" width="11.88671875" customWidth="1"/>
    <col min="7684" max="7684" width="12.33203125" customWidth="1"/>
    <col min="7685" max="7685" width="21.6640625" customWidth="1"/>
    <col min="7686" max="7686" width="22.109375" customWidth="1"/>
    <col min="7687" max="7687" width="12.33203125" customWidth="1"/>
    <col min="7938" max="7938" width="34.44140625" customWidth="1"/>
    <col min="7939" max="7939" width="11.88671875" customWidth="1"/>
    <col min="7940" max="7940" width="12.33203125" customWidth="1"/>
    <col min="7941" max="7941" width="21.6640625" customWidth="1"/>
    <col min="7942" max="7942" width="22.109375" customWidth="1"/>
    <col min="7943" max="7943" width="12.33203125" customWidth="1"/>
    <col min="8194" max="8194" width="34.44140625" customWidth="1"/>
    <col min="8195" max="8195" width="11.88671875" customWidth="1"/>
    <col min="8196" max="8196" width="12.33203125" customWidth="1"/>
    <col min="8197" max="8197" width="21.6640625" customWidth="1"/>
    <col min="8198" max="8198" width="22.109375" customWidth="1"/>
    <col min="8199" max="8199" width="12.33203125" customWidth="1"/>
    <col min="8450" max="8450" width="34.44140625" customWidth="1"/>
    <col min="8451" max="8451" width="11.88671875" customWidth="1"/>
    <col min="8452" max="8452" width="12.33203125" customWidth="1"/>
    <col min="8453" max="8453" width="21.6640625" customWidth="1"/>
    <col min="8454" max="8454" width="22.109375" customWidth="1"/>
    <col min="8455" max="8455" width="12.33203125" customWidth="1"/>
    <col min="8706" max="8706" width="34.44140625" customWidth="1"/>
    <col min="8707" max="8707" width="11.88671875" customWidth="1"/>
    <col min="8708" max="8708" width="12.33203125" customWidth="1"/>
    <col min="8709" max="8709" width="21.6640625" customWidth="1"/>
    <col min="8710" max="8710" width="22.109375" customWidth="1"/>
    <col min="8711" max="8711" width="12.33203125" customWidth="1"/>
    <col min="8962" max="8962" width="34.44140625" customWidth="1"/>
    <col min="8963" max="8963" width="11.88671875" customWidth="1"/>
    <col min="8964" max="8964" width="12.33203125" customWidth="1"/>
    <col min="8965" max="8965" width="21.6640625" customWidth="1"/>
    <col min="8966" max="8966" width="22.109375" customWidth="1"/>
    <col min="8967" max="8967" width="12.33203125" customWidth="1"/>
    <col min="9218" max="9218" width="34.44140625" customWidth="1"/>
    <col min="9219" max="9219" width="11.88671875" customWidth="1"/>
    <col min="9220" max="9220" width="12.33203125" customWidth="1"/>
    <col min="9221" max="9221" width="21.6640625" customWidth="1"/>
    <col min="9222" max="9222" width="22.109375" customWidth="1"/>
    <col min="9223" max="9223" width="12.33203125" customWidth="1"/>
    <col min="9474" max="9474" width="34.44140625" customWidth="1"/>
    <col min="9475" max="9475" width="11.88671875" customWidth="1"/>
    <col min="9476" max="9476" width="12.33203125" customWidth="1"/>
    <col min="9477" max="9477" width="21.6640625" customWidth="1"/>
    <col min="9478" max="9478" width="22.109375" customWidth="1"/>
    <col min="9479" max="9479" width="12.33203125" customWidth="1"/>
    <col min="9730" max="9730" width="34.44140625" customWidth="1"/>
    <col min="9731" max="9731" width="11.88671875" customWidth="1"/>
    <col min="9732" max="9732" width="12.33203125" customWidth="1"/>
    <col min="9733" max="9733" width="21.6640625" customWidth="1"/>
    <col min="9734" max="9734" width="22.109375" customWidth="1"/>
    <col min="9735" max="9735" width="12.33203125" customWidth="1"/>
    <col min="9986" max="9986" width="34.44140625" customWidth="1"/>
    <col min="9987" max="9987" width="11.88671875" customWidth="1"/>
    <col min="9988" max="9988" width="12.33203125" customWidth="1"/>
    <col min="9989" max="9989" width="21.6640625" customWidth="1"/>
    <col min="9990" max="9990" width="22.109375" customWidth="1"/>
    <col min="9991" max="9991" width="12.33203125" customWidth="1"/>
    <col min="10242" max="10242" width="34.44140625" customWidth="1"/>
    <col min="10243" max="10243" width="11.88671875" customWidth="1"/>
    <col min="10244" max="10244" width="12.33203125" customWidth="1"/>
    <col min="10245" max="10245" width="21.6640625" customWidth="1"/>
    <col min="10246" max="10246" width="22.109375" customWidth="1"/>
    <col min="10247" max="10247" width="12.33203125" customWidth="1"/>
    <col min="10498" max="10498" width="34.44140625" customWidth="1"/>
    <col min="10499" max="10499" width="11.88671875" customWidth="1"/>
    <col min="10500" max="10500" width="12.33203125" customWidth="1"/>
    <col min="10501" max="10501" width="21.6640625" customWidth="1"/>
    <col min="10502" max="10502" width="22.109375" customWidth="1"/>
    <col min="10503" max="10503" width="12.33203125" customWidth="1"/>
    <col min="10754" max="10754" width="34.44140625" customWidth="1"/>
    <col min="10755" max="10755" width="11.88671875" customWidth="1"/>
    <col min="10756" max="10756" width="12.33203125" customWidth="1"/>
    <col min="10757" max="10757" width="21.6640625" customWidth="1"/>
    <col min="10758" max="10758" width="22.109375" customWidth="1"/>
    <col min="10759" max="10759" width="12.33203125" customWidth="1"/>
    <col min="11010" max="11010" width="34.44140625" customWidth="1"/>
    <col min="11011" max="11011" width="11.88671875" customWidth="1"/>
    <col min="11012" max="11012" width="12.33203125" customWidth="1"/>
    <col min="11013" max="11013" width="21.6640625" customWidth="1"/>
    <col min="11014" max="11014" width="22.109375" customWidth="1"/>
    <col min="11015" max="11015" width="12.33203125" customWidth="1"/>
    <col min="11266" max="11266" width="34.44140625" customWidth="1"/>
    <col min="11267" max="11267" width="11.88671875" customWidth="1"/>
    <col min="11268" max="11268" width="12.33203125" customWidth="1"/>
    <col min="11269" max="11269" width="21.6640625" customWidth="1"/>
    <col min="11270" max="11270" width="22.109375" customWidth="1"/>
    <col min="11271" max="11271" width="12.33203125" customWidth="1"/>
    <col min="11522" max="11522" width="34.44140625" customWidth="1"/>
    <col min="11523" max="11523" width="11.88671875" customWidth="1"/>
    <col min="11524" max="11524" width="12.33203125" customWidth="1"/>
    <col min="11525" max="11525" width="21.6640625" customWidth="1"/>
    <col min="11526" max="11526" width="22.109375" customWidth="1"/>
    <col min="11527" max="11527" width="12.33203125" customWidth="1"/>
    <col min="11778" max="11778" width="34.44140625" customWidth="1"/>
    <col min="11779" max="11779" width="11.88671875" customWidth="1"/>
    <col min="11780" max="11780" width="12.33203125" customWidth="1"/>
    <col min="11781" max="11781" width="21.6640625" customWidth="1"/>
    <col min="11782" max="11782" width="22.109375" customWidth="1"/>
    <col min="11783" max="11783" width="12.33203125" customWidth="1"/>
    <col min="12034" max="12034" width="34.44140625" customWidth="1"/>
    <col min="12035" max="12035" width="11.88671875" customWidth="1"/>
    <col min="12036" max="12036" width="12.33203125" customWidth="1"/>
    <col min="12037" max="12037" width="21.6640625" customWidth="1"/>
    <col min="12038" max="12038" width="22.109375" customWidth="1"/>
    <col min="12039" max="12039" width="12.33203125" customWidth="1"/>
    <col min="12290" max="12290" width="34.44140625" customWidth="1"/>
    <col min="12291" max="12291" width="11.88671875" customWidth="1"/>
    <col min="12292" max="12292" width="12.33203125" customWidth="1"/>
    <col min="12293" max="12293" width="21.6640625" customWidth="1"/>
    <col min="12294" max="12294" width="22.109375" customWidth="1"/>
    <col min="12295" max="12295" width="12.33203125" customWidth="1"/>
    <col min="12546" max="12546" width="34.44140625" customWidth="1"/>
    <col min="12547" max="12547" width="11.88671875" customWidth="1"/>
    <col min="12548" max="12548" width="12.33203125" customWidth="1"/>
    <col min="12549" max="12549" width="21.6640625" customWidth="1"/>
    <col min="12550" max="12550" width="22.109375" customWidth="1"/>
    <col min="12551" max="12551" width="12.33203125" customWidth="1"/>
    <col min="12802" max="12802" width="34.44140625" customWidth="1"/>
    <col min="12803" max="12803" width="11.88671875" customWidth="1"/>
    <col min="12804" max="12804" width="12.33203125" customWidth="1"/>
    <col min="12805" max="12805" width="21.6640625" customWidth="1"/>
    <col min="12806" max="12806" width="22.109375" customWidth="1"/>
    <col min="12807" max="12807" width="12.33203125" customWidth="1"/>
    <col min="13058" max="13058" width="34.44140625" customWidth="1"/>
    <col min="13059" max="13059" width="11.88671875" customWidth="1"/>
    <col min="13060" max="13060" width="12.33203125" customWidth="1"/>
    <col min="13061" max="13061" width="21.6640625" customWidth="1"/>
    <col min="13062" max="13062" width="22.109375" customWidth="1"/>
    <col min="13063" max="13063" width="12.33203125" customWidth="1"/>
    <col min="13314" max="13314" width="34.44140625" customWidth="1"/>
    <col min="13315" max="13315" width="11.88671875" customWidth="1"/>
    <col min="13316" max="13316" width="12.33203125" customWidth="1"/>
    <col min="13317" max="13317" width="21.6640625" customWidth="1"/>
    <col min="13318" max="13318" width="22.109375" customWidth="1"/>
    <col min="13319" max="13319" width="12.33203125" customWidth="1"/>
    <col min="13570" max="13570" width="34.44140625" customWidth="1"/>
    <col min="13571" max="13571" width="11.88671875" customWidth="1"/>
    <col min="13572" max="13572" width="12.33203125" customWidth="1"/>
    <col min="13573" max="13573" width="21.6640625" customWidth="1"/>
    <col min="13574" max="13574" width="22.109375" customWidth="1"/>
    <col min="13575" max="13575" width="12.33203125" customWidth="1"/>
    <col min="13826" max="13826" width="34.44140625" customWidth="1"/>
    <col min="13827" max="13827" width="11.88671875" customWidth="1"/>
    <col min="13828" max="13828" width="12.33203125" customWidth="1"/>
    <col min="13829" max="13829" width="21.6640625" customWidth="1"/>
    <col min="13830" max="13830" width="22.109375" customWidth="1"/>
    <col min="13831" max="13831" width="12.33203125" customWidth="1"/>
    <col min="14082" max="14082" width="34.44140625" customWidth="1"/>
    <col min="14083" max="14083" width="11.88671875" customWidth="1"/>
    <col min="14084" max="14084" width="12.33203125" customWidth="1"/>
    <col min="14085" max="14085" width="21.6640625" customWidth="1"/>
    <col min="14086" max="14086" width="22.109375" customWidth="1"/>
    <col min="14087" max="14087" width="12.33203125" customWidth="1"/>
    <col min="14338" max="14338" width="34.44140625" customWidth="1"/>
    <col min="14339" max="14339" width="11.88671875" customWidth="1"/>
    <col min="14340" max="14340" width="12.33203125" customWidth="1"/>
    <col min="14341" max="14341" width="21.6640625" customWidth="1"/>
    <col min="14342" max="14342" width="22.109375" customWidth="1"/>
    <col min="14343" max="14343" width="12.33203125" customWidth="1"/>
    <col min="14594" max="14594" width="34.44140625" customWidth="1"/>
    <col min="14595" max="14595" width="11.88671875" customWidth="1"/>
    <col min="14596" max="14596" width="12.33203125" customWidth="1"/>
    <col min="14597" max="14597" width="21.6640625" customWidth="1"/>
    <col min="14598" max="14598" width="22.109375" customWidth="1"/>
    <col min="14599" max="14599" width="12.33203125" customWidth="1"/>
    <col min="14850" max="14850" width="34.44140625" customWidth="1"/>
    <col min="14851" max="14851" width="11.88671875" customWidth="1"/>
    <col min="14852" max="14852" width="12.33203125" customWidth="1"/>
    <col min="14853" max="14853" width="21.6640625" customWidth="1"/>
    <col min="14854" max="14854" width="22.109375" customWidth="1"/>
    <col min="14855" max="14855" width="12.33203125" customWidth="1"/>
    <col min="15106" max="15106" width="34.44140625" customWidth="1"/>
    <col min="15107" max="15107" width="11.88671875" customWidth="1"/>
    <col min="15108" max="15108" width="12.33203125" customWidth="1"/>
    <col min="15109" max="15109" width="21.6640625" customWidth="1"/>
    <col min="15110" max="15110" width="22.109375" customWidth="1"/>
    <col min="15111" max="15111" width="12.33203125" customWidth="1"/>
    <col min="15362" max="15362" width="34.44140625" customWidth="1"/>
    <col min="15363" max="15363" width="11.88671875" customWidth="1"/>
    <col min="15364" max="15364" width="12.33203125" customWidth="1"/>
    <col min="15365" max="15365" width="21.6640625" customWidth="1"/>
    <col min="15366" max="15366" width="22.109375" customWidth="1"/>
    <col min="15367" max="15367" width="12.33203125" customWidth="1"/>
    <col min="15618" max="15618" width="34.44140625" customWidth="1"/>
    <col min="15619" max="15619" width="11.88671875" customWidth="1"/>
    <col min="15620" max="15620" width="12.33203125" customWidth="1"/>
    <col min="15621" max="15621" width="21.6640625" customWidth="1"/>
    <col min="15622" max="15622" width="22.109375" customWidth="1"/>
    <col min="15623" max="15623" width="12.33203125" customWidth="1"/>
    <col min="15874" max="15874" width="34.44140625" customWidth="1"/>
    <col min="15875" max="15875" width="11.88671875" customWidth="1"/>
    <col min="15876" max="15876" width="12.33203125" customWidth="1"/>
    <col min="15877" max="15877" width="21.6640625" customWidth="1"/>
    <col min="15878" max="15878" width="22.109375" customWidth="1"/>
    <col min="15879" max="15879" width="12.33203125" customWidth="1"/>
    <col min="16130" max="16130" width="34.44140625" customWidth="1"/>
    <col min="16131" max="16131" width="11.88671875" customWidth="1"/>
    <col min="16132" max="16132" width="12.33203125" customWidth="1"/>
    <col min="16133" max="16133" width="21.6640625" customWidth="1"/>
    <col min="16134" max="16134" width="22.109375" customWidth="1"/>
    <col min="16135" max="16135" width="12.33203125" customWidth="1"/>
  </cols>
  <sheetData>
    <row r="2" spans="2:7" x14ac:dyDescent="0.3">
      <c r="B2" s="9" t="s">
        <v>84</v>
      </c>
      <c r="C2" s="170" t="s">
        <v>85</v>
      </c>
      <c r="D2" s="170"/>
      <c r="E2" s="170"/>
      <c r="F2" s="170"/>
      <c r="G2" s="170"/>
    </row>
    <row r="3" spans="2:7" x14ac:dyDescent="0.3">
      <c r="B3" s="9" t="s">
        <v>86</v>
      </c>
      <c r="C3" s="34">
        <v>10073</v>
      </c>
      <c r="D3" s="35"/>
      <c r="E3" s="35"/>
      <c r="F3" s="35"/>
      <c r="G3" s="35"/>
    </row>
    <row r="4" spans="2:7" x14ac:dyDescent="0.3">
      <c r="B4" s="20" t="s">
        <v>87</v>
      </c>
      <c r="C4" s="36">
        <v>7755</v>
      </c>
    </row>
    <row r="6" spans="2:7" x14ac:dyDescent="0.3">
      <c r="B6" s="20" t="s">
        <v>88</v>
      </c>
    </row>
    <row r="7" spans="2:7" ht="28.2" x14ac:dyDescent="0.3">
      <c r="B7" s="37" t="s">
        <v>89</v>
      </c>
      <c r="C7" s="38" t="s">
        <v>83</v>
      </c>
      <c r="D7" s="38" t="s">
        <v>90</v>
      </c>
      <c r="E7" s="38" t="s">
        <v>2</v>
      </c>
      <c r="F7" s="38" t="s">
        <v>91</v>
      </c>
      <c r="G7" s="38" t="s">
        <v>92</v>
      </c>
    </row>
    <row r="8" spans="2:7" x14ac:dyDescent="0.3">
      <c r="B8" s="39">
        <v>22130</v>
      </c>
      <c r="C8" s="40">
        <f>'EF Calculation'!G24</f>
        <v>0.93459999999999999</v>
      </c>
      <c r="D8" s="41">
        <f>ROUNDDOWN(B8*C8,0)</f>
        <v>20682</v>
      </c>
      <c r="E8" s="40">
        <v>0</v>
      </c>
      <c r="F8" s="40">
        <v>0</v>
      </c>
      <c r="G8" s="42">
        <f>ROUNDDOWN(D8-E8-F8,5)</f>
        <v>20682</v>
      </c>
    </row>
    <row r="10" spans="2:7" ht="28.2" x14ac:dyDescent="0.3">
      <c r="B10" s="43" t="s">
        <v>93</v>
      </c>
      <c r="C10" s="44" t="s">
        <v>90</v>
      </c>
      <c r="D10" s="44" t="s">
        <v>2</v>
      </c>
      <c r="E10" s="44" t="s">
        <v>91</v>
      </c>
      <c r="F10" s="44" t="s">
        <v>92</v>
      </c>
    </row>
    <row r="11" spans="2:7" x14ac:dyDescent="0.3">
      <c r="B11" s="45" t="s">
        <v>105</v>
      </c>
      <c r="C11" s="46">
        <f t="shared" ref="C11:C15" si="0">$G$8</f>
        <v>20682</v>
      </c>
      <c r="D11" s="47">
        <f>$E$8</f>
        <v>0</v>
      </c>
      <c r="E11" s="47">
        <f>$F$8</f>
        <v>0</v>
      </c>
      <c r="F11" s="46">
        <f>$G$8</f>
        <v>20682</v>
      </c>
    </row>
    <row r="12" spans="2:7" x14ac:dyDescent="0.3">
      <c r="B12" s="45" t="s">
        <v>106</v>
      </c>
      <c r="C12" s="46">
        <f t="shared" si="0"/>
        <v>20682</v>
      </c>
      <c r="D12" s="45">
        <f t="shared" ref="D12:D15" si="1">$E$8</f>
        <v>0</v>
      </c>
      <c r="E12" s="45">
        <f t="shared" ref="E12:E15" si="2">$F$8</f>
        <v>0</v>
      </c>
      <c r="F12" s="48">
        <f t="shared" ref="F12:F15" si="3">$G$8</f>
        <v>20682</v>
      </c>
    </row>
    <row r="13" spans="2:7" x14ac:dyDescent="0.3">
      <c r="B13" s="45" t="s">
        <v>107</v>
      </c>
      <c r="C13" s="46">
        <f t="shared" si="0"/>
        <v>20682</v>
      </c>
      <c r="D13" s="45">
        <f t="shared" si="1"/>
        <v>0</v>
      </c>
      <c r="E13" s="45">
        <f t="shared" si="2"/>
        <v>0</v>
      </c>
      <c r="F13" s="48">
        <f t="shared" si="3"/>
        <v>20682</v>
      </c>
    </row>
    <row r="14" spans="2:7" x14ac:dyDescent="0.3">
      <c r="B14" s="45" t="s">
        <v>108</v>
      </c>
      <c r="C14" s="46">
        <f t="shared" si="0"/>
        <v>20682</v>
      </c>
      <c r="D14" s="45">
        <f t="shared" si="1"/>
        <v>0</v>
      </c>
      <c r="E14" s="45">
        <f t="shared" si="2"/>
        <v>0</v>
      </c>
      <c r="F14" s="48">
        <f t="shared" si="3"/>
        <v>20682</v>
      </c>
    </row>
    <row r="15" spans="2:7" x14ac:dyDescent="0.3">
      <c r="B15" s="45" t="s">
        <v>109</v>
      </c>
      <c r="C15" s="46">
        <f t="shared" si="0"/>
        <v>20682</v>
      </c>
      <c r="D15" s="45">
        <f t="shared" si="1"/>
        <v>0</v>
      </c>
      <c r="E15" s="45">
        <f t="shared" si="2"/>
        <v>0</v>
      </c>
      <c r="F15" s="48">
        <f t="shared" si="3"/>
        <v>20682</v>
      </c>
    </row>
    <row r="16" spans="2:7" x14ac:dyDescent="0.3">
      <c r="B16" s="45" t="s">
        <v>110</v>
      </c>
      <c r="C16" s="46">
        <f>(C15/365)*93</f>
        <v>5269.6602739726031</v>
      </c>
      <c r="D16" s="45">
        <v>0</v>
      </c>
      <c r="E16" s="45">
        <v>0</v>
      </c>
      <c r="F16" s="46">
        <f>(F15/365)*93</f>
        <v>5269.6602739726031</v>
      </c>
    </row>
    <row r="17" spans="2:6" x14ac:dyDescent="0.3">
      <c r="B17" s="49" t="s">
        <v>22</v>
      </c>
      <c r="C17" s="48">
        <f>SUM(C11:C16)</f>
        <v>108679.66027397261</v>
      </c>
      <c r="D17" s="45">
        <f>SUM(D11:D15)</f>
        <v>0</v>
      </c>
      <c r="E17" s="45">
        <f>SUM(E11:E15)</f>
        <v>0</v>
      </c>
      <c r="F17" s="48">
        <f>SUM(F11:F16)</f>
        <v>108679.66027397261</v>
      </c>
    </row>
    <row r="18" spans="2:6" ht="28.2" x14ac:dyDescent="0.3">
      <c r="B18" s="50" t="s">
        <v>94</v>
      </c>
      <c r="C18" s="171">
        <v>5.2546999999999997</v>
      </c>
      <c r="D18" s="172"/>
      <c r="E18" s="172"/>
      <c r="F18" s="173"/>
    </row>
    <row r="19" spans="2:6" ht="28.2" x14ac:dyDescent="0.3">
      <c r="B19" s="51" t="s">
        <v>95</v>
      </c>
      <c r="C19" s="52">
        <f>C17/C18</f>
        <v>20682.372023897198</v>
      </c>
      <c r="D19" s="40">
        <f>D17/7</f>
        <v>0</v>
      </c>
      <c r="E19" s="53">
        <f>E17/7</f>
        <v>0</v>
      </c>
      <c r="F19" s="42">
        <f>F17/C18</f>
        <v>20682.372023897198</v>
      </c>
    </row>
  </sheetData>
  <mergeCells count="2">
    <mergeCell ref="C2:G2"/>
    <mergeCell ref="C18:F18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X54"/>
  <sheetViews>
    <sheetView workbookViewId="0">
      <selection sqref="A1:XFD1048576"/>
    </sheetView>
  </sheetViews>
  <sheetFormatPr defaultColWidth="18.6640625" defaultRowHeight="10.199999999999999" x14ac:dyDescent="0.2"/>
  <cols>
    <col min="1" max="1" width="2.88671875" style="56" customWidth="1"/>
    <col min="2" max="2" width="12" style="56" customWidth="1"/>
    <col min="3" max="4" width="12.6640625" style="56" customWidth="1"/>
    <col min="5" max="5" width="14.6640625" style="56" customWidth="1"/>
    <col min="6" max="6" width="12.6640625" style="56" customWidth="1"/>
    <col min="7" max="12" width="10.6640625" style="57" customWidth="1"/>
    <col min="13" max="13" width="38.6640625" style="56" customWidth="1"/>
    <col min="14" max="19" width="10.6640625" style="56" customWidth="1"/>
    <col min="20" max="26" width="11.44140625" style="56" customWidth="1"/>
    <col min="27" max="16384" width="18.6640625" style="56"/>
  </cols>
  <sheetData>
    <row r="1" spans="3:19" x14ac:dyDescent="0.2">
      <c r="G1" s="56"/>
      <c r="M1" s="57"/>
    </row>
    <row r="2" spans="3:19" ht="12" x14ac:dyDescent="0.25">
      <c r="C2" s="58" t="s">
        <v>38</v>
      </c>
      <c r="D2" s="58"/>
      <c r="E2" s="58"/>
      <c r="F2" s="58"/>
      <c r="G2" s="58"/>
      <c r="H2" s="59"/>
      <c r="I2" s="59"/>
      <c r="J2" s="59"/>
      <c r="K2" s="59"/>
      <c r="L2" s="59"/>
      <c r="M2" s="59"/>
      <c r="N2" s="60"/>
      <c r="O2" s="61"/>
    </row>
    <row r="3" spans="3:19" ht="12" x14ac:dyDescent="0.25">
      <c r="C3" s="62"/>
      <c r="D3" s="62"/>
      <c r="E3" s="62"/>
      <c r="F3" s="62"/>
      <c r="G3" s="62"/>
      <c r="H3" s="63"/>
      <c r="I3" s="63"/>
      <c r="J3" s="63"/>
      <c r="K3" s="63"/>
      <c r="L3" s="63"/>
      <c r="M3" s="63"/>
      <c r="N3" s="64"/>
    </row>
    <row r="4" spans="3:19" ht="12" x14ac:dyDescent="0.25">
      <c r="C4" s="62" t="s">
        <v>39</v>
      </c>
      <c r="D4" s="62"/>
      <c r="E4" s="62"/>
      <c r="F4" s="62"/>
      <c r="G4" s="62"/>
      <c r="H4" s="65" t="s">
        <v>100</v>
      </c>
      <c r="I4" s="63"/>
      <c r="J4" s="63"/>
      <c r="K4" s="63"/>
      <c r="L4" s="63"/>
      <c r="M4" s="63"/>
      <c r="N4" s="64"/>
    </row>
    <row r="5" spans="3:19" ht="12" x14ac:dyDescent="0.25">
      <c r="C5" s="62" t="s">
        <v>40</v>
      </c>
      <c r="D5" s="62"/>
      <c r="E5" s="62"/>
      <c r="F5" s="62"/>
      <c r="G5" s="62"/>
      <c r="H5" s="66">
        <v>44274</v>
      </c>
      <c r="I5" s="63"/>
      <c r="J5" s="63"/>
      <c r="K5" s="63"/>
      <c r="L5" s="63"/>
      <c r="M5" s="63"/>
      <c r="N5" s="64"/>
    </row>
    <row r="6" spans="3:19" ht="12" x14ac:dyDescent="0.25">
      <c r="C6" s="62" t="s">
        <v>41</v>
      </c>
      <c r="D6" s="62"/>
      <c r="E6" s="62"/>
      <c r="F6" s="62"/>
      <c r="G6" s="62"/>
      <c r="H6" s="67" t="s">
        <v>101</v>
      </c>
      <c r="I6" s="63"/>
      <c r="J6" s="63"/>
      <c r="K6" s="63"/>
      <c r="L6" s="63"/>
      <c r="M6" s="63"/>
      <c r="N6" s="64"/>
    </row>
    <row r="7" spans="3:19" x14ac:dyDescent="0.2">
      <c r="C7" s="61"/>
      <c r="D7" s="61"/>
      <c r="E7" s="61"/>
      <c r="F7" s="61"/>
      <c r="G7" s="68"/>
      <c r="H7" s="68"/>
      <c r="I7" s="68"/>
      <c r="J7" s="68"/>
      <c r="K7" s="68"/>
      <c r="L7" s="68"/>
      <c r="M7" s="61"/>
    </row>
    <row r="9" spans="3:19" x14ac:dyDescent="0.2">
      <c r="C9" s="69" t="s">
        <v>42</v>
      </c>
      <c r="D9" s="69"/>
      <c r="E9" s="69"/>
      <c r="F9" s="69"/>
    </row>
    <row r="10" spans="3:19" x14ac:dyDescent="0.2">
      <c r="C10" s="69"/>
      <c r="D10" s="69"/>
      <c r="E10" s="69"/>
      <c r="F10" s="69"/>
    </row>
    <row r="11" spans="3:19" x14ac:dyDescent="0.2">
      <c r="C11" s="69"/>
      <c r="D11" s="69"/>
      <c r="E11" s="69"/>
      <c r="F11" s="69"/>
      <c r="G11" s="70"/>
      <c r="H11" s="70"/>
      <c r="I11" s="70"/>
      <c r="J11" s="70"/>
      <c r="K11" s="70"/>
      <c r="L11" s="70"/>
      <c r="N11" s="69"/>
    </row>
    <row r="12" spans="3:19" x14ac:dyDescent="0.2">
      <c r="C12" s="71" t="s">
        <v>43</v>
      </c>
      <c r="D12" s="71"/>
      <c r="E12" s="72"/>
      <c r="F12" s="73" t="s">
        <v>44</v>
      </c>
      <c r="G12" s="73" t="s">
        <v>45</v>
      </c>
      <c r="H12" s="73" t="s">
        <v>46</v>
      </c>
      <c r="I12" s="73" t="s">
        <v>47</v>
      </c>
      <c r="J12" s="73" t="s">
        <v>48</v>
      </c>
      <c r="K12" s="73" t="s">
        <v>102</v>
      </c>
      <c r="L12" s="56"/>
      <c r="M12" s="74" t="s">
        <v>49</v>
      </c>
      <c r="N12" s="75" t="s">
        <v>44</v>
      </c>
      <c r="O12" s="75" t="s">
        <v>45</v>
      </c>
      <c r="P12" s="75" t="s">
        <v>46</v>
      </c>
      <c r="Q12" s="75" t="s">
        <v>47</v>
      </c>
      <c r="R12" s="75" t="s">
        <v>48</v>
      </c>
      <c r="S12" s="75" t="s">
        <v>102</v>
      </c>
    </row>
    <row r="13" spans="3:19" x14ac:dyDescent="0.2">
      <c r="C13" s="76" t="s">
        <v>50</v>
      </c>
      <c r="D13" s="76"/>
      <c r="E13" s="76"/>
      <c r="F13" s="77">
        <v>0.82854943638243439</v>
      </c>
      <c r="G13" s="77">
        <v>0.82399042568219083</v>
      </c>
      <c r="H13" s="77">
        <v>0.82802824032951605</v>
      </c>
      <c r="I13" s="77">
        <v>0.82222656437685271</v>
      </c>
      <c r="J13" s="77">
        <v>0.82469276509800304</v>
      </c>
      <c r="K13" s="77">
        <v>0.7980795320951104</v>
      </c>
      <c r="L13" s="56"/>
      <c r="M13" s="76" t="s">
        <v>51</v>
      </c>
      <c r="N13" s="77">
        <v>0.82443000694150659</v>
      </c>
      <c r="O13" s="78">
        <v>0.82021530146035571</v>
      </c>
      <c r="P13" s="78">
        <v>0.82373306919105005</v>
      </c>
      <c r="Q13" s="78">
        <v>0.81813348691140686</v>
      </c>
      <c r="R13" s="78">
        <v>0.82140964395148064</v>
      </c>
      <c r="S13" s="78">
        <v>0.79377221785237173</v>
      </c>
    </row>
    <row r="14" spans="3:19" x14ac:dyDescent="0.2">
      <c r="C14" s="56" t="s">
        <v>52</v>
      </c>
      <c r="F14" s="78">
        <v>0.99624844544954871</v>
      </c>
      <c r="G14" s="78">
        <v>0.97076719476595708</v>
      </c>
      <c r="H14" s="78">
        <v>0.9695108415136956</v>
      </c>
      <c r="I14" s="78">
        <v>0.95991381146749966</v>
      </c>
      <c r="J14" s="78">
        <v>0.96480037284601006</v>
      </c>
      <c r="K14" s="78">
        <v>0.96179752970572396</v>
      </c>
      <c r="L14" s="56"/>
      <c r="M14" s="56" t="s">
        <v>53</v>
      </c>
      <c r="N14" s="78">
        <v>0.99029869547979954</v>
      </c>
      <c r="O14" s="78">
        <v>0.96553168995280036</v>
      </c>
      <c r="P14" s="79">
        <v>0.96362768016844036</v>
      </c>
      <c r="Q14" s="79">
        <v>0.95433977818005977</v>
      </c>
      <c r="R14" s="79">
        <v>0.96030998520797184</v>
      </c>
      <c r="S14" s="79">
        <v>0.95554866735373067</v>
      </c>
    </row>
    <row r="15" spans="3:19" x14ac:dyDescent="0.2">
      <c r="C15" s="56" t="s">
        <v>54</v>
      </c>
      <c r="F15" s="78">
        <v>0.92847104451610096</v>
      </c>
      <c r="G15" s="78">
        <v>0.90829510243747302</v>
      </c>
      <c r="H15" s="78">
        <v>0.87233471528596451</v>
      </c>
      <c r="I15" s="78">
        <v>0.86608856108773258</v>
      </c>
      <c r="J15" s="78">
        <v>0.8812261061429234</v>
      </c>
      <c r="K15" s="78">
        <v>0.86821088302740268</v>
      </c>
      <c r="L15" s="56"/>
      <c r="M15" s="56" t="s">
        <v>55</v>
      </c>
      <c r="N15" s="78">
        <v>0.92847104451610096</v>
      </c>
      <c r="O15" s="78">
        <v>0.90829510243747302</v>
      </c>
      <c r="P15" s="78">
        <v>0.87233471528596451</v>
      </c>
      <c r="Q15" s="78">
        <v>0.86608856108773258</v>
      </c>
      <c r="R15" s="78">
        <v>0.8812261061429234</v>
      </c>
      <c r="S15" s="79">
        <v>0.86821088302740268</v>
      </c>
    </row>
    <row r="16" spans="3:19" x14ac:dyDescent="0.2">
      <c r="C16" s="61" t="s">
        <v>56</v>
      </c>
      <c r="D16" s="61"/>
      <c r="E16" s="61"/>
      <c r="F16" s="80">
        <v>0.96235974498282484</v>
      </c>
      <c r="G16" s="80">
        <v>0.93953114860171505</v>
      </c>
      <c r="H16" s="80">
        <v>0.92092277839983006</v>
      </c>
      <c r="I16" s="80">
        <v>0.91300118627761617</v>
      </c>
      <c r="J16" s="80">
        <v>0.92301323949446679</v>
      </c>
      <c r="K16" s="80">
        <v>0.91500420636656332</v>
      </c>
      <c r="L16" s="81"/>
      <c r="M16" s="61" t="s">
        <v>57</v>
      </c>
      <c r="N16" s="80">
        <v>0.95938486999795025</v>
      </c>
      <c r="O16" s="80">
        <v>0.93691339619513669</v>
      </c>
      <c r="P16" s="80">
        <v>0.91798119772720244</v>
      </c>
      <c r="Q16" s="80">
        <v>0.91021416963389612</v>
      </c>
      <c r="R16" s="80">
        <v>0.92076804567544768</v>
      </c>
      <c r="S16" s="80">
        <v>0.91187977519056673</v>
      </c>
    </row>
    <row r="17" spans="3:24" x14ac:dyDescent="0.2">
      <c r="M17" s="81"/>
    </row>
    <row r="18" spans="3:24" x14ac:dyDescent="0.2">
      <c r="C18" s="56" t="s">
        <v>103</v>
      </c>
      <c r="M18" s="56" t="s">
        <v>103</v>
      </c>
    </row>
    <row r="19" spans="3:24" x14ac:dyDescent="0.2">
      <c r="C19" s="56" t="s">
        <v>58</v>
      </c>
      <c r="M19" s="56" t="s">
        <v>58</v>
      </c>
    </row>
    <row r="20" spans="3:24" x14ac:dyDescent="0.2">
      <c r="M20" s="56" t="s">
        <v>59</v>
      </c>
    </row>
    <row r="21" spans="3:24" x14ac:dyDescent="0.2">
      <c r="M21" s="56" t="s">
        <v>60</v>
      </c>
    </row>
    <row r="22" spans="3:24" x14ac:dyDescent="0.2">
      <c r="M22" s="56" t="s">
        <v>61</v>
      </c>
    </row>
    <row r="23" spans="3:24" x14ac:dyDescent="0.2">
      <c r="M23" s="81"/>
    </row>
    <row r="24" spans="3:24" x14ac:dyDescent="0.2">
      <c r="M24" s="81"/>
    </row>
    <row r="25" spans="3:24" x14ac:dyDescent="0.2">
      <c r="M25" s="81"/>
    </row>
    <row r="26" spans="3:24" x14ac:dyDescent="0.2">
      <c r="M26" s="81"/>
    </row>
    <row r="27" spans="3:24" x14ac:dyDescent="0.2">
      <c r="C27" s="69" t="s">
        <v>62</v>
      </c>
      <c r="D27" s="69"/>
      <c r="E27" s="69"/>
      <c r="F27" s="69"/>
      <c r="M27" s="69" t="s">
        <v>63</v>
      </c>
      <c r="N27" s="69"/>
    </row>
    <row r="29" spans="3:24" x14ac:dyDescent="0.2">
      <c r="C29" s="74"/>
      <c r="D29" s="74"/>
      <c r="E29" s="74"/>
      <c r="F29" s="73" t="s">
        <v>44</v>
      </c>
      <c r="G29" s="73" t="s">
        <v>45</v>
      </c>
      <c r="H29" s="73" t="s">
        <v>46</v>
      </c>
      <c r="I29" s="73" t="s">
        <v>47</v>
      </c>
      <c r="J29" s="73" t="s">
        <v>48</v>
      </c>
      <c r="K29" s="73" t="s">
        <v>102</v>
      </c>
      <c r="L29" s="56"/>
      <c r="M29" s="74"/>
      <c r="N29" s="75" t="s">
        <v>44</v>
      </c>
      <c r="O29" s="75" t="s">
        <v>45</v>
      </c>
      <c r="P29" s="75" t="s">
        <v>46</v>
      </c>
      <c r="Q29" s="75" t="s">
        <v>47</v>
      </c>
      <c r="R29" s="75" t="s">
        <v>48</v>
      </c>
      <c r="S29" s="75" t="s">
        <v>102</v>
      </c>
    </row>
    <row r="30" spans="3:24" x14ac:dyDescent="0.2">
      <c r="C30" s="76" t="s">
        <v>64</v>
      </c>
      <c r="D30" s="76"/>
      <c r="E30" s="76"/>
      <c r="F30" s="82">
        <v>1045451.7683547512</v>
      </c>
      <c r="G30" s="70">
        <v>1103173.9069200715</v>
      </c>
      <c r="H30" s="70">
        <v>1151479.3360299997</v>
      </c>
      <c r="I30" s="70">
        <v>1201876.6722930002</v>
      </c>
      <c r="J30" s="70">
        <v>1247574.7130910009</v>
      </c>
      <c r="K30" s="70">
        <v>1244852.6801227855</v>
      </c>
      <c r="L30" s="56"/>
      <c r="M30" s="76" t="s">
        <v>65</v>
      </c>
      <c r="N30" s="82">
        <v>805384471.32095146</v>
      </c>
      <c r="O30" s="70">
        <v>846261119.01273167</v>
      </c>
      <c r="P30" s="70">
        <v>888341293.66662931</v>
      </c>
      <c r="Q30" s="70">
        <v>922182365.95223224</v>
      </c>
      <c r="R30" s="70">
        <v>960899216.97450101</v>
      </c>
      <c r="S30" s="70">
        <v>928143461.98239076</v>
      </c>
      <c r="T30" s="70"/>
      <c r="U30" s="70"/>
      <c r="V30" s="70"/>
      <c r="W30" s="70"/>
      <c r="X30" s="70"/>
    </row>
    <row r="31" spans="3:24" x14ac:dyDescent="0.2">
      <c r="C31" s="56" t="s">
        <v>66</v>
      </c>
      <c r="F31" s="70">
        <v>972041.54146477429</v>
      </c>
      <c r="G31" s="70">
        <v>1027027.8544949144</v>
      </c>
      <c r="H31" s="70">
        <v>1072839.3675475507</v>
      </c>
      <c r="I31" s="70">
        <v>1121567.2247844897</v>
      </c>
      <c r="J31" s="70">
        <v>1165160.2362005822</v>
      </c>
      <c r="K31" s="70">
        <v>1162971.1384100253</v>
      </c>
      <c r="L31" s="56"/>
      <c r="M31" s="56" t="s">
        <v>67</v>
      </c>
      <c r="N31" s="70">
        <v>805384471.32095146</v>
      </c>
      <c r="O31" s="70">
        <v>846269450.01187623</v>
      </c>
      <c r="P31" s="70">
        <v>888341293.66662931</v>
      </c>
      <c r="Q31" s="70">
        <v>922182365.95223224</v>
      </c>
      <c r="R31" s="70">
        <v>960899216.97450054</v>
      </c>
      <c r="S31" s="70">
        <v>928143461.98239076</v>
      </c>
      <c r="T31" s="70"/>
      <c r="U31" s="70"/>
      <c r="V31" s="70"/>
      <c r="W31" s="70"/>
      <c r="X31" s="70"/>
    </row>
    <row r="32" spans="3:24" x14ac:dyDescent="0.2">
      <c r="C32" s="56" t="s">
        <v>68</v>
      </c>
      <c r="F32" s="83">
        <v>0.16833051015847922</v>
      </c>
      <c r="G32" s="83">
        <v>0.15118831592095716</v>
      </c>
      <c r="H32" s="83">
        <v>0.14593194333266357</v>
      </c>
      <c r="I32" s="83">
        <v>0.14343709346170685</v>
      </c>
      <c r="J32" s="83">
        <v>0.14521927197717754</v>
      </c>
      <c r="K32" s="83">
        <v>0.17022085475797133</v>
      </c>
      <c r="L32" s="56"/>
      <c r="M32" s="56" t="s">
        <v>69</v>
      </c>
      <c r="N32" s="70">
        <v>180808002.54158178</v>
      </c>
      <c r="O32" s="70">
        <v>186863158.80009577</v>
      </c>
      <c r="P32" s="70">
        <v>188456478.59852543</v>
      </c>
      <c r="Q32" s="70">
        <v>194301044.67870212</v>
      </c>
      <c r="R32" s="70">
        <v>205690708.30546987</v>
      </c>
      <c r="S32" s="70">
        <v>202665681.6012063</v>
      </c>
      <c r="T32" s="84"/>
      <c r="U32" s="84"/>
      <c r="V32" s="84"/>
      <c r="W32" s="84"/>
      <c r="X32" s="84"/>
    </row>
    <row r="33" spans="3:19" x14ac:dyDescent="0.2">
      <c r="C33" s="56" t="s">
        <v>70</v>
      </c>
      <c r="F33" s="70">
        <v>808417.29289477435</v>
      </c>
      <c r="G33" s="70">
        <v>871753.24276991445</v>
      </c>
      <c r="H33" s="70">
        <v>916277.83375755092</v>
      </c>
      <c r="I33" s="70">
        <v>960692.88193948974</v>
      </c>
      <c r="J33" s="70">
        <v>995956.5149627775</v>
      </c>
      <c r="K33" s="70">
        <v>965009.19717101986</v>
      </c>
      <c r="L33" s="56"/>
      <c r="M33" s="56" t="s">
        <v>71</v>
      </c>
      <c r="N33" s="70">
        <v>1594</v>
      </c>
      <c r="O33" s="85">
        <v>0</v>
      </c>
      <c r="P33" s="85">
        <v>0</v>
      </c>
      <c r="Q33" s="85">
        <v>0</v>
      </c>
      <c r="R33" s="85">
        <v>0</v>
      </c>
      <c r="S33" s="85">
        <v>0</v>
      </c>
    </row>
    <row r="34" spans="3:19" x14ac:dyDescent="0.2">
      <c r="C34" s="56" t="s">
        <v>72</v>
      </c>
      <c r="F34" s="70">
        <v>194408.30829295487</v>
      </c>
      <c r="G34" s="70">
        <v>205405.5708989829</v>
      </c>
      <c r="H34" s="70">
        <v>214567.87350951016</v>
      </c>
      <c r="I34" s="70">
        <v>224313.44495689796</v>
      </c>
      <c r="J34" s="70">
        <v>233032.04724011646</v>
      </c>
      <c r="K34" s="70">
        <v>232594.22768200506</v>
      </c>
      <c r="L34" s="56"/>
      <c r="M34" s="61" t="s">
        <v>73</v>
      </c>
      <c r="N34" s="86">
        <v>1.6398476114487797E-3</v>
      </c>
      <c r="O34" s="86">
        <v>0</v>
      </c>
      <c r="P34" s="86">
        <v>0</v>
      </c>
      <c r="Q34" s="86">
        <v>0</v>
      </c>
      <c r="R34" s="86">
        <v>0</v>
      </c>
      <c r="S34" s="86">
        <v>0</v>
      </c>
    </row>
    <row r="35" spans="3:19" x14ac:dyDescent="0.2">
      <c r="C35" s="61" t="s">
        <v>74</v>
      </c>
      <c r="D35" s="61"/>
      <c r="E35" s="61"/>
      <c r="F35" s="87">
        <v>194737.36268837011</v>
      </c>
      <c r="G35" s="87">
        <v>205729.56773479842</v>
      </c>
      <c r="H35" s="87">
        <v>216036.88962068481</v>
      </c>
      <c r="I35" s="87">
        <v>224343.16005129632</v>
      </c>
      <c r="J35" s="87">
        <v>233414.22464861648</v>
      </c>
      <c r="K35" s="87">
        <v>233429.09604464116</v>
      </c>
      <c r="L35" s="56"/>
    </row>
    <row r="36" spans="3:19" x14ac:dyDescent="0.2">
      <c r="G36" s="56"/>
      <c r="H36" s="56"/>
      <c r="I36" s="56"/>
      <c r="J36" s="56"/>
      <c r="K36" s="56"/>
      <c r="L36" s="56"/>
    </row>
    <row r="37" spans="3:19" x14ac:dyDescent="0.2">
      <c r="C37" s="70"/>
      <c r="D37" s="70"/>
      <c r="E37" s="70"/>
      <c r="F37" s="70"/>
      <c r="G37" s="70"/>
      <c r="H37" s="70"/>
      <c r="I37" s="70"/>
      <c r="J37" s="70"/>
      <c r="K37" s="70"/>
      <c r="L37" s="70"/>
    </row>
    <row r="38" spans="3:19" x14ac:dyDescent="0.2">
      <c r="C38" s="70"/>
      <c r="D38" s="70"/>
      <c r="E38" s="70"/>
      <c r="F38" s="70"/>
      <c r="G38" s="70"/>
      <c r="H38" s="70"/>
      <c r="I38" s="70"/>
      <c r="J38" s="70"/>
      <c r="K38" s="70"/>
      <c r="L38" s="70"/>
    </row>
    <row r="39" spans="3:19" x14ac:dyDescent="0.2">
      <c r="C39" s="57"/>
      <c r="D39" s="57"/>
      <c r="E39" s="57"/>
      <c r="F39" s="57"/>
    </row>
    <row r="40" spans="3:19" ht="13.2" x14ac:dyDescent="0.25">
      <c r="C40" s="88"/>
      <c r="D40" s="88"/>
      <c r="E40" s="88"/>
      <c r="F40" s="88"/>
      <c r="G40" s="56"/>
      <c r="H40" s="56"/>
      <c r="I40" s="56"/>
      <c r="J40" s="56"/>
      <c r="K40" s="56"/>
      <c r="L40" s="56"/>
    </row>
    <row r="41" spans="3:19" x14ac:dyDescent="0.2">
      <c r="G41" s="56"/>
      <c r="H41" s="56"/>
      <c r="I41" s="56"/>
      <c r="J41" s="56"/>
      <c r="K41" s="56"/>
      <c r="L41" s="56"/>
    </row>
    <row r="42" spans="3:19" ht="10.35" customHeight="1" x14ac:dyDescent="0.2">
      <c r="C42" s="69"/>
      <c r="D42" s="69"/>
      <c r="E42" s="69"/>
      <c r="F42" s="69"/>
      <c r="I42" s="56"/>
      <c r="J42" s="56"/>
      <c r="K42" s="56"/>
      <c r="L42" s="56"/>
    </row>
    <row r="43" spans="3:19" x14ac:dyDescent="0.2">
      <c r="C43" s="69"/>
      <c r="D43" s="57"/>
      <c r="E43" s="57"/>
      <c r="F43" s="57"/>
      <c r="I43" s="56"/>
      <c r="J43" s="56"/>
      <c r="K43" s="56"/>
      <c r="L43" s="56"/>
    </row>
    <row r="44" spans="3:19" x14ac:dyDescent="0.2">
      <c r="C44" s="89"/>
      <c r="D44" s="89"/>
      <c r="E44" s="89"/>
      <c r="F44" s="89"/>
      <c r="H44" s="56"/>
      <c r="I44" s="56"/>
      <c r="J44" s="56"/>
      <c r="K44" s="56"/>
      <c r="L44" s="56"/>
    </row>
    <row r="45" spans="3:19" ht="12.9" customHeight="1" x14ac:dyDescent="0.2">
      <c r="C45" s="89"/>
      <c r="D45" s="89"/>
      <c r="E45" s="89"/>
      <c r="F45" s="90"/>
      <c r="H45" s="56"/>
      <c r="I45" s="56"/>
      <c r="J45" s="56"/>
      <c r="K45" s="56"/>
      <c r="L45" s="56"/>
    </row>
    <row r="46" spans="3:19" ht="12.9" customHeight="1" x14ac:dyDescent="0.2">
      <c r="D46" s="57"/>
      <c r="E46" s="57"/>
      <c r="F46" s="57"/>
      <c r="I46" s="56"/>
      <c r="J46" s="56"/>
      <c r="K46" s="56"/>
      <c r="L46" s="56"/>
    </row>
    <row r="47" spans="3:19" ht="12.9" customHeight="1" x14ac:dyDescent="0.2">
      <c r="C47" s="69"/>
      <c r="D47" s="57"/>
      <c r="E47" s="57"/>
      <c r="F47" s="57"/>
      <c r="I47" s="56"/>
      <c r="J47" s="56"/>
      <c r="K47" s="56"/>
      <c r="L47" s="56"/>
    </row>
    <row r="48" spans="3:19" ht="12.9" customHeight="1" x14ac:dyDescent="0.2">
      <c r="C48" s="91"/>
      <c r="D48" s="92"/>
      <c r="E48" s="92"/>
      <c r="F48" s="92"/>
      <c r="I48" s="56"/>
      <c r="J48" s="56"/>
      <c r="K48" s="56"/>
      <c r="L48" s="56"/>
    </row>
    <row r="49" spans="3:13" ht="12.9" customHeight="1" x14ac:dyDescent="0.2">
      <c r="C49" s="93"/>
      <c r="D49" s="94"/>
      <c r="E49" s="94"/>
      <c r="F49" s="94"/>
      <c r="I49" s="95"/>
      <c r="J49" s="95"/>
      <c r="K49" s="95"/>
      <c r="L49" s="95"/>
    </row>
    <row r="50" spans="3:13" ht="12.9" customHeight="1" x14ac:dyDescent="0.2">
      <c r="C50" s="93"/>
      <c r="D50" s="94"/>
      <c r="E50" s="96"/>
      <c r="F50" s="96"/>
      <c r="I50" s="56"/>
      <c r="J50" s="56"/>
      <c r="K50" s="56"/>
      <c r="L50" s="56"/>
    </row>
    <row r="51" spans="3:13" ht="12.9" customHeight="1" x14ac:dyDescent="0.2">
      <c r="C51" s="69"/>
      <c r="D51" s="94"/>
      <c r="E51" s="97"/>
      <c r="F51" s="97"/>
      <c r="I51" s="56"/>
      <c r="J51" s="56"/>
      <c r="K51" s="56"/>
      <c r="L51" s="56"/>
    </row>
    <row r="54" spans="3:13" ht="12.9" customHeight="1" x14ac:dyDescent="0.2">
      <c r="M54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ER Comparison</vt:lpstr>
      <vt:lpstr>Summary Sheet</vt:lpstr>
      <vt:lpstr>ER Sheet</vt:lpstr>
      <vt:lpstr>4.2 MW</vt:lpstr>
      <vt:lpstr>8.4 MW</vt:lpstr>
      <vt:lpstr>EF Calculation</vt:lpstr>
      <vt:lpstr>Ex-ante ER Calculation</vt:lpstr>
      <vt:lpstr>CEA database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2019-09-07T06:00:50Z</dcterms:created>
  <dcterms:modified xsi:type="dcterms:W3CDTF">2022-11-11T14:42:23Z</dcterms:modified>
</cp:coreProperties>
</file>