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https://d.docs.live.net/5917b306ba45e2ca/ARX Projects/Ongoing Verificaiton Projects/Andhra Lake I/Second Re Submission/"/>
    </mc:Choice>
  </mc:AlternateContent>
  <xr:revisionPtr revIDLastSave="39" documentId="8_{1F992DBE-2685-48CF-B617-8AD0D861DEB1}" xr6:coauthVersionLast="47" xr6:coauthVersionMax="47" xr10:uidLastSave="{770B82FA-F4E9-4446-805A-687B3C308E8B}"/>
  <bookViews>
    <workbookView xWindow="-110" yWindow="-110" windowWidth="19420" windowHeight="10300" tabRatio="595" activeTab="1" xr2:uid="{00000000-000D-0000-FFFF-FFFF00000000}"/>
  </bookViews>
  <sheets>
    <sheet name="ER Sheet" sheetId="11" r:id="rId1"/>
    <sheet name="Generation Data" sheetId="5" r:id="rId2"/>
    <sheet name="Feeder 8 Apportionment" sheetId="14" r:id="rId3"/>
    <sheet name="PPA Expiry Schedule" sheetId="13" r:id="rId4"/>
  </sheets>
  <externalReferences>
    <externalReference r:id="rId5"/>
  </externalReferences>
  <definedNames>
    <definedName name="Aux_Coal">[1]Assumptions!$D$17</definedName>
    <definedName name="Aux_CoalR1">#REF!</definedName>
    <definedName name="Aux_CoalR2">[1]Assumptions!$E$30</definedName>
    <definedName name="Aux_CoalR3">[1]Assumptions!$F$30</definedName>
    <definedName name="Aux_CoalR4">[1]Assumptions!$G$30</definedName>
    <definedName name="Aux_CoalR5">#REF!</definedName>
    <definedName name="Aux_Diesel">[1]Assumptions!$I$17</definedName>
    <definedName name="Aux_DieselOC">#REF!</definedName>
    <definedName name="Aux_Gas">[1]Assumptions!$F$17</definedName>
    <definedName name="Aux_GasOC">[1]Assumptions!$G$17</definedName>
    <definedName name="Aux_Hydro">[1]Assumptions!$L$17</definedName>
    <definedName name="Aux_Lign">[1]Assumptions!$E$17</definedName>
    <definedName name="Aux_LignR1">#REF!</definedName>
    <definedName name="Aux_LignR2">#REF!</definedName>
    <definedName name="Aux_LignR3">#REF!</definedName>
    <definedName name="Aux_Napt">[1]Assumptions!$K$17</definedName>
    <definedName name="Aux_Nuclear">[1]Assumptions!$M$17</definedName>
    <definedName name="Aux_Oil">[1]Assumptions!$H$17</definedName>
    <definedName name="Bottom_ash">#REF!</definedName>
    <definedName name="Density_Diesel">[1]Assumptions!$I$22</definedName>
    <definedName name="Density_DieselOC">#REF!</definedName>
    <definedName name="Density_Naphta">[1]Assumptions!$K$22</definedName>
    <definedName name="Density_Oil">[1]Assumptions!$H$22</definedName>
    <definedName name="Fly_ash">#REF!</definedName>
    <definedName name="GCV_Coal">[1]Assumptions!$D$21</definedName>
    <definedName name="GCV_Diesel">[1]Assumptions!$I$21</definedName>
    <definedName name="GCV_DieselOC">#REF!</definedName>
    <definedName name="GCV_Gas">[1]Assumptions!$F$21</definedName>
    <definedName name="GCV_Naphta">[1]Assumptions!$K$21</definedName>
    <definedName name="GCV_Oil">[1]Assumptions!$H$21</definedName>
    <definedName name="I22Density_Naphta">#REF!</definedName>
    <definedName name="kJ_kcal">[1]Assumptions!$D$66</definedName>
    <definedName name="MJ_kWh">#REF!</definedName>
    <definedName name="OpHours_Hydro">#REF!</definedName>
    <definedName name="PLF_Gas">#REF!</definedName>
    <definedName name="SpecCons_OillF2">[1]Assumptions!$D$20</definedName>
    <definedName name="SpecCons_OillF2_Lign">#REF!</definedName>
    <definedName name="SpecEm_Coal">[1]Assumptions!$D$23</definedName>
    <definedName name="SpecEm_CoalR1">#REF!</definedName>
    <definedName name="SpecEm_CoalR2">[1]Assumptions!$E$34</definedName>
    <definedName name="SpecEm_CoalR3">[1]Assumptions!$F$34</definedName>
    <definedName name="SpecEm_CoalR4">[1]Assumptions!$G$34</definedName>
    <definedName name="SpecEm_CoalR5">#REF!</definedName>
    <definedName name="SpecEm_Diesel">[1]Assumptions!$I$23</definedName>
    <definedName name="SpecEm_DieselOC">[1]Assumptions!$J$23</definedName>
    <definedName name="SpecEm_DieselR1">#REF!</definedName>
    <definedName name="SpecEm_DieselR2">#REF!</definedName>
    <definedName name="SpecEm_DieselR3">[1]Assumptions!$F$52</definedName>
    <definedName name="SpecEm_DieselR4">[1]Assumptions!$G$52</definedName>
    <definedName name="SpecEm_Gas">[1]Assumptions!$F$23</definedName>
    <definedName name="SpecEm_GasOC">[1]Assumptions!$G$23</definedName>
    <definedName name="SpecEm_GasR1">[1]Assumptions!$D$47</definedName>
    <definedName name="SpecEm_GasR2">[1]Assumptions!$E$47</definedName>
    <definedName name="SpecEm_GasR3">[1]Assumptions!$F$47</definedName>
    <definedName name="SpecEm_GasR4">#REF!</definedName>
    <definedName name="SpecEm_Lignite">[1]Assumptions!$E$23</definedName>
    <definedName name="SpecEm_LignR1">#REF!</definedName>
    <definedName name="SpecEm_LignR2">#REF!</definedName>
    <definedName name="SpecEm_LignR3">#REF!</definedName>
    <definedName name="SpecEm_Naphta">[1]Assumptions!$D$58</definedName>
    <definedName name="SpecEm_Oil">[1]Assumptions!$H$23</definedName>
    <definedName name="Weight_BM">[1]Assumptions!$D$63</definedName>
    <definedName name="Weight_OM">[1]Assumptions!$D$62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5" l="1"/>
  <c r="D16" i="5"/>
  <c r="Q10" i="5"/>
  <c r="Q11" i="5"/>
  <c r="Q12" i="5"/>
  <c r="Q13" i="5"/>
  <c r="Q14" i="5"/>
  <c r="Q15" i="5"/>
  <c r="Q16" i="5"/>
  <c r="Q17" i="5"/>
  <c r="Q18" i="5"/>
  <c r="Q19" i="5"/>
  <c r="Q20" i="5"/>
  <c r="Q9" i="5"/>
  <c r="P10" i="5"/>
  <c r="P11" i="5"/>
  <c r="P12" i="5"/>
  <c r="P13" i="5"/>
  <c r="P14" i="5"/>
  <c r="P15" i="5"/>
  <c r="P16" i="5"/>
  <c r="P17" i="5"/>
  <c r="P18" i="5"/>
  <c r="P19" i="5"/>
  <c r="P20" i="5"/>
  <c r="P9" i="5"/>
  <c r="J13" i="14"/>
  <c r="H13" i="14"/>
  <c r="G13" i="14"/>
  <c r="I13" i="14"/>
  <c r="F13" i="14"/>
  <c r="D13" i="14" l="1"/>
  <c r="C13" i="14"/>
  <c r="L13" i="14" s="1"/>
  <c r="J18" i="14"/>
  <c r="I18" i="14"/>
  <c r="G18" i="14"/>
  <c r="F18" i="14"/>
  <c r="D18" i="14"/>
  <c r="C18" i="14"/>
  <c r="M17" i="14"/>
  <c r="L17" i="14"/>
  <c r="N17" i="14" s="1"/>
  <c r="K17" i="14"/>
  <c r="H17" i="14"/>
  <c r="E17" i="14"/>
  <c r="M16" i="14"/>
  <c r="L16" i="14"/>
  <c r="N16" i="14" s="1"/>
  <c r="K16" i="14"/>
  <c r="H16" i="14"/>
  <c r="E16" i="14"/>
  <c r="M15" i="14"/>
  <c r="L15" i="14"/>
  <c r="N15" i="14" s="1"/>
  <c r="K15" i="14"/>
  <c r="H15" i="14"/>
  <c r="E15" i="14"/>
  <c r="M14" i="14"/>
  <c r="L14" i="14"/>
  <c r="N14" i="14" s="1"/>
  <c r="K14" i="14"/>
  <c r="H14" i="14"/>
  <c r="E14" i="14"/>
  <c r="K13" i="14"/>
  <c r="M13" i="14"/>
  <c r="M12" i="14"/>
  <c r="L12" i="14"/>
  <c r="N12" i="14" s="1"/>
  <c r="K12" i="14"/>
  <c r="H12" i="14"/>
  <c r="E12" i="14"/>
  <c r="M11" i="14"/>
  <c r="L11" i="14"/>
  <c r="N11" i="14" s="1"/>
  <c r="K11" i="14"/>
  <c r="H11" i="14"/>
  <c r="E11" i="14"/>
  <c r="M10" i="14"/>
  <c r="L10" i="14"/>
  <c r="N10" i="14" s="1"/>
  <c r="K10" i="14"/>
  <c r="H10" i="14"/>
  <c r="E10" i="14"/>
  <c r="M9" i="14"/>
  <c r="L9" i="14"/>
  <c r="N9" i="14" s="1"/>
  <c r="K9" i="14"/>
  <c r="H9" i="14"/>
  <c r="E9" i="14"/>
  <c r="M8" i="14"/>
  <c r="L8" i="14"/>
  <c r="N8" i="14" s="1"/>
  <c r="K8" i="14"/>
  <c r="H8" i="14"/>
  <c r="E8" i="14"/>
  <c r="M7" i="14"/>
  <c r="L7" i="14"/>
  <c r="N7" i="14" s="1"/>
  <c r="K7" i="14"/>
  <c r="H7" i="14"/>
  <c r="E7" i="14"/>
  <c r="M6" i="14"/>
  <c r="L6" i="14"/>
  <c r="K6" i="14"/>
  <c r="H6" i="14"/>
  <c r="E6" i="14"/>
  <c r="H18" i="14" l="1"/>
  <c r="K18" i="14"/>
  <c r="N13" i="14"/>
  <c r="M18" i="14"/>
  <c r="L18" i="14"/>
  <c r="N6" i="14"/>
  <c r="E13" i="14"/>
  <c r="E18" i="14" s="1"/>
  <c r="N18" i="14" l="1"/>
  <c r="I16" i="5" l="1"/>
  <c r="E16" i="5"/>
  <c r="M20" i="5"/>
  <c r="L20" i="5"/>
  <c r="M19" i="5"/>
  <c r="L19" i="5"/>
  <c r="M18" i="5"/>
  <c r="L18" i="5"/>
  <c r="M17" i="5"/>
  <c r="L17" i="5"/>
  <c r="I20" i="5"/>
  <c r="H20" i="5"/>
  <c r="H19" i="5"/>
  <c r="I19" i="5"/>
  <c r="I18" i="5"/>
  <c r="H18" i="5"/>
  <c r="H17" i="5"/>
  <c r="I17" i="5"/>
  <c r="R10" i="5" l="1"/>
  <c r="R11" i="5"/>
  <c r="R12" i="5"/>
  <c r="R13" i="5"/>
  <c r="R14" i="5"/>
  <c r="R15" i="5"/>
  <c r="R16" i="5"/>
  <c r="R17" i="5"/>
  <c r="R18" i="5"/>
  <c r="R19" i="5"/>
  <c r="R20" i="5"/>
  <c r="R9" i="5"/>
  <c r="R21" i="5" l="1"/>
  <c r="M16" i="5" l="1"/>
  <c r="L16" i="5"/>
  <c r="F16" i="5" l="1"/>
  <c r="K25" i="11" l="1"/>
  <c r="J25" i="11"/>
  <c r="B8" i="11" l="1"/>
  <c r="C9" i="5"/>
  <c r="B10" i="5" s="1"/>
  <c r="D8" i="11" l="1"/>
  <c r="B9" i="11"/>
  <c r="C10" i="5"/>
  <c r="D9" i="11" l="1"/>
  <c r="B11" i="5"/>
  <c r="V18" i="5"/>
  <c r="C11" i="5" l="1"/>
  <c r="B10" i="11"/>
  <c r="D10" i="11" l="1"/>
  <c r="B12" i="5"/>
  <c r="B24" i="11"/>
  <c r="C12" i="5" l="1"/>
  <c r="B11" i="11"/>
  <c r="J10" i="5"/>
  <c r="J11" i="5"/>
  <c r="J12" i="5"/>
  <c r="J13" i="5"/>
  <c r="J14" i="5"/>
  <c r="J15" i="5"/>
  <c r="J16" i="5"/>
  <c r="J17" i="5"/>
  <c r="J18" i="5"/>
  <c r="J19" i="5"/>
  <c r="J20" i="5"/>
  <c r="J9" i="5"/>
  <c r="D11" i="11" l="1"/>
  <c r="B13" i="5"/>
  <c r="F12" i="5"/>
  <c r="F10" i="5"/>
  <c r="F9" i="5"/>
  <c r="C13" i="5" l="1"/>
  <c r="B12" i="11"/>
  <c r="Q21" i="5"/>
  <c r="P21" i="5"/>
  <c r="M21" i="5"/>
  <c r="L21" i="5"/>
  <c r="I21" i="5"/>
  <c r="H21" i="5"/>
  <c r="E21" i="5"/>
  <c r="D21" i="5"/>
  <c r="W20" i="5"/>
  <c r="F19" i="11" s="1"/>
  <c r="V20" i="5"/>
  <c r="N20" i="5"/>
  <c r="F20" i="5"/>
  <c r="W19" i="5"/>
  <c r="F18" i="11" s="1"/>
  <c r="V19" i="5"/>
  <c r="N19" i="5"/>
  <c r="F19" i="5"/>
  <c r="W18" i="5"/>
  <c r="E17" i="11"/>
  <c r="N18" i="5"/>
  <c r="F18" i="5"/>
  <c r="W17" i="5"/>
  <c r="F16" i="11" s="1"/>
  <c r="V17" i="5"/>
  <c r="N17" i="5"/>
  <c r="F17" i="5"/>
  <c r="W16" i="5"/>
  <c r="F15" i="11" s="1"/>
  <c r="V16" i="5"/>
  <c r="N16" i="5"/>
  <c r="W15" i="5"/>
  <c r="F14" i="11" s="1"/>
  <c r="V15" i="5"/>
  <c r="E14" i="11" s="1"/>
  <c r="N15" i="5"/>
  <c r="F15" i="5"/>
  <c r="W14" i="5"/>
  <c r="F13" i="11" s="1"/>
  <c r="V14" i="5"/>
  <c r="E13" i="11" s="1"/>
  <c r="N14" i="5"/>
  <c r="F14" i="5"/>
  <c r="W13" i="5"/>
  <c r="F12" i="11" s="1"/>
  <c r="V13" i="5"/>
  <c r="E12" i="11" s="1"/>
  <c r="N13" i="5"/>
  <c r="F13" i="5"/>
  <c r="W12" i="5"/>
  <c r="F11" i="11" s="1"/>
  <c r="V12" i="5"/>
  <c r="E11" i="11" s="1"/>
  <c r="N12" i="5"/>
  <c r="W11" i="5"/>
  <c r="F10" i="11" s="1"/>
  <c r="V11" i="5"/>
  <c r="N11" i="5"/>
  <c r="F11" i="5"/>
  <c r="W10" i="5"/>
  <c r="F9" i="11" s="1"/>
  <c r="V10" i="5"/>
  <c r="E9" i="11" s="1"/>
  <c r="N10" i="5"/>
  <c r="W9" i="5"/>
  <c r="F8" i="11" s="1"/>
  <c r="V9" i="5"/>
  <c r="E8" i="11" s="1"/>
  <c r="N9" i="5"/>
  <c r="R5" i="5"/>
  <c r="B3" i="5"/>
  <c r="B2" i="5"/>
  <c r="B1" i="5"/>
  <c r="B29" i="11"/>
  <c r="E16" i="11" l="1"/>
  <c r="G16" i="11" s="1"/>
  <c r="F17" i="11"/>
  <c r="G17" i="11" s="1"/>
  <c r="E18" i="11"/>
  <c r="G18" i="11" s="1"/>
  <c r="E19" i="11"/>
  <c r="G19" i="11" s="1"/>
  <c r="E15" i="11"/>
  <c r="G15" i="11" s="1"/>
  <c r="E10" i="11"/>
  <c r="D12" i="11"/>
  <c r="B14" i="5"/>
  <c r="N21" i="5"/>
  <c r="J21" i="5"/>
  <c r="F21" i="5"/>
  <c r="G11" i="11"/>
  <c r="G9" i="11"/>
  <c r="G12" i="11"/>
  <c r="G14" i="11"/>
  <c r="V21" i="5"/>
  <c r="W21" i="5"/>
  <c r="G13" i="11"/>
  <c r="G8" i="11"/>
  <c r="F20" i="11" l="1"/>
  <c r="F24" i="11"/>
  <c r="F25" i="11" s="1"/>
  <c r="E24" i="11"/>
  <c r="E25" i="11" s="1"/>
  <c r="E20" i="11"/>
  <c r="G10" i="11"/>
  <c r="G24" i="11" s="1"/>
  <c r="G25" i="11" s="1"/>
  <c r="B13" i="11"/>
  <c r="C14" i="5"/>
  <c r="G20" i="11"/>
  <c r="D13" i="11" l="1"/>
  <c r="B15" i="5"/>
  <c r="I24" i="11"/>
  <c r="I25" i="11" s="1"/>
  <c r="B14" i="11" l="1"/>
  <c r="C15" i="5"/>
  <c r="L24" i="11"/>
  <c r="L25" i="11" s="1"/>
  <c r="B16" i="5" l="1"/>
  <c r="D14" i="11"/>
  <c r="H29" i="11"/>
  <c r="H30" i="11" s="1"/>
  <c r="B15" i="11" l="1"/>
  <c r="C16" i="5"/>
  <c r="B17" i="5" l="1"/>
  <c r="D15" i="11"/>
  <c r="B16" i="11" l="1"/>
  <c r="C17" i="5"/>
  <c r="D16" i="11" l="1"/>
  <c r="B18" i="5"/>
  <c r="B17" i="11" l="1"/>
  <c r="C18" i="5"/>
  <c r="B19" i="5" l="1"/>
  <c r="D17" i="11"/>
  <c r="C19" i="5" l="1"/>
  <c r="B18" i="11"/>
  <c r="D18" i="11" l="1"/>
  <c r="B20" i="5"/>
  <c r="C20" i="5" l="1"/>
  <c r="D19" i="11" s="1"/>
  <c r="D24" i="11" s="1"/>
  <c r="D29" i="11" s="1"/>
  <c r="E29" i="11" s="1"/>
  <c r="B19" i="11"/>
  <c r="E30" i="11" l="1"/>
  <c r="E33" i="11" s="1"/>
  <c r="G29" i="11"/>
  <c r="G30" i="11" l="1"/>
  <c r="I30" i="11" s="1"/>
  <c r="I29" i="11"/>
</calcChain>
</file>

<file path=xl/sharedStrings.xml><?xml version="1.0" encoding="utf-8"?>
<sst xmlns="http://schemas.openxmlformats.org/spreadsheetml/2006/main" count="120" uniqueCount="73">
  <si>
    <t>Break-up of Energy</t>
  </si>
  <si>
    <t>Total</t>
  </si>
  <si>
    <t>Andhra 1</t>
  </si>
  <si>
    <t>Feeder No 4</t>
  </si>
  <si>
    <t>Location no: 127-141</t>
  </si>
  <si>
    <t>Feeder 7</t>
  </si>
  <si>
    <t>Feeder 8</t>
  </si>
  <si>
    <t>Meter Reading for Period</t>
  </si>
  <si>
    <t>Feeder no 6</t>
  </si>
  <si>
    <t>Location no: 48-72</t>
  </si>
  <si>
    <t>Project Title: Wind power project in Maharashtra, India – Andhra Lake Phase - I</t>
  </si>
  <si>
    <t>Duration</t>
  </si>
  <si>
    <t>Quantity of electricity exported by the Project to the grid in year y (MWh)</t>
  </si>
  <si>
    <t>Quantity of electricity imported by the Project from the grid in year y (MWh)</t>
  </si>
  <si>
    <t>Combined Margin CO2 emission factor for NEWNE grid (tCO2/MWh)</t>
  </si>
  <si>
    <t>Baseline Emissions (tCO2)</t>
  </si>
  <si>
    <t>Project Emissions (tCO2)</t>
  </si>
  <si>
    <t>Leakage (tCO2)</t>
  </si>
  <si>
    <t>Emission Reductions (tCO2)</t>
  </si>
  <si>
    <t>Quantity of net electricity generation supplied by the project plant/unit to the grid in year y 
(MWh)</t>
  </si>
  <si>
    <t>Start</t>
  </si>
  <si>
    <t>End</t>
  </si>
  <si>
    <t>MWh</t>
  </si>
  <si>
    <t>To</t>
  </si>
  <si>
    <t>Quantity of electricity exported by the Project to the grid in year y</t>
  </si>
  <si>
    <t>Quantity of electricity imported by the Project from the grid in year y</t>
  </si>
  <si>
    <t>Quantity of net electricity generation supplied by the project plant/unit to the
grid in year y</t>
  </si>
  <si>
    <t>Quantity of electricity exported by the Project to the grid in year y (kWh)</t>
  </si>
  <si>
    <t>Quantity of electricity imported by the Project from the grid in year y (kWh)</t>
  </si>
  <si>
    <t>Vintage</t>
  </si>
  <si>
    <t>Generation Details</t>
  </si>
  <si>
    <t>VCS Ref No: 1480</t>
  </si>
  <si>
    <t>Export 
(kWh)</t>
  </si>
  <si>
    <t>Import 
(kWh)</t>
  </si>
  <si>
    <t>Net 
(kWh)</t>
  </si>
  <si>
    <t>Location no:  90-93, 98-100, 101-106, 506</t>
  </si>
  <si>
    <t>Location no: 73-80, 82-89</t>
  </si>
  <si>
    <t>Start Date of Monitoring Period</t>
  </si>
  <si>
    <t>End Date of Monitoring Period</t>
  </si>
  <si>
    <t>No. of Days in Monitoring Period (Including both days)</t>
  </si>
  <si>
    <t>Estimated ER per year as per Registerd PDD (tCO2)</t>
  </si>
  <si>
    <t>Estimated ER for the Monitoring Period (tCO2)</t>
  </si>
  <si>
    <t>Actual ER during the Monitoring period (tCO2)</t>
  </si>
  <si>
    <t>Difference of Estimated and Actual Emissions</t>
  </si>
  <si>
    <t>PLF</t>
  </si>
  <si>
    <t>Sr. No.</t>
  </si>
  <si>
    <t>Location No.</t>
  </si>
  <si>
    <t>Date of WEG commissioning</t>
  </si>
  <si>
    <t>PPA Expiry Date</t>
  </si>
  <si>
    <t>Feeder Number</t>
  </si>
  <si>
    <t>Due to change in energy meters in the month of August 2024, the export and import values were measured separately into two periods. (1 Aug 2024 - 6 Aug 2024 and 6 Aug 2024 -31 Aug 2024).</t>
  </si>
  <si>
    <t>Total Generation of Feeder 8 (A)</t>
  </si>
  <si>
    <t>Generation of Location 96  (Feeder 8) (B)</t>
  </si>
  <si>
    <t xml:space="preserve">Generation of Location 97 (Feeder 8) (C) </t>
  </si>
  <si>
    <t>From</t>
  </si>
  <si>
    <t>Export</t>
  </si>
  <si>
    <t>Import</t>
  </si>
  <si>
    <t>Net</t>
  </si>
  <si>
    <r>
      <t>EG</t>
    </r>
    <r>
      <rPr>
        <b/>
        <vertAlign val="subscript"/>
        <sz val="9"/>
        <color theme="1"/>
        <rFont val="Arial"/>
        <family val="2"/>
      </rPr>
      <t>export,y</t>
    </r>
  </si>
  <si>
    <r>
      <t>EGimport</t>
    </r>
    <r>
      <rPr>
        <b/>
        <vertAlign val="subscript"/>
        <sz val="9"/>
        <color theme="1"/>
        <rFont val="Arial"/>
        <family val="2"/>
      </rPr>
      <t>,y</t>
    </r>
  </si>
  <si>
    <r>
      <t>EG</t>
    </r>
    <r>
      <rPr>
        <b/>
        <vertAlign val="subscript"/>
        <sz val="9"/>
        <color theme="1"/>
        <rFont val="Arial"/>
        <family val="2"/>
      </rPr>
      <t>facility,y</t>
    </r>
  </si>
  <si>
    <r>
      <t>EG</t>
    </r>
    <r>
      <rPr>
        <b/>
        <vertAlign val="subscript"/>
        <sz val="9"/>
        <color theme="1"/>
        <rFont val="Arial"/>
        <family val="2"/>
      </rPr>
      <t>import,y</t>
    </r>
  </si>
  <si>
    <r>
      <t>EF</t>
    </r>
    <r>
      <rPr>
        <b/>
        <vertAlign val="subscript"/>
        <sz val="9"/>
        <color theme="1"/>
        <rFont val="Arial"/>
        <family val="2"/>
      </rPr>
      <t>grid,CM,y</t>
    </r>
  </si>
  <si>
    <r>
      <t>BE</t>
    </r>
    <r>
      <rPr>
        <b/>
        <vertAlign val="subscript"/>
        <sz val="9"/>
        <color theme="1"/>
        <rFont val="Arial"/>
        <family val="2"/>
      </rPr>
      <t>y</t>
    </r>
  </si>
  <si>
    <r>
      <t>PE</t>
    </r>
    <r>
      <rPr>
        <b/>
        <vertAlign val="subscript"/>
        <sz val="9"/>
        <color theme="1"/>
        <rFont val="Arial"/>
        <family val="2"/>
      </rPr>
      <t>y</t>
    </r>
  </si>
  <si>
    <r>
      <t>L</t>
    </r>
    <r>
      <rPr>
        <b/>
        <vertAlign val="subscript"/>
        <sz val="9"/>
        <color theme="1"/>
        <rFont val="Arial"/>
        <family val="2"/>
      </rPr>
      <t>y</t>
    </r>
  </si>
  <si>
    <r>
      <t>ER</t>
    </r>
    <r>
      <rPr>
        <b/>
        <vertAlign val="subscript"/>
        <sz val="9"/>
        <color theme="1"/>
        <rFont val="Arial"/>
        <family val="2"/>
      </rPr>
      <t>y</t>
    </r>
  </si>
  <si>
    <t>Net Generation from feeder 8 (Excluding Location 96 and 97) (D=A-(B+C))</t>
  </si>
  <si>
    <t>The Power Purchase Agreements (PPAs) of all Wind Turbine Generators (WTGs) connected to Feeder 4 expired on 18 August 2024.</t>
  </si>
  <si>
    <t>For Feeder 7, the PPAs of 5 WTGs expired on 27 December 2024, while the PPAs of 11 WTGs expired on 17 October 2024.</t>
  </si>
  <si>
    <t>For Feeder 8, the PPAs of 10 WTGs expired on 18 August 2024, and the PPAs of 4 WTGs expired on 27 December 2024.</t>
  </si>
  <si>
    <t>In line with the conservative approach adopted for emission reduction estimation, the electricity generation from all WTGs for which PPAs have expired has not been included in the Emission Reduction calculations for the current monitoring period.</t>
  </si>
  <si>
    <t>For Feeder 6, the PPAs of 19 WTGs expired on 18/08/2024, 3 WTGs on 30/10/2024, and the remaining 3 WTGs on 27/12/2024.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</si>
</sst>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_(* #,##0.00_);_(* \(#,##0.00\);_(* &quot;-&quot;_);_(@_)"/>
    <numFmt numFmtId="165" formatCode="_ * #,##0.0000_ ;_ * \-#,##0.0000_ ;_ * &quot;-&quot;??_ ;_ @_ "/>
    <numFmt numFmtId="166" formatCode="[$-409]d/mmm/yy;@"/>
    <numFmt numFmtId="167" formatCode="dd/mmm/yyyy"/>
    <numFmt numFmtId="168" formatCode="_ * #,##0_ ;_ * \-#,##0_ ;_ * &quot;-&quot;??_ ;_ @_ "/>
    <numFmt numFmtId="169" formatCode="dd\/mm\/yyyy"/>
    <numFmt numFmtId="170" formatCode="_(* #,##0_);_(* \(#,##0\);_(* &quot;-&quot;_);_(@_)"/>
  </numFmts>
  <fonts count="25" x14ac:knownFonts="1">
    <font>
      <sz val="11"/>
      <color theme="1"/>
      <name val="Calibri"/>
      <family val="2"/>
      <scheme val="minor"/>
    </font>
    <font>
      <sz val="10"/>
      <name val="Arial"/>
      <family val="2"/>
    </font>
    <font>
      <sz val="11"/>
      <color indexed="8"/>
      <name val="Calibri"/>
      <family val="2"/>
    </font>
    <font>
      <sz val="11"/>
      <color indexed="9"/>
      <name val="Calibri"/>
      <family val="2"/>
    </font>
    <font>
      <b/>
      <sz val="11"/>
      <color indexed="52"/>
      <name val="Calibri"/>
      <family val="2"/>
    </font>
    <font>
      <sz val="11"/>
      <color indexed="52"/>
      <name val="Calibri"/>
      <family val="2"/>
    </font>
    <font>
      <b/>
      <sz val="11"/>
      <color indexed="9"/>
      <name val="Calibri"/>
      <family val="2"/>
    </font>
    <font>
      <sz val="11"/>
      <color indexed="60"/>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20"/>
      <name val="Calibri"/>
      <family val="2"/>
    </font>
    <font>
      <sz val="11"/>
      <color indexed="17"/>
      <name val="Calibri"/>
      <family val="2"/>
    </font>
    <font>
      <sz val="11"/>
      <color theme="1"/>
      <name val="Calibri"/>
      <family val="2"/>
      <scheme val="minor"/>
    </font>
    <font>
      <sz val="9"/>
      <color theme="1"/>
      <name val="Arial"/>
      <family val="2"/>
    </font>
    <font>
      <b/>
      <sz val="9"/>
      <name val="Arial"/>
      <family val="2"/>
    </font>
    <font>
      <b/>
      <sz val="9"/>
      <color theme="1"/>
      <name val="Arial"/>
      <family val="2"/>
    </font>
    <font>
      <b/>
      <sz val="9"/>
      <color rgb="FF000000"/>
      <name val="Arial"/>
      <family val="2"/>
    </font>
    <font>
      <sz val="9"/>
      <color rgb="FF000000"/>
      <name val="Arial"/>
      <family val="2"/>
    </font>
    <font>
      <sz val="9"/>
      <name val="Arial"/>
      <family val="2"/>
    </font>
    <font>
      <b/>
      <vertAlign val="subscript"/>
      <sz val="9"/>
      <color theme="1"/>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0"/>
        <bgColor theme="4" tint="0.79998168889431442"/>
      </patternFill>
    </fill>
    <fill>
      <patternFill patternType="solid">
        <fgColor rgb="FF9CC2E5"/>
        <bgColor indexed="64"/>
      </patternFill>
    </fill>
  </fills>
  <borders count="51">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thin">
        <color theme="4"/>
      </left>
      <right style="thin">
        <color theme="4"/>
      </right>
      <top style="thin">
        <color theme="4"/>
      </top>
      <bottom style="thin">
        <color theme="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46">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20" borderId="1" applyNumberFormat="0" applyAlignment="0" applyProtection="0"/>
    <xf numFmtId="0" fontId="5" fillId="0" borderId="2" applyNumberFormat="0" applyFill="0" applyAlignment="0" applyProtection="0"/>
    <xf numFmtId="0" fontId="6" fillId="21" borderId="3" applyNumberFormat="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7" fillId="22" borderId="0" applyNumberFormat="0" applyBorder="0" applyAlignment="0" applyProtection="0"/>
    <xf numFmtId="0" fontId="1" fillId="23" borderId="7" applyNumberFormat="0" applyFont="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0" borderId="8" applyNumberFormat="0" applyFill="0" applyAlignment="0" applyProtection="0"/>
    <xf numFmtId="0" fontId="15" fillId="3" borderId="0" applyNumberFormat="0" applyBorder="0" applyAlignment="0" applyProtection="0"/>
    <xf numFmtId="0" fontId="16" fillId="4" borderId="0" applyNumberFormat="0" applyBorder="0" applyAlignment="0" applyProtection="0"/>
    <xf numFmtId="0" fontId="1" fillId="0" borderId="0"/>
    <xf numFmtId="0" fontId="1" fillId="0" borderId="0"/>
    <xf numFmtId="43" fontId="17" fillId="0" borderId="0" applyFont="0" applyFill="0" applyBorder="0" applyAlignment="0" applyProtection="0"/>
    <xf numFmtId="0" fontId="1" fillId="0" borderId="0"/>
    <xf numFmtId="43" fontId="1" fillId="0" borderId="0" applyFont="0" applyFill="0" applyBorder="0" applyAlignment="0" applyProtection="0"/>
    <xf numFmtId="9" fontId="17" fillId="0" borderId="0" applyFont="0" applyFill="0" applyBorder="0" applyAlignment="0" applyProtection="0"/>
  </cellStyleXfs>
  <cellXfs count="150">
    <xf numFmtId="0" fontId="0" fillId="0" borderId="0" xfId="0"/>
    <xf numFmtId="0" fontId="18" fillId="0" borderId="0" xfId="0" applyFont="1" applyAlignment="1">
      <alignment horizontal="center" vertical="center"/>
    </xf>
    <xf numFmtId="0" fontId="18" fillId="0" borderId="0" xfId="0" applyFont="1" applyAlignment="1">
      <alignment horizontal="left" vertical="top" wrapText="1"/>
    </xf>
    <xf numFmtId="0" fontId="20" fillId="0" borderId="0" xfId="0" applyFont="1" applyAlignment="1">
      <alignment horizontal="center" vertical="center"/>
    </xf>
    <xf numFmtId="0" fontId="18" fillId="0" borderId="0" xfId="0" applyFont="1" applyAlignment="1">
      <alignment vertical="center"/>
    </xf>
    <xf numFmtId="0" fontId="18" fillId="0" borderId="0" xfId="0" applyFont="1" applyAlignment="1">
      <alignment vertical="top"/>
    </xf>
    <xf numFmtId="0" fontId="20" fillId="26" borderId="9" xfId="0" applyFont="1" applyFill="1" applyBorder="1" applyAlignment="1">
      <alignment horizontal="center" vertical="center" wrapText="1"/>
    </xf>
    <xf numFmtId="0" fontId="18" fillId="0" borderId="0" xfId="0" applyFont="1" applyAlignment="1">
      <alignment vertical="top" wrapText="1"/>
    </xf>
    <xf numFmtId="0" fontId="20" fillId="25" borderId="18" xfId="0" applyFont="1" applyFill="1" applyBorder="1" applyAlignment="1">
      <alignment horizontal="center" vertical="center" wrapText="1"/>
    </xf>
    <xf numFmtId="0" fontId="20" fillId="25" borderId="21" xfId="0" applyFont="1" applyFill="1" applyBorder="1" applyAlignment="1">
      <alignment horizontal="center" vertical="center" wrapText="1"/>
    </xf>
    <xf numFmtId="166" fontId="18" fillId="0" borderId="9" xfId="0" applyNumberFormat="1" applyFont="1" applyBorder="1" applyAlignment="1">
      <alignment horizontal="right" vertical="center"/>
    </xf>
    <xf numFmtId="1" fontId="18" fillId="27" borderId="41" xfId="0" applyNumberFormat="1" applyFont="1" applyFill="1" applyBorder="1"/>
    <xf numFmtId="0" fontId="18" fillId="28" borderId="41" xfId="0" applyFont="1" applyFill="1" applyBorder="1"/>
    <xf numFmtId="168" fontId="18" fillId="0" borderId="0" xfId="42" applyNumberFormat="1" applyFont="1" applyAlignment="1">
      <alignment vertical="center"/>
    </xf>
    <xf numFmtId="0" fontId="18" fillId="27" borderId="41" xfId="0" applyFont="1" applyFill="1" applyBorder="1"/>
    <xf numFmtId="168" fontId="18" fillId="0" borderId="9" xfId="42" applyNumberFormat="1" applyFont="1" applyFill="1" applyBorder="1" applyAlignment="1">
      <alignment horizontal="center" vertical="center"/>
    </xf>
    <xf numFmtId="168" fontId="18" fillId="0" borderId="0" xfId="42" applyNumberFormat="1" applyFont="1" applyAlignment="1">
      <alignment vertical="top" wrapText="1"/>
    </xf>
    <xf numFmtId="168" fontId="18" fillId="0" borderId="22" xfId="42" applyNumberFormat="1" applyFont="1" applyBorder="1" applyAlignment="1">
      <alignment vertical="center"/>
    </xf>
    <xf numFmtId="168" fontId="18" fillId="0" borderId="23" xfId="42" applyNumberFormat="1" applyFont="1" applyBorder="1" applyAlignment="1">
      <alignment horizontal="center" vertical="center"/>
    </xf>
    <xf numFmtId="0" fontId="18" fillId="0" borderId="41" xfId="0" applyFont="1" applyBorder="1"/>
    <xf numFmtId="0" fontId="20" fillId="24" borderId="9" xfId="0" applyFont="1" applyFill="1" applyBorder="1" applyAlignment="1">
      <alignment horizontal="center" vertical="center"/>
    </xf>
    <xf numFmtId="43" fontId="20" fillId="0" borderId="0" xfId="0" applyNumberFormat="1" applyFont="1" applyAlignment="1">
      <alignment horizontal="center" vertical="center"/>
    </xf>
    <xf numFmtId="164" fontId="20" fillId="0" borderId="0" xfId="0" applyNumberFormat="1" applyFont="1" applyAlignment="1">
      <alignment horizontal="center" vertical="center"/>
    </xf>
    <xf numFmtId="0" fontId="20" fillId="0" borderId="0" xfId="0" applyFont="1" applyAlignment="1">
      <alignment horizontal="left" vertical="top" wrapText="1"/>
    </xf>
    <xf numFmtId="0" fontId="20" fillId="0" borderId="0" xfId="0" applyFont="1" applyAlignment="1">
      <alignment horizontal="left" vertical="center"/>
    </xf>
    <xf numFmtId="0" fontId="18" fillId="0" borderId="0" xfId="0" applyFont="1"/>
    <xf numFmtId="0" fontId="18" fillId="0" borderId="43" xfId="0" applyFont="1" applyBorder="1" applyAlignment="1">
      <alignment horizontal="center" vertical="center" wrapText="1"/>
    </xf>
    <xf numFmtId="0" fontId="18" fillId="0" borderId="36" xfId="0" applyFont="1" applyBorder="1" applyAlignment="1">
      <alignment horizontal="center" vertical="center" wrapText="1"/>
    </xf>
    <xf numFmtId="14" fontId="18" fillId="0" borderId="36" xfId="0" applyNumberFormat="1" applyFont="1" applyBorder="1" applyAlignment="1">
      <alignment horizontal="center" vertical="center" wrapText="1"/>
    </xf>
    <xf numFmtId="0" fontId="22" fillId="0" borderId="36" xfId="0" applyFont="1" applyBorder="1" applyAlignment="1">
      <alignment horizontal="center" vertical="center" wrapText="1"/>
    </xf>
    <xf numFmtId="14" fontId="22" fillId="0" borderId="36" xfId="0" applyNumberFormat="1" applyFont="1" applyBorder="1" applyAlignment="1">
      <alignment horizontal="center" vertical="center" wrapText="1"/>
    </xf>
    <xf numFmtId="14" fontId="18" fillId="0" borderId="44" xfId="0" applyNumberFormat="1" applyFont="1" applyBorder="1" applyAlignment="1">
      <alignment horizontal="center" vertical="center" wrapText="1"/>
    </xf>
    <xf numFmtId="168" fontId="18" fillId="0" borderId="0" xfId="42" applyNumberFormat="1" applyFont="1" applyFill="1" applyAlignment="1">
      <alignment vertical="center"/>
    </xf>
    <xf numFmtId="168" fontId="18" fillId="0" borderId="0" xfId="42" applyNumberFormat="1" applyFont="1" applyFill="1" applyAlignment="1">
      <alignment vertical="top" wrapText="1"/>
    </xf>
    <xf numFmtId="168" fontId="18" fillId="0" borderId="22" xfId="42" applyNumberFormat="1" applyFont="1" applyFill="1" applyBorder="1" applyAlignment="1">
      <alignment vertical="center"/>
    </xf>
    <xf numFmtId="168" fontId="18" fillId="0" borderId="23" xfId="42" applyNumberFormat="1" applyFont="1" applyFill="1" applyBorder="1" applyAlignment="1">
      <alignment horizontal="center" vertical="center"/>
    </xf>
    <xf numFmtId="0" fontId="18" fillId="0" borderId="12" xfId="0" applyFont="1" applyBorder="1" applyAlignment="1">
      <alignment horizontal="center" vertical="center"/>
    </xf>
    <xf numFmtId="1" fontId="18" fillId="0" borderId="41" xfId="0" applyNumberFormat="1" applyFont="1" applyBorder="1"/>
    <xf numFmtId="170" fontId="20" fillId="24" borderId="9" xfId="0" applyNumberFormat="1" applyFont="1" applyFill="1" applyBorder="1" applyAlignment="1">
      <alignment horizontal="center" vertical="center"/>
    </xf>
    <xf numFmtId="170" fontId="20" fillId="0" borderId="0" xfId="0" applyNumberFormat="1" applyFont="1" applyAlignment="1">
      <alignment horizontal="center" vertical="center"/>
    </xf>
    <xf numFmtId="170" fontId="20" fillId="0" borderId="0" xfId="0" applyNumberFormat="1" applyFont="1" applyAlignment="1">
      <alignment horizontal="left" vertical="top" wrapText="1"/>
    </xf>
    <xf numFmtId="0" fontId="20" fillId="25" borderId="9" xfId="0" applyFont="1" applyFill="1" applyBorder="1" applyAlignment="1">
      <alignment horizontal="center" vertical="center"/>
    </xf>
    <xf numFmtId="0" fontId="20" fillId="26" borderId="9" xfId="0" applyFont="1" applyFill="1" applyBorder="1" applyAlignment="1">
      <alignment horizontal="center"/>
    </xf>
    <xf numFmtId="1" fontId="18" fillId="27" borderId="9" xfId="0" applyNumberFormat="1" applyFont="1" applyFill="1" applyBorder="1"/>
    <xf numFmtId="3" fontId="18" fillId="0" borderId="9" xfId="0" applyNumberFormat="1" applyFont="1" applyBorder="1"/>
    <xf numFmtId="3" fontId="20" fillId="26" borderId="9" xfId="0" applyNumberFormat="1" applyFont="1" applyFill="1" applyBorder="1"/>
    <xf numFmtId="0" fontId="23" fillId="0" borderId="0" xfId="41" applyFont="1" applyAlignment="1" applyProtection="1">
      <alignment horizontal="left" wrapText="1"/>
      <protection locked="0"/>
    </xf>
    <xf numFmtId="0" fontId="18" fillId="0" borderId="0" xfId="0" applyFont="1" applyAlignment="1">
      <alignment horizontal="center"/>
    </xf>
    <xf numFmtId="2" fontId="23" fillId="0" borderId="0" xfId="41" applyNumberFormat="1" applyFont="1" applyProtection="1">
      <protection locked="0"/>
    </xf>
    <xf numFmtId="0" fontId="20" fillId="25" borderId="19" xfId="0" applyFont="1" applyFill="1" applyBorder="1" applyAlignment="1">
      <alignment horizontal="center" vertical="center" wrapText="1"/>
    </xf>
    <xf numFmtId="0" fontId="20" fillId="25" borderId="9" xfId="0" applyFont="1" applyFill="1" applyBorder="1" applyAlignment="1">
      <alignment horizontal="center" vertical="center" wrapText="1"/>
    </xf>
    <xf numFmtId="0" fontId="20" fillId="25" borderId="23" xfId="0" applyFont="1" applyFill="1" applyBorder="1" applyAlignment="1">
      <alignment horizontal="center" vertical="center" wrapText="1"/>
    </xf>
    <xf numFmtId="0" fontId="20" fillId="25" borderId="22" xfId="0" applyFont="1" applyFill="1" applyBorder="1" applyAlignment="1">
      <alignment horizontal="center" vertical="center" wrapText="1"/>
    </xf>
    <xf numFmtId="167" fontId="18" fillId="0" borderId="9" xfId="0" applyNumberFormat="1" applyFont="1" applyBorder="1" applyAlignment="1">
      <alignment horizontal="center"/>
    </xf>
    <xf numFmtId="4" fontId="18" fillId="0" borderId="9" xfId="0" applyNumberFormat="1" applyFont="1" applyBorder="1" applyAlignment="1">
      <alignment horizontal="center"/>
    </xf>
    <xf numFmtId="4" fontId="18" fillId="0" borderId="23" xfId="0" applyNumberFormat="1" applyFont="1" applyBorder="1" applyAlignment="1">
      <alignment horizontal="center"/>
    </xf>
    <xf numFmtId="4" fontId="20" fillId="0" borderId="29" xfId="0" applyNumberFormat="1" applyFont="1" applyBorder="1" applyAlignment="1">
      <alignment horizontal="center" vertical="center" wrapText="1"/>
    </xf>
    <xf numFmtId="4" fontId="18" fillId="0" borderId="0" xfId="0" applyNumberFormat="1" applyFont="1"/>
    <xf numFmtId="0" fontId="20" fillId="25" borderId="17" xfId="0" applyFont="1" applyFill="1" applyBorder="1" applyAlignment="1">
      <alignment horizontal="center" vertical="center" wrapText="1"/>
    </xf>
    <xf numFmtId="0" fontId="20" fillId="25" borderId="25" xfId="0" applyFont="1" applyFill="1" applyBorder="1" applyAlignment="1">
      <alignment horizontal="center" vertical="center" wrapText="1"/>
    </xf>
    <xf numFmtId="0" fontId="18" fillId="0" borderId="37" xfId="0" applyFont="1" applyBorder="1" applyAlignment="1">
      <alignment horizontal="center"/>
    </xf>
    <xf numFmtId="167" fontId="18" fillId="0" borderId="38" xfId="0" applyNumberFormat="1" applyFont="1" applyBorder="1" applyAlignment="1">
      <alignment horizontal="center" vertical="center"/>
    </xf>
    <xf numFmtId="4" fontId="18" fillId="0" borderId="38" xfId="0" applyNumberFormat="1" applyFont="1" applyBorder="1" applyAlignment="1">
      <alignment horizontal="center" vertical="center" wrapText="1"/>
    </xf>
    <xf numFmtId="165" fontId="18" fillId="0" borderId="38" xfId="42" applyNumberFormat="1" applyFont="1" applyFill="1" applyBorder="1" applyAlignment="1">
      <alignment horizontal="center" vertical="center"/>
    </xf>
    <xf numFmtId="168" fontId="18" fillId="0" borderId="38" xfId="42" applyNumberFormat="1" applyFont="1" applyBorder="1" applyAlignment="1">
      <alignment horizontal="center" vertical="center" wrapText="1"/>
    </xf>
    <xf numFmtId="3" fontId="18" fillId="0" borderId="38" xfId="0" applyNumberFormat="1" applyFont="1" applyBorder="1" applyAlignment="1">
      <alignment horizontal="center" vertical="center" wrapText="1"/>
    </xf>
    <xf numFmtId="168" fontId="18" fillId="0" borderId="39" xfId="42" applyNumberFormat="1" applyFont="1" applyBorder="1" applyAlignment="1">
      <alignment horizontal="center" vertical="center" wrapText="1"/>
    </xf>
    <xf numFmtId="4" fontId="20" fillId="0" borderId="17" xfId="0" applyNumberFormat="1" applyFont="1" applyBorder="1" applyAlignment="1">
      <alignment horizontal="center" vertical="center" wrapText="1"/>
    </xf>
    <xf numFmtId="3" fontId="20" fillId="0" borderId="17" xfId="0" applyNumberFormat="1" applyFont="1" applyBorder="1" applyAlignment="1">
      <alignment horizontal="center" vertical="center" wrapText="1"/>
    </xf>
    <xf numFmtId="167" fontId="18" fillId="0" borderId="0" xfId="0" applyNumberFormat="1" applyFont="1" applyAlignment="1">
      <alignment horizontal="center" vertical="center"/>
    </xf>
    <xf numFmtId="4" fontId="18" fillId="0" borderId="0" xfId="0" applyNumberFormat="1" applyFont="1" applyAlignment="1">
      <alignment horizontal="center" vertical="center" wrapText="1"/>
    </xf>
    <xf numFmtId="3" fontId="18" fillId="0" borderId="0" xfId="0" applyNumberFormat="1" applyFont="1" applyAlignment="1">
      <alignment horizontal="center" vertical="center" wrapText="1"/>
    </xf>
    <xf numFmtId="0" fontId="20" fillId="25" borderId="18" xfId="0" applyFont="1" applyFill="1" applyBorder="1" applyAlignment="1">
      <alignment vertical="center" wrapText="1"/>
    </xf>
    <xf numFmtId="0" fontId="20" fillId="25" borderId="19" xfId="0" applyFont="1" applyFill="1" applyBorder="1" applyAlignment="1">
      <alignment vertical="center" wrapText="1"/>
    </xf>
    <xf numFmtId="168" fontId="18" fillId="0" borderId="0" xfId="42" applyNumberFormat="1" applyFont="1"/>
    <xf numFmtId="167" fontId="18" fillId="0" borderId="22" xfId="0" applyNumberFormat="1" applyFont="1" applyBorder="1" applyAlignment="1">
      <alignment horizontal="center" vertical="center"/>
    </xf>
    <xf numFmtId="169" fontId="18" fillId="0" borderId="9" xfId="0" applyNumberFormat="1" applyFont="1" applyBorder="1" applyAlignment="1">
      <alignment vertical="center"/>
    </xf>
    <xf numFmtId="167" fontId="18" fillId="0" borderId="9" xfId="0" applyNumberFormat="1" applyFont="1" applyBorder="1" applyAlignment="1">
      <alignment horizontal="center" vertical="center"/>
    </xf>
    <xf numFmtId="3" fontId="18" fillId="0" borderId="9" xfId="0" applyNumberFormat="1" applyFont="1" applyBorder="1" applyAlignment="1">
      <alignment horizontal="center" vertical="center"/>
    </xf>
    <xf numFmtId="3" fontId="18" fillId="0" borderId="9" xfId="0" applyNumberFormat="1" applyFont="1" applyBorder="1" applyAlignment="1">
      <alignment horizontal="center" vertical="center" wrapText="1"/>
    </xf>
    <xf numFmtId="3" fontId="18" fillId="0" borderId="17" xfId="0" applyNumberFormat="1" applyFont="1" applyBorder="1" applyAlignment="1">
      <alignment horizontal="center" vertical="center"/>
    </xf>
    <xf numFmtId="0" fontId="18" fillId="0" borderId="17" xfId="0" applyFont="1" applyBorder="1" applyAlignment="1">
      <alignment horizontal="center" vertical="center"/>
    </xf>
    <xf numFmtId="0" fontId="20" fillId="0" borderId="9" xfId="0" applyFont="1" applyBorder="1"/>
    <xf numFmtId="10" fontId="20" fillId="0" borderId="9" xfId="0" applyNumberFormat="1" applyFont="1" applyBorder="1"/>
    <xf numFmtId="168" fontId="18" fillId="0" borderId="0" xfId="0" applyNumberFormat="1" applyFont="1" applyAlignment="1">
      <alignment vertical="center"/>
    </xf>
    <xf numFmtId="170" fontId="20" fillId="24" borderId="45" xfId="0" applyNumberFormat="1" applyFont="1" applyFill="1" applyBorder="1" applyAlignment="1">
      <alignment horizontal="center" vertical="center"/>
    </xf>
    <xf numFmtId="10" fontId="18" fillId="0" borderId="9" xfId="45" applyNumberFormat="1" applyFont="1" applyBorder="1" applyAlignment="1">
      <alignment horizontal="center" vertical="center" wrapText="1"/>
    </xf>
    <xf numFmtId="10" fontId="18" fillId="0" borderId="23" xfId="45" applyNumberFormat="1" applyFont="1" applyBorder="1" applyAlignment="1">
      <alignment horizontal="center" vertical="center" wrapText="1"/>
    </xf>
    <xf numFmtId="0" fontId="19" fillId="26" borderId="0" xfId="41" applyFont="1" applyFill="1" applyAlignment="1" applyProtection="1">
      <alignment horizontal="center" wrapText="1"/>
      <protection locked="0"/>
    </xf>
    <xf numFmtId="0" fontId="20" fillId="25" borderId="30" xfId="0" applyFont="1" applyFill="1" applyBorder="1" applyAlignment="1">
      <alignment horizontal="center" vertical="center" wrapText="1"/>
    </xf>
    <xf numFmtId="0" fontId="20" fillId="25" borderId="31" xfId="0" applyFont="1" applyFill="1" applyBorder="1" applyAlignment="1">
      <alignment horizontal="center" vertical="center" wrapText="1"/>
    </xf>
    <xf numFmtId="0" fontId="20" fillId="25" borderId="32" xfId="0" applyFont="1" applyFill="1" applyBorder="1" applyAlignment="1">
      <alignment horizontal="center" vertical="center" wrapText="1"/>
    </xf>
    <xf numFmtId="0" fontId="20" fillId="25" borderId="33" xfId="0" applyFont="1" applyFill="1" applyBorder="1" applyAlignment="1">
      <alignment horizontal="center" vertical="center" wrapText="1"/>
    </xf>
    <xf numFmtId="0" fontId="20" fillId="25" borderId="13" xfId="0" applyFont="1" applyFill="1" applyBorder="1" applyAlignment="1">
      <alignment horizontal="center" vertical="center" wrapText="1"/>
    </xf>
    <xf numFmtId="0" fontId="20" fillId="25" borderId="16" xfId="0" applyFont="1" applyFill="1" applyBorder="1" applyAlignment="1">
      <alignment horizontal="center" vertical="center" wrapText="1"/>
    </xf>
    <xf numFmtId="0" fontId="20" fillId="25" borderId="19" xfId="0" applyFont="1" applyFill="1" applyBorder="1" applyAlignment="1">
      <alignment horizontal="center" vertical="center" wrapText="1"/>
    </xf>
    <xf numFmtId="0" fontId="20" fillId="25" borderId="21" xfId="0" applyFont="1" applyFill="1" applyBorder="1" applyAlignment="1">
      <alignment horizontal="center" vertical="center" wrapText="1"/>
    </xf>
    <xf numFmtId="0" fontId="20" fillId="25" borderId="17" xfId="0" applyFont="1" applyFill="1" applyBorder="1" applyAlignment="1">
      <alignment horizontal="center" vertical="center" wrapText="1"/>
    </xf>
    <xf numFmtId="166" fontId="19" fillId="0" borderId="28" xfId="41" applyNumberFormat="1" applyFont="1" applyBorder="1" applyAlignment="1" applyProtection="1">
      <alignment horizontal="center" vertical="center" wrapText="1"/>
      <protection locked="0"/>
    </xf>
    <xf numFmtId="166" fontId="19" fillId="0" borderId="29" xfId="41" applyNumberFormat="1" applyFont="1" applyBorder="1" applyAlignment="1" applyProtection="1">
      <alignment horizontal="center" vertical="center" wrapText="1"/>
      <protection locked="0"/>
    </xf>
    <xf numFmtId="0" fontId="20" fillId="25" borderId="18" xfId="0" applyFont="1" applyFill="1" applyBorder="1" applyAlignment="1">
      <alignment horizontal="center" vertical="center" wrapText="1"/>
    </xf>
    <xf numFmtId="0" fontId="20" fillId="25" borderId="24" xfId="0" applyFont="1" applyFill="1" applyBorder="1" applyAlignment="1">
      <alignment horizontal="center" vertical="center" wrapText="1"/>
    </xf>
    <xf numFmtId="167" fontId="18" fillId="0" borderId="26" xfId="0" applyNumberFormat="1" applyFont="1" applyBorder="1" applyAlignment="1">
      <alignment horizontal="center" vertical="center"/>
    </xf>
    <xf numFmtId="167" fontId="18" fillId="0" borderId="27" xfId="0" applyNumberFormat="1" applyFont="1" applyBorder="1" applyAlignment="1">
      <alignment horizontal="center" vertical="center"/>
    </xf>
    <xf numFmtId="167" fontId="18" fillId="0" borderId="20" xfId="0" applyNumberFormat="1" applyFont="1" applyBorder="1" applyAlignment="1">
      <alignment horizontal="center" vertical="center"/>
    </xf>
    <xf numFmtId="0" fontId="18" fillId="0" borderId="26" xfId="0" applyFont="1" applyBorder="1" applyAlignment="1">
      <alignment horizontal="center"/>
    </xf>
    <xf numFmtId="0" fontId="18" fillId="0" borderId="27" xfId="0" applyFont="1" applyBorder="1" applyAlignment="1">
      <alignment horizontal="center"/>
    </xf>
    <xf numFmtId="0" fontId="18" fillId="0" borderId="20" xfId="0" applyFont="1" applyBorder="1" applyAlignment="1">
      <alignment horizontal="center"/>
    </xf>
    <xf numFmtId="0" fontId="20" fillId="26" borderId="30" xfId="0" applyFont="1" applyFill="1" applyBorder="1" applyAlignment="1">
      <alignment horizontal="center" vertical="center"/>
    </xf>
    <xf numFmtId="0" fontId="20" fillId="26" borderId="34" xfId="0" applyFont="1" applyFill="1" applyBorder="1" applyAlignment="1">
      <alignment horizontal="center" vertical="center"/>
    </xf>
    <xf numFmtId="0" fontId="20" fillId="26" borderId="35" xfId="0" applyFont="1" applyFill="1" applyBorder="1" applyAlignment="1">
      <alignment horizontal="center" vertical="center"/>
    </xf>
    <xf numFmtId="0" fontId="20" fillId="26" borderId="36" xfId="0" applyFont="1" applyFill="1" applyBorder="1" applyAlignment="1">
      <alignment horizontal="center" vertical="center"/>
    </xf>
    <xf numFmtId="0" fontId="20" fillId="26" borderId="14" xfId="0" applyFont="1" applyFill="1" applyBorder="1" applyAlignment="1">
      <alignment horizontal="center" vertical="center"/>
    </xf>
    <xf numFmtId="0" fontId="20" fillId="26" borderId="40" xfId="0" applyFont="1" applyFill="1" applyBorder="1" applyAlignment="1">
      <alignment horizontal="center" vertical="center"/>
    </xf>
    <xf numFmtId="0" fontId="20" fillId="26" borderId="15" xfId="0" applyFont="1" applyFill="1" applyBorder="1" applyAlignment="1">
      <alignment horizontal="center" vertical="center"/>
    </xf>
    <xf numFmtId="0" fontId="20" fillId="26" borderId="16" xfId="0" applyFont="1" applyFill="1" applyBorder="1" applyAlignment="1">
      <alignment horizontal="center" vertical="center"/>
    </xf>
    <xf numFmtId="0" fontId="19" fillId="26" borderId="12" xfId="0" applyFont="1" applyFill="1" applyBorder="1" applyAlignment="1">
      <alignment horizontal="center" vertical="center"/>
    </xf>
    <xf numFmtId="0" fontId="19" fillId="26" borderId="10" xfId="0" applyFont="1" applyFill="1" applyBorder="1" applyAlignment="1">
      <alignment horizontal="center" vertical="center"/>
    </xf>
    <xf numFmtId="0" fontId="19" fillId="26" borderId="11" xfId="0" applyFont="1" applyFill="1" applyBorder="1" applyAlignment="1">
      <alignment horizontal="center" vertical="center"/>
    </xf>
    <xf numFmtId="0" fontId="18" fillId="0" borderId="22" xfId="0" applyFont="1" applyBorder="1" applyAlignment="1">
      <alignment horizontal="left" vertical="center"/>
    </xf>
    <xf numFmtId="0" fontId="18" fillId="0" borderId="9" xfId="0" applyFont="1" applyBorder="1" applyAlignment="1">
      <alignment horizontal="left" vertical="center"/>
    </xf>
    <xf numFmtId="0" fontId="18" fillId="0" borderId="23" xfId="0" applyFont="1" applyBorder="1" applyAlignment="1">
      <alignment horizontal="left" vertical="center"/>
    </xf>
    <xf numFmtId="0" fontId="18" fillId="0" borderId="22" xfId="0" applyFont="1" applyBorder="1" applyAlignment="1">
      <alignment horizontal="left"/>
    </xf>
    <xf numFmtId="0" fontId="18" fillId="0" borderId="9" xfId="0" applyFont="1" applyBorder="1" applyAlignment="1">
      <alignment horizontal="left"/>
    </xf>
    <xf numFmtId="0" fontId="18" fillId="0" borderId="23" xfId="0" applyFont="1" applyBorder="1" applyAlignment="1">
      <alignment horizontal="left"/>
    </xf>
    <xf numFmtId="0" fontId="18" fillId="0" borderId="49" xfId="0" applyFont="1" applyBorder="1" applyAlignment="1">
      <alignment horizontal="left" vertical="top" wrapText="1"/>
    </xf>
    <xf numFmtId="0" fontId="18" fillId="0" borderId="48" xfId="0" applyFont="1" applyBorder="1" applyAlignment="1">
      <alignment horizontal="left" vertical="top" wrapText="1"/>
    </xf>
    <xf numFmtId="0" fontId="18" fillId="0" borderId="50" xfId="0" applyFont="1" applyBorder="1" applyAlignment="1">
      <alignment horizontal="left" vertical="top" wrapText="1"/>
    </xf>
    <xf numFmtId="0" fontId="18" fillId="0" borderId="35" xfId="0" applyFont="1" applyBorder="1" applyAlignment="1">
      <alignment horizontal="left" vertical="top" wrapText="1"/>
    </xf>
    <xf numFmtId="0" fontId="18" fillId="0" borderId="44" xfId="0" applyFont="1" applyBorder="1" applyAlignment="1">
      <alignment horizontal="left" vertical="top" wrapText="1"/>
    </xf>
    <xf numFmtId="0" fontId="18" fillId="0" borderId="36" xfId="0" applyFont="1" applyBorder="1" applyAlignment="1">
      <alignment horizontal="left" vertical="top" wrapText="1"/>
    </xf>
    <xf numFmtId="0" fontId="19" fillId="24" borderId="0" xfId="41" applyFont="1" applyFill="1" applyAlignment="1" applyProtection="1">
      <alignment horizontal="center" wrapText="1"/>
      <protection locked="0"/>
    </xf>
    <xf numFmtId="0" fontId="20" fillId="26" borderId="12" xfId="0" applyFont="1" applyFill="1" applyBorder="1" applyAlignment="1">
      <alignment horizontal="center" vertical="center"/>
    </xf>
    <xf numFmtId="0" fontId="20" fillId="26" borderId="10" xfId="0" applyFont="1" applyFill="1" applyBorder="1" applyAlignment="1">
      <alignment horizontal="center" vertical="center"/>
    </xf>
    <xf numFmtId="0" fontId="20" fillId="26" borderId="11" xfId="0" applyFont="1" applyFill="1" applyBorder="1" applyAlignment="1">
      <alignment horizontal="center" vertical="center"/>
    </xf>
    <xf numFmtId="0" fontId="18" fillId="0" borderId="18" xfId="0" applyFont="1" applyBorder="1" applyAlignment="1">
      <alignment horizontal="left" wrapText="1"/>
    </xf>
    <xf numFmtId="0" fontId="18" fillId="0" borderId="19" xfId="0" applyFont="1" applyBorder="1" applyAlignment="1">
      <alignment horizontal="left" wrapText="1"/>
    </xf>
    <xf numFmtId="0" fontId="18" fillId="0" borderId="21" xfId="0" applyFont="1" applyBorder="1" applyAlignment="1">
      <alignment horizontal="left" wrapText="1"/>
    </xf>
    <xf numFmtId="0" fontId="18" fillId="0" borderId="22" xfId="0" applyFont="1" applyBorder="1" applyAlignment="1">
      <alignment horizontal="left" wrapText="1"/>
    </xf>
    <xf numFmtId="0" fontId="18" fillId="0" borderId="9" xfId="0" applyFont="1" applyBorder="1" applyAlignment="1">
      <alignment horizontal="left" wrapText="1"/>
    </xf>
    <xf numFmtId="0" fontId="18" fillId="0" borderId="23" xfId="0" applyFont="1" applyBorder="1" applyAlignment="1">
      <alignment horizontal="left" wrapText="1"/>
    </xf>
    <xf numFmtId="0" fontId="20" fillId="26" borderId="9" xfId="0" applyFont="1" applyFill="1" applyBorder="1" applyAlignment="1">
      <alignment horizontal="center" vertical="center"/>
    </xf>
    <xf numFmtId="0" fontId="20" fillId="25" borderId="9" xfId="0" applyFont="1" applyFill="1" applyBorder="1" applyAlignment="1">
      <alignment horizontal="center" vertical="center"/>
    </xf>
    <xf numFmtId="0" fontId="20" fillId="26" borderId="9" xfId="0" applyFont="1" applyFill="1" applyBorder="1" applyAlignment="1">
      <alignment horizontal="center" wrapText="1"/>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38" xfId="0" applyBorder="1" applyAlignment="1">
      <alignment horizontal="center" vertical="center"/>
    </xf>
    <xf numFmtId="0" fontId="21" fillId="29" borderId="42" xfId="0" applyFont="1" applyFill="1" applyBorder="1" applyAlignment="1">
      <alignment horizontal="center" vertical="center" wrapText="1"/>
    </xf>
    <xf numFmtId="0" fontId="21" fillId="29" borderId="43" xfId="0" applyFont="1" applyFill="1" applyBorder="1" applyAlignment="1">
      <alignment horizontal="center" vertical="center" wrapText="1"/>
    </xf>
    <xf numFmtId="0" fontId="0" fillId="0" borderId="47" xfId="0" applyBorder="1" applyAlignment="1">
      <alignment horizontal="center" vertical="center"/>
    </xf>
  </cellXfs>
  <cellStyles count="46">
    <cellStyle name="20% - Colore 1" xfId="1" xr:uid="{00000000-0005-0000-0000-000000000000}"/>
    <cellStyle name="20% - Colore 2" xfId="2" xr:uid="{00000000-0005-0000-0000-000001000000}"/>
    <cellStyle name="20% - Colore 3" xfId="3" xr:uid="{00000000-0005-0000-0000-000002000000}"/>
    <cellStyle name="20% - Colore 4" xfId="4" xr:uid="{00000000-0005-0000-0000-000003000000}"/>
    <cellStyle name="20% - Colore 5" xfId="5" xr:uid="{00000000-0005-0000-0000-000004000000}"/>
    <cellStyle name="20% - Colore 6" xfId="6" xr:uid="{00000000-0005-0000-0000-000005000000}"/>
    <cellStyle name="40% - Colore 1" xfId="7" xr:uid="{00000000-0005-0000-0000-000006000000}"/>
    <cellStyle name="40% - Colore 2" xfId="8" xr:uid="{00000000-0005-0000-0000-000007000000}"/>
    <cellStyle name="40% - Colore 3" xfId="9" xr:uid="{00000000-0005-0000-0000-000008000000}"/>
    <cellStyle name="40% - Colore 4" xfId="10" xr:uid="{00000000-0005-0000-0000-000009000000}"/>
    <cellStyle name="40% - Colore 5" xfId="11" xr:uid="{00000000-0005-0000-0000-00000A000000}"/>
    <cellStyle name="40% - Colore 6" xfId="12" xr:uid="{00000000-0005-0000-0000-00000B000000}"/>
    <cellStyle name="60% - Colore 1" xfId="13" xr:uid="{00000000-0005-0000-0000-00000C000000}"/>
    <cellStyle name="60% - Colore 2" xfId="14" xr:uid="{00000000-0005-0000-0000-00000D000000}"/>
    <cellStyle name="60% - Colore 3" xfId="15" xr:uid="{00000000-0005-0000-0000-00000E000000}"/>
    <cellStyle name="60% - Colore 4" xfId="16" xr:uid="{00000000-0005-0000-0000-00000F000000}"/>
    <cellStyle name="60% - Colore 5" xfId="17" xr:uid="{00000000-0005-0000-0000-000010000000}"/>
    <cellStyle name="60% - Colore 6" xfId="18" xr:uid="{00000000-0005-0000-0000-000011000000}"/>
    <cellStyle name="Calcolo" xfId="19" xr:uid="{00000000-0005-0000-0000-000012000000}"/>
    <cellStyle name="Cella collegata" xfId="20" xr:uid="{00000000-0005-0000-0000-000013000000}"/>
    <cellStyle name="Cella da controllare" xfId="21" xr:uid="{00000000-0005-0000-0000-000014000000}"/>
    <cellStyle name="Colore 1" xfId="22" xr:uid="{00000000-0005-0000-0000-000015000000}"/>
    <cellStyle name="Colore 2" xfId="23" xr:uid="{00000000-0005-0000-0000-000016000000}"/>
    <cellStyle name="Colore 3" xfId="24" xr:uid="{00000000-0005-0000-0000-000017000000}"/>
    <cellStyle name="Colore 4" xfId="25" xr:uid="{00000000-0005-0000-0000-000018000000}"/>
    <cellStyle name="Colore 5" xfId="26" xr:uid="{00000000-0005-0000-0000-000019000000}"/>
    <cellStyle name="Colore 6" xfId="27" xr:uid="{00000000-0005-0000-0000-00001A000000}"/>
    <cellStyle name="Comma" xfId="42" builtinId="3"/>
    <cellStyle name="Comma 2" xfId="44" xr:uid="{00000000-0005-0000-0000-00001C000000}"/>
    <cellStyle name="Neutrale" xfId="28" xr:uid="{00000000-0005-0000-0000-00001D000000}"/>
    <cellStyle name="Norm੎੎" xfId="40" xr:uid="{00000000-0005-0000-0000-00001E000000}"/>
    <cellStyle name="Normal" xfId="0" builtinId="0"/>
    <cellStyle name="Normal 2" xfId="43" xr:uid="{00000000-0005-0000-0000-000020000000}"/>
    <cellStyle name="Normal_Hindustan Platinum_Worksheet_30.10.08" xfId="41" xr:uid="{00000000-0005-0000-0000-000021000000}"/>
    <cellStyle name="Nota" xfId="29" xr:uid="{00000000-0005-0000-0000-000022000000}"/>
    <cellStyle name="Percent" xfId="45" builtinId="5"/>
    <cellStyle name="Testo avviso" xfId="30" xr:uid="{00000000-0005-0000-0000-000024000000}"/>
    <cellStyle name="Testo descrittivo" xfId="31" xr:uid="{00000000-0005-0000-0000-000025000000}"/>
    <cellStyle name="Titolo" xfId="32" xr:uid="{00000000-0005-0000-0000-000026000000}"/>
    <cellStyle name="Titolo 1" xfId="33" xr:uid="{00000000-0005-0000-0000-000027000000}"/>
    <cellStyle name="Titolo 2" xfId="34" xr:uid="{00000000-0005-0000-0000-000028000000}"/>
    <cellStyle name="Titolo 3" xfId="35" xr:uid="{00000000-0005-0000-0000-000029000000}"/>
    <cellStyle name="Titolo 4" xfId="36" xr:uid="{00000000-0005-0000-0000-00002A000000}"/>
    <cellStyle name="Totale" xfId="37" xr:uid="{00000000-0005-0000-0000-00002B000000}"/>
    <cellStyle name="Valore non valido" xfId="38" xr:uid="{00000000-0005-0000-0000-00002C000000}"/>
    <cellStyle name="Valore valido" xfId="39" xr:uid="{00000000-0005-0000-0000-00002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10/relationships/person" Target="persons/person0.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92.168.1.100\home\DOCUME~1\SAUMIT~1\LOCALS~1\Temp\Temporary%20Directory%201%20for%20database_publishing_ver3.zip\Database_2006-07_0712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ual"/>
      <sheetName val="Log"/>
      <sheetName val="Results"/>
      <sheetName val="Data"/>
      <sheetName val="Units + Abbrev"/>
      <sheetName val="Assumptions"/>
      <sheetName val="Plausibility"/>
      <sheetName val="Transfers"/>
      <sheetName val="BM 0405"/>
      <sheetName val="BM 0506"/>
      <sheetName val="BM 0607"/>
      <sheetName val="Margins 0405"/>
      <sheetName val="Margins 0506"/>
      <sheetName val="Margins 0607"/>
      <sheetName val="Stat 0405"/>
      <sheetName val="Stat 0506"/>
      <sheetName val="Stat 0607"/>
      <sheetName val="Compare"/>
      <sheetName val="Unit_Gen 0405"/>
      <sheetName val="Unit_Gen 0506"/>
      <sheetName val="Unit_Gen 0607"/>
      <sheetName val="CDM"/>
    </sheetNames>
    <sheetDataSet>
      <sheetData sheetId="0"/>
      <sheetData sheetId="1"/>
      <sheetData sheetId="2"/>
      <sheetData sheetId="3"/>
      <sheetData sheetId="4"/>
      <sheetData sheetId="5">
        <row r="17">
          <cell r="D17">
            <v>8</v>
          </cell>
          <cell r="E17">
            <v>10</v>
          </cell>
          <cell r="F17">
            <v>3</v>
          </cell>
          <cell r="G17">
            <v>1</v>
          </cell>
          <cell r="H17">
            <v>3.5</v>
          </cell>
          <cell r="I17">
            <v>3.5</v>
          </cell>
          <cell r="K17">
            <v>3.5</v>
          </cell>
          <cell r="L17">
            <v>0.5</v>
          </cell>
          <cell r="M17">
            <v>10.5</v>
          </cell>
        </row>
        <row r="20">
          <cell r="D20">
            <v>2</v>
          </cell>
        </row>
        <row r="21">
          <cell r="D21">
            <v>3755</v>
          </cell>
          <cell r="F21">
            <v>8800</v>
          </cell>
          <cell r="H21">
            <v>10100</v>
          </cell>
          <cell r="I21">
            <v>10500</v>
          </cell>
          <cell r="K21">
            <v>11300</v>
          </cell>
        </row>
        <row r="22">
          <cell r="H22">
            <v>0.95</v>
          </cell>
          <cell r="I22">
            <v>0.83</v>
          </cell>
          <cell r="K22">
            <v>0.7</v>
          </cell>
        </row>
        <row r="23">
          <cell r="D23">
            <v>1.04</v>
          </cell>
          <cell r="E23">
            <v>1.28</v>
          </cell>
          <cell r="F23">
            <v>0.44</v>
          </cell>
          <cell r="G23">
            <v>0.68</v>
          </cell>
          <cell r="H23">
            <v>0.68</v>
          </cell>
          <cell r="I23">
            <v>0.6</v>
          </cell>
          <cell r="J23">
            <v>0.98</v>
          </cell>
        </row>
        <row r="30">
          <cell r="E30">
            <v>9</v>
          </cell>
          <cell r="F30">
            <v>9</v>
          </cell>
          <cell r="G30">
            <v>7.5</v>
          </cell>
        </row>
        <row r="34">
          <cell r="E34">
            <v>1.05</v>
          </cell>
          <cell r="F34">
            <v>1.05</v>
          </cell>
          <cell r="G34">
            <v>1</v>
          </cell>
        </row>
        <row r="47">
          <cell r="D47">
            <v>0.43</v>
          </cell>
          <cell r="E47">
            <v>0.42</v>
          </cell>
          <cell r="F47">
            <v>0.43</v>
          </cell>
        </row>
        <row r="52">
          <cell r="F52">
            <v>0.64</v>
          </cell>
          <cell r="G52">
            <v>0.6</v>
          </cell>
        </row>
        <row r="58">
          <cell r="D58">
            <v>0.64</v>
          </cell>
        </row>
        <row r="62">
          <cell r="D62">
            <v>0.5</v>
          </cell>
        </row>
        <row r="63">
          <cell r="D63">
            <v>0.5</v>
          </cell>
        </row>
        <row r="66">
          <cell r="D66">
            <v>4.1867999999999999</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3"/>
  <sheetViews>
    <sheetView zoomScale="90" zoomScaleNormal="90" workbookViewId="0">
      <pane ySplit="2" topLeftCell="A22" activePane="bottomLeft" state="frozen"/>
      <selection pane="bottomLeft" activeCell="F25" sqref="F25"/>
    </sheetView>
  </sheetViews>
  <sheetFormatPr defaultColWidth="9.1796875" defaultRowHeight="11.5" x14ac:dyDescent="0.25"/>
  <cols>
    <col min="1" max="1" width="9.81640625" style="25" customWidth="1"/>
    <col min="2" max="2" width="16.1796875" style="25" customWidth="1"/>
    <col min="3" max="3" width="8.54296875" style="25" customWidth="1"/>
    <col min="4" max="4" width="12.453125" style="25" customWidth="1"/>
    <col min="5" max="5" width="18.453125" style="25" customWidth="1"/>
    <col min="6" max="6" width="19.453125" style="25" customWidth="1"/>
    <col min="7" max="7" width="24.1796875" style="25" customWidth="1"/>
    <col min="8" max="8" width="17.453125" style="25" customWidth="1"/>
    <col min="9" max="10" width="15.453125" style="25" customWidth="1"/>
    <col min="11" max="11" width="11.1796875" style="25" customWidth="1"/>
    <col min="12" max="12" width="16" style="25" customWidth="1"/>
    <col min="13" max="16384" width="9.1796875" style="25"/>
  </cols>
  <sheetData>
    <row r="1" spans="1:12" ht="14.5" customHeight="1" x14ac:dyDescent="0.25">
      <c r="A1" s="88" t="s">
        <v>10</v>
      </c>
      <c r="B1" s="88"/>
      <c r="C1" s="88"/>
      <c r="D1" s="88"/>
      <c r="E1" s="88"/>
      <c r="F1" s="88"/>
      <c r="G1" s="88"/>
      <c r="H1" s="88"/>
      <c r="I1" s="88"/>
      <c r="J1" s="88"/>
      <c r="K1" s="88"/>
      <c r="L1" s="88"/>
    </row>
    <row r="2" spans="1:12" ht="14.5" customHeight="1" x14ac:dyDescent="0.25">
      <c r="A2" s="88" t="s">
        <v>31</v>
      </c>
      <c r="B2" s="88"/>
      <c r="C2" s="88"/>
      <c r="D2" s="88"/>
      <c r="E2" s="88"/>
      <c r="F2" s="88"/>
      <c r="G2" s="88"/>
      <c r="H2" s="88"/>
      <c r="I2" s="88"/>
      <c r="J2" s="88"/>
      <c r="K2" s="88"/>
      <c r="L2" s="88"/>
    </row>
    <row r="3" spans="1:12" x14ac:dyDescent="0.25">
      <c r="B3" s="46"/>
      <c r="C3" s="47"/>
      <c r="D3" s="47"/>
      <c r="E3" s="47"/>
      <c r="F3" s="46"/>
      <c r="G3" s="48"/>
      <c r="H3" s="47"/>
      <c r="I3" s="47"/>
      <c r="J3" s="47"/>
      <c r="K3" s="47"/>
      <c r="L3" s="47"/>
    </row>
    <row r="4" spans="1:12" x14ac:dyDescent="0.25">
      <c r="B4" s="46"/>
      <c r="C4" s="47"/>
      <c r="D4" s="47"/>
      <c r="E4" s="47"/>
      <c r="F4" s="46"/>
      <c r="G4" s="48"/>
      <c r="H4" s="47"/>
      <c r="I4" s="47"/>
      <c r="J4" s="47"/>
      <c r="K4" s="47"/>
      <c r="L4" s="47"/>
    </row>
    <row r="5" spans="1:12" ht="46" x14ac:dyDescent="0.25">
      <c r="B5" s="89" t="s">
        <v>11</v>
      </c>
      <c r="C5" s="90"/>
      <c r="D5" s="91"/>
      <c r="E5" s="49" t="s">
        <v>24</v>
      </c>
      <c r="F5" s="49" t="s">
        <v>25</v>
      </c>
      <c r="G5" s="9" t="s">
        <v>26</v>
      </c>
      <c r="H5" s="47"/>
      <c r="I5" s="47"/>
      <c r="J5" s="47"/>
      <c r="K5" s="47"/>
      <c r="L5" s="47"/>
    </row>
    <row r="6" spans="1:12" ht="13.5" x14ac:dyDescent="0.25">
      <c r="B6" s="92"/>
      <c r="C6" s="93"/>
      <c r="D6" s="94"/>
      <c r="E6" s="50" t="s">
        <v>58</v>
      </c>
      <c r="F6" s="50" t="s">
        <v>59</v>
      </c>
      <c r="G6" s="51" t="s">
        <v>60</v>
      </c>
      <c r="H6" s="47"/>
      <c r="I6" s="47"/>
      <c r="J6" s="47"/>
      <c r="K6" s="47"/>
      <c r="L6" s="47"/>
    </row>
    <row r="7" spans="1:12" x14ac:dyDescent="0.25">
      <c r="B7" s="52" t="s">
        <v>20</v>
      </c>
      <c r="C7" s="50"/>
      <c r="D7" s="50" t="s">
        <v>21</v>
      </c>
      <c r="E7" s="50" t="s">
        <v>22</v>
      </c>
      <c r="F7" s="50" t="s">
        <v>22</v>
      </c>
      <c r="G7" s="51" t="s">
        <v>22</v>
      </c>
      <c r="H7" s="47"/>
      <c r="I7" s="47"/>
      <c r="J7" s="47"/>
      <c r="K7" s="47"/>
      <c r="L7" s="47"/>
    </row>
    <row r="8" spans="1:12" x14ac:dyDescent="0.25">
      <c r="B8" s="10">
        <f>'Generation Data'!B9</f>
        <v>45292</v>
      </c>
      <c r="C8" s="53" t="s">
        <v>23</v>
      </c>
      <c r="D8" s="10">
        <f>'Generation Data'!C9</f>
        <v>45322</v>
      </c>
      <c r="E8" s="54">
        <f>'Generation Data'!V9/1000</f>
        <v>3019.2475500000146</v>
      </c>
      <c r="F8" s="54">
        <f>'Generation Data'!W9/1000</f>
        <v>8.1943750000000009</v>
      </c>
      <c r="G8" s="55">
        <f t="shared" ref="G8:G19" si="0">E8-F8</f>
        <v>3011.0531750000146</v>
      </c>
      <c r="H8" s="47"/>
      <c r="I8" s="47"/>
      <c r="J8" s="47"/>
      <c r="K8" s="47"/>
      <c r="L8" s="47"/>
    </row>
    <row r="9" spans="1:12" x14ac:dyDescent="0.25">
      <c r="B9" s="10">
        <f>'Generation Data'!B10</f>
        <v>45323</v>
      </c>
      <c r="C9" s="53" t="s">
        <v>23</v>
      </c>
      <c r="D9" s="10">
        <f>'Generation Data'!C10</f>
        <v>45351</v>
      </c>
      <c r="E9" s="54">
        <f>'Generation Data'!V10/1000</f>
        <v>2971.6295250000912</v>
      </c>
      <c r="F9" s="54">
        <f>'Generation Data'!W10/1000</f>
        <v>5.7480499999999974</v>
      </c>
      <c r="G9" s="55">
        <f t="shared" si="0"/>
        <v>2965.8814750000911</v>
      </c>
      <c r="H9" s="47"/>
      <c r="I9" s="47"/>
      <c r="J9" s="47"/>
      <c r="K9" s="47"/>
      <c r="L9" s="47"/>
    </row>
    <row r="10" spans="1:12" x14ac:dyDescent="0.25">
      <c r="B10" s="10">
        <f>'Generation Data'!B11</f>
        <v>45352</v>
      </c>
      <c r="C10" s="53" t="s">
        <v>23</v>
      </c>
      <c r="D10" s="10">
        <f>'Generation Data'!C11</f>
        <v>45382</v>
      </c>
      <c r="E10" s="54">
        <f>'Generation Data'!V11/1000</f>
        <v>4455.7344250000315</v>
      </c>
      <c r="F10" s="54">
        <f>'Generation Data'!W11/1000</f>
        <v>3.6767750000000063</v>
      </c>
      <c r="G10" s="55">
        <f t="shared" si="0"/>
        <v>4452.0576500000316</v>
      </c>
      <c r="H10" s="47"/>
      <c r="I10" s="47"/>
      <c r="J10" s="47"/>
      <c r="K10" s="47"/>
      <c r="L10" s="47"/>
    </row>
    <row r="11" spans="1:12" x14ac:dyDescent="0.25">
      <c r="B11" s="10">
        <f>'Generation Data'!B12</f>
        <v>45383</v>
      </c>
      <c r="C11" s="53" t="s">
        <v>23</v>
      </c>
      <c r="D11" s="10">
        <f>'Generation Data'!C12</f>
        <v>45412</v>
      </c>
      <c r="E11" s="54">
        <f>'Generation Data'!V12/1000</f>
        <v>5309.980174999976</v>
      </c>
      <c r="F11" s="54">
        <f>'Generation Data'!W12/1000</f>
        <v>3.0485999999999787</v>
      </c>
      <c r="G11" s="55">
        <f t="shared" si="0"/>
        <v>5306.931574999976</v>
      </c>
      <c r="H11" s="47"/>
      <c r="I11" s="47"/>
      <c r="J11" s="47"/>
      <c r="K11" s="47"/>
      <c r="L11" s="47"/>
    </row>
    <row r="12" spans="1:12" x14ac:dyDescent="0.25">
      <c r="B12" s="10">
        <f>'Generation Data'!B13</f>
        <v>45413</v>
      </c>
      <c r="C12" s="53" t="s">
        <v>23</v>
      </c>
      <c r="D12" s="10">
        <f>'Generation Data'!C13</f>
        <v>45443</v>
      </c>
      <c r="E12" s="54">
        <f>'Generation Data'!V13/1000</f>
        <v>9099.272299999966</v>
      </c>
      <c r="F12" s="54">
        <f>'Generation Data'!W13/1000</f>
        <v>4.9210999999999867</v>
      </c>
      <c r="G12" s="55">
        <f t="shared" si="0"/>
        <v>9094.3511999999664</v>
      </c>
      <c r="H12" s="47"/>
      <c r="I12" s="47"/>
      <c r="J12" s="47"/>
      <c r="K12" s="47"/>
      <c r="L12" s="47"/>
    </row>
    <row r="13" spans="1:12" x14ac:dyDescent="0.25">
      <c r="B13" s="10">
        <f>'Generation Data'!B14</f>
        <v>45444</v>
      </c>
      <c r="C13" s="53" t="s">
        <v>23</v>
      </c>
      <c r="D13" s="10">
        <f>'Generation Data'!C14</f>
        <v>45473</v>
      </c>
      <c r="E13" s="54">
        <f>'Generation Data'!V14/1000</f>
        <v>9958.3837749999948</v>
      </c>
      <c r="F13" s="54">
        <f>'Generation Data'!W14/1000</f>
        <v>3.4772000000000789</v>
      </c>
      <c r="G13" s="55">
        <f t="shared" si="0"/>
        <v>9954.9065749999954</v>
      </c>
      <c r="H13" s="47"/>
      <c r="I13" s="47"/>
      <c r="J13" s="47"/>
      <c r="K13" s="47"/>
      <c r="L13" s="47"/>
    </row>
    <row r="14" spans="1:12" x14ac:dyDescent="0.25">
      <c r="B14" s="10">
        <f>'Generation Data'!B15</f>
        <v>45474</v>
      </c>
      <c r="C14" s="53" t="s">
        <v>23</v>
      </c>
      <c r="D14" s="10">
        <f>'Generation Data'!C15</f>
        <v>45504</v>
      </c>
      <c r="E14" s="54">
        <f>'Generation Data'!V15/1000</f>
        <v>23781.161574999951</v>
      </c>
      <c r="F14" s="54">
        <f>'Generation Data'!W15/1000</f>
        <v>1.6336499999999443</v>
      </c>
      <c r="G14" s="55">
        <f t="shared" si="0"/>
        <v>23779.527924999951</v>
      </c>
      <c r="H14" s="47"/>
      <c r="I14" s="47"/>
      <c r="J14" s="47"/>
      <c r="K14" s="47"/>
      <c r="L14" s="47"/>
    </row>
    <row r="15" spans="1:12" x14ac:dyDescent="0.25">
      <c r="B15" s="10">
        <f>'Generation Data'!B16</f>
        <v>45505</v>
      </c>
      <c r="C15" s="53" t="s">
        <v>23</v>
      </c>
      <c r="D15" s="10">
        <f>'Generation Data'!C16</f>
        <v>45535</v>
      </c>
      <c r="E15" s="54">
        <f>'Generation Data'!V16/1000</f>
        <v>12167.647341830112</v>
      </c>
      <c r="F15" s="54">
        <f>'Generation Data'!W16/1000</f>
        <v>9.1512268400000281</v>
      </c>
      <c r="G15" s="55">
        <f t="shared" si="0"/>
        <v>12158.496114990112</v>
      </c>
      <c r="H15" s="47"/>
      <c r="I15" s="47"/>
      <c r="J15" s="47"/>
      <c r="K15" s="47"/>
      <c r="L15" s="47"/>
    </row>
    <row r="16" spans="1:12" x14ac:dyDescent="0.25">
      <c r="B16" s="10">
        <f>'Generation Data'!B17</f>
        <v>45536</v>
      </c>
      <c r="C16" s="53" t="s">
        <v>23</v>
      </c>
      <c r="D16" s="10">
        <f>'Generation Data'!C17</f>
        <v>45565</v>
      </c>
      <c r="E16" s="54">
        <f>'Generation Data'!V17/1000</f>
        <v>5598.4340759999995</v>
      </c>
      <c r="F16" s="54">
        <f>'Generation Data'!W17/1000</f>
        <v>1.1848052000000024</v>
      </c>
      <c r="G16" s="55">
        <f t="shared" si="0"/>
        <v>5597.2492708</v>
      </c>
      <c r="H16" s="47"/>
      <c r="I16" s="47"/>
      <c r="J16" s="47"/>
      <c r="K16" s="47"/>
      <c r="L16" s="47"/>
    </row>
    <row r="17" spans="1:13" x14ac:dyDescent="0.25">
      <c r="B17" s="10">
        <f>'Generation Data'!B18</f>
        <v>45566</v>
      </c>
      <c r="C17" s="53" t="s">
        <v>23</v>
      </c>
      <c r="D17" s="10">
        <f>'Generation Data'!C18</f>
        <v>45596</v>
      </c>
      <c r="E17" s="54">
        <f>'Generation Data'!V18/1000</f>
        <v>2908.8474587999995</v>
      </c>
      <c r="F17" s="54">
        <f>'Generation Data'!W18/1000</f>
        <v>5.9711675999999985</v>
      </c>
      <c r="G17" s="55">
        <f t="shared" si="0"/>
        <v>2902.8762911999993</v>
      </c>
      <c r="H17" s="47"/>
      <c r="I17" s="47"/>
      <c r="J17" s="47"/>
      <c r="K17" s="47"/>
      <c r="L17" s="47"/>
    </row>
    <row r="18" spans="1:13" x14ac:dyDescent="0.25">
      <c r="B18" s="10">
        <f>'Generation Data'!B19</f>
        <v>45597</v>
      </c>
      <c r="C18" s="53" t="s">
        <v>23</v>
      </c>
      <c r="D18" s="10">
        <f>'Generation Data'!C19</f>
        <v>45626</v>
      </c>
      <c r="E18" s="54">
        <f>'Generation Data'!V19/1000</f>
        <v>3396.9368824499998</v>
      </c>
      <c r="F18" s="54">
        <f>'Generation Data'!W19/1000</f>
        <v>2.3767700999999994</v>
      </c>
      <c r="G18" s="55">
        <f t="shared" si="0"/>
        <v>3394.5601123499996</v>
      </c>
      <c r="H18" s="47"/>
      <c r="I18" s="47"/>
      <c r="J18" s="47"/>
      <c r="K18" s="47"/>
      <c r="L18" s="47"/>
    </row>
    <row r="19" spans="1:13" ht="12" thickBot="1" x14ac:dyDescent="0.3">
      <c r="B19" s="10">
        <f>'Generation Data'!B20</f>
        <v>45627</v>
      </c>
      <c r="C19" s="53" t="s">
        <v>23</v>
      </c>
      <c r="D19" s="10">
        <f>'Generation Data'!C20</f>
        <v>45657</v>
      </c>
      <c r="E19" s="54">
        <f>'Generation Data'!V20/1000</f>
        <v>2228.4047658000009</v>
      </c>
      <c r="F19" s="54">
        <f>'Generation Data'!W20/1000</f>
        <v>4.1903661000000021</v>
      </c>
      <c r="G19" s="55">
        <f t="shared" si="0"/>
        <v>2224.2143997000007</v>
      </c>
      <c r="H19" s="47"/>
      <c r="I19" s="47"/>
      <c r="J19" s="47"/>
      <c r="K19" s="47"/>
      <c r="L19" s="47"/>
    </row>
    <row r="20" spans="1:13" ht="26.5" customHeight="1" thickBot="1" x14ac:dyDescent="0.3">
      <c r="B20" s="98" t="s">
        <v>1</v>
      </c>
      <c r="C20" s="99"/>
      <c r="D20" s="99"/>
      <c r="E20" s="56">
        <f>SUM(E8:E19)</f>
        <v>84895.679849880151</v>
      </c>
      <c r="F20" s="56">
        <f>SUM(F8:F19)</f>
        <v>53.574085840000023</v>
      </c>
      <c r="G20" s="56">
        <f>SUM(G8:G19)</f>
        <v>84842.105764040127</v>
      </c>
      <c r="H20" s="57"/>
    </row>
    <row r="21" spans="1:13" ht="12" thickBot="1" x14ac:dyDescent="0.3"/>
    <row r="22" spans="1:13" ht="76.75" customHeight="1" x14ac:dyDescent="0.25">
      <c r="A22" s="100" t="s">
        <v>29</v>
      </c>
      <c r="B22" s="95" t="s">
        <v>11</v>
      </c>
      <c r="C22" s="95"/>
      <c r="D22" s="95"/>
      <c r="E22" s="49" t="s">
        <v>12</v>
      </c>
      <c r="F22" s="49" t="s">
        <v>13</v>
      </c>
      <c r="G22" s="49" t="s">
        <v>19</v>
      </c>
      <c r="H22" s="49" t="s">
        <v>14</v>
      </c>
      <c r="I22" s="49" t="s">
        <v>15</v>
      </c>
      <c r="J22" s="49" t="s">
        <v>16</v>
      </c>
      <c r="K22" s="49" t="s">
        <v>17</v>
      </c>
      <c r="L22" s="9" t="s">
        <v>18</v>
      </c>
    </row>
    <row r="23" spans="1:13" ht="14" thickBot="1" x14ac:dyDescent="0.3">
      <c r="A23" s="101"/>
      <c r="B23" s="97"/>
      <c r="C23" s="97"/>
      <c r="D23" s="97"/>
      <c r="E23" s="58" t="s">
        <v>58</v>
      </c>
      <c r="F23" s="58" t="s">
        <v>61</v>
      </c>
      <c r="G23" s="58" t="s">
        <v>60</v>
      </c>
      <c r="H23" s="58" t="s">
        <v>62</v>
      </c>
      <c r="I23" s="58" t="s">
        <v>63</v>
      </c>
      <c r="J23" s="58" t="s">
        <v>64</v>
      </c>
      <c r="K23" s="58" t="s">
        <v>65</v>
      </c>
      <c r="L23" s="59" t="s">
        <v>66</v>
      </c>
    </row>
    <row r="24" spans="1:13" ht="20.25" customHeight="1" x14ac:dyDescent="0.25">
      <c r="A24" s="60">
        <v>2024</v>
      </c>
      <c r="B24" s="61">
        <f>B8</f>
        <v>45292</v>
      </c>
      <c r="C24" s="61" t="s">
        <v>23</v>
      </c>
      <c r="D24" s="61">
        <f>D19</f>
        <v>45657</v>
      </c>
      <c r="E24" s="62">
        <f>SUM(E8:E19)</f>
        <v>84895.679849880151</v>
      </c>
      <c r="F24" s="62">
        <f>SUM(F8:F19)</f>
        <v>53.574085840000023</v>
      </c>
      <c r="G24" s="62">
        <f>SUM(G8:G19)</f>
        <v>84842.105764040127</v>
      </c>
      <c r="H24" s="63">
        <v>0.93100000000000005</v>
      </c>
      <c r="I24" s="64">
        <f>ROUNDDOWN(G24*H24,0)</f>
        <v>78988</v>
      </c>
      <c r="J24" s="65">
        <v>0</v>
      </c>
      <c r="K24" s="65">
        <v>0</v>
      </c>
      <c r="L24" s="66">
        <f>(I24-J24-K24)</f>
        <v>78988</v>
      </c>
    </row>
    <row r="25" spans="1:13" ht="20.25" customHeight="1" thickBot="1" x14ac:dyDescent="0.3">
      <c r="A25" s="102" t="s">
        <v>1</v>
      </c>
      <c r="B25" s="103"/>
      <c r="C25" s="103"/>
      <c r="D25" s="104"/>
      <c r="E25" s="67">
        <f>E24</f>
        <v>84895.679849880151</v>
      </c>
      <c r="F25" s="67">
        <f>F24</f>
        <v>53.574085840000023</v>
      </c>
      <c r="G25" s="67">
        <f t="shared" ref="G25:J25" si="1">G24</f>
        <v>84842.105764040127</v>
      </c>
      <c r="H25" s="67"/>
      <c r="I25" s="68">
        <f t="shared" si="1"/>
        <v>78988</v>
      </c>
      <c r="J25" s="68">
        <f t="shared" si="1"/>
        <v>0</v>
      </c>
      <c r="K25" s="68">
        <f t="shared" ref="K25" si="2">K24</f>
        <v>0</v>
      </c>
      <c r="L25" s="68">
        <f t="shared" ref="L25" si="3">L24</f>
        <v>78988</v>
      </c>
    </row>
    <row r="26" spans="1:13" x14ac:dyDescent="0.25">
      <c r="B26" s="69"/>
      <c r="C26" s="1"/>
      <c r="D26" s="69"/>
      <c r="E26" s="70"/>
      <c r="J26" s="71"/>
      <c r="K26" s="71"/>
      <c r="L26" s="71"/>
    </row>
    <row r="27" spans="1:13" ht="12" thickBot="1" x14ac:dyDescent="0.3"/>
    <row r="28" spans="1:13" ht="34.5" x14ac:dyDescent="0.25">
      <c r="B28" s="72" t="s">
        <v>37</v>
      </c>
      <c r="C28" s="73"/>
      <c r="D28" s="73" t="s">
        <v>38</v>
      </c>
      <c r="E28" s="49" t="s">
        <v>39</v>
      </c>
      <c r="F28" s="49" t="s">
        <v>40</v>
      </c>
      <c r="G28" s="73" t="s">
        <v>41</v>
      </c>
      <c r="H28" s="49" t="s">
        <v>42</v>
      </c>
      <c r="I28" s="95" t="s">
        <v>43</v>
      </c>
      <c r="J28" s="96"/>
      <c r="L28" s="74"/>
      <c r="M28" s="74"/>
    </row>
    <row r="29" spans="1:13" x14ac:dyDescent="0.25">
      <c r="B29" s="75">
        <f>B24</f>
        <v>45292</v>
      </c>
      <c r="C29" s="76" t="s">
        <v>23</v>
      </c>
      <c r="D29" s="77">
        <f>D24</f>
        <v>45657</v>
      </c>
      <c r="E29" s="78">
        <f>D29-B29+1</f>
        <v>366</v>
      </c>
      <c r="F29" s="79">
        <v>82885</v>
      </c>
      <c r="G29" s="79">
        <f>ROUNDDOWN(F29*E29/365,0)</f>
        <v>83112</v>
      </c>
      <c r="H29" s="79">
        <f>L24</f>
        <v>78988</v>
      </c>
      <c r="I29" s="86">
        <f>H29/G29-1</f>
        <v>-4.9619790162672039E-2</v>
      </c>
      <c r="J29" s="87"/>
    </row>
    <row r="30" spans="1:13" ht="16" customHeight="1" thickBot="1" x14ac:dyDescent="0.3">
      <c r="B30" s="105" t="s">
        <v>1</v>
      </c>
      <c r="C30" s="106"/>
      <c r="D30" s="107"/>
      <c r="E30" s="80">
        <f>E29</f>
        <v>366</v>
      </c>
      <c r="F30" s="81"/>
      <c r="G30" s="80">
        <f>G29</f>
        <v>83112</v>
      </c>
      <c r="H30" s="80">
        <f>H29</f>
        <v>78988</v>
      </c>
      <c r="I30" s="86">
        <f>H30/G30-1</f>
        <v>-4.9619790162672039E-2</v>
      </c>
      <c r="J30" s="87"/>
    </row>
    <row r="33" spans="4:5" x14ac:dyDescent="0.25">
      <c r="D33" s="82" t="s">
        <v>44</v>
      </c>
      <c r="E33" s="83">
        <f>G20/(E30*24*56)</f>
        <v>0.17247695843912658</v>
      </c>
    </row>
  </sheetData>
  <mergeCells count="11">
    <mergeCell ref="I30:J30"/>
    <mergeCell ref="A1:L1"/>
    <mergeCell ref="A2:L2"/>
    <mergeCell ref="B5:D6"/>
    <mergeCell ref="I28:J28"/>
    <mergeCell ref="I29:J29"/>
    <mergeCell ref="B22:D23"/>
    <mergeCell ref="B20:D20"/>
    <mergeCell ref="A22:A23"/>
    <mergeCell ref="A25:D25"/>
    <mergeCell ref="B30:D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29"/>
  <sheetViews>
    <sheetView showGridLines="0" tabSelected="1" topLeftCell="A4" zoomScale="106" zoomScaleNormal="106" workbookViewId="0">
      <pane xSplit="3" ySplit="4" topLeftCell="D10" activePane="bottomRight" state="frozen"/>
      <selection activeCell="A4" sqref="A4"/>
      <selection pane="topRight" activeCell="D4" sqref="D4"/>
      <selection pane="bottomLeft" activeCell="A10" sqref="A10"/>
      <selection pane="bottomRight" activeCell="D26" sqref="D26:J26"/>
    </sheetView>
  </sheetViews>
  <sheetFormatPr defaultColWidth="9.1796875" defaultRowHeight="11.5" x14ac:dyDescent="0.35"/>
  <cols>
    <col min="1" max="1" width="2.81640625" style="1" customWidth="1"/>
    <col min="2" max="2" width="13.1796875" style="1" customWidth="1"/>
    <col min="3" max="3" width="13.453125" style="1" bestFit="1" customWidth="1"/>
    <col min="4" max="4" width="16.453125" style="1" bestFit="1" customWidth="1"/>
    <col min="5" max="5" width="13.453125" style="1" customWidth="1"/>
    <col min="6" max="6" width="17.453125" style="1" customWidth="1"/>
    <col min="7" max="7" width="3" style="1" customWidth="1"/>
    <col min="8" max="8" width="15.453125" style="1" customWidth="1"/>
    <col min="9" max="9" width="17.453125" style="1" customWidth="1"/>
    <col min="10" max="10" width="15.453125" style="1" bestFit="1" customWidth="1"/>
    <col min="11" max="11" width="2.81640625" style="1" customWidth="1"/>
    <col min="12" max="12" width="16.453125" style="1" bestFit="1" customWidth="1"/>
    <col min="13" max="13" width="14.453125" style="1" bestFit="1" customWidth="1"/>
    <col min="14" max="14" width="16.453125" style="1" bestFit="1" customWidth="1"/>
    <col min="15" max="15" width="2.81640625" style="1" customWidth="1"/>
    <col min="16" max="16" width="16.453125" style="1" bestFit="1" customWidth="1"/>
    <col min="17" max="17" width="14.453125" style="1" bestFit="1" customWidth="1"/>
    <col min="18" max="18" width="16.453125" style="1" bestFit="1" customWidth="1"/>
    <col min="19" max="19" width="14.1796875" style="1" bestFit="1" customWidth="1"/>
    <col min="20" max="20" width="3" style="1" customWidth="1"/>
    <col min="21" max="21" width="3.453125" style="1" customWidth="1"/>
    <col min="22" max="22" width="17.453125" style="1" bestFit="1" customWidth="1"/>
    <col min="23" max="23" width="19.1796875" style="1" customWidth="1"/>
    <col min="24" max="24" width="15.1796875" style="1" bestFit="1" customWidth="1"/>
    <col min="25" max="25" width="14.81640625" style="1" customWidth="1"/>
    <col min="26" max="26" width="13.453125" style="1" bestFit="1" customWidth="1"/>
    <col min="27" max="27" width="13.81640625" style="1" bestFit="1" customWidth="1"/>
    <col min="28" max="28" width="13.453125" style="1" bestFit="1" customWidth="1"/>
    <col min="29" max="29" width="14.453125" style="1" bestFit="1" customWidth="1"/>
    <col min="30" max="31" width="10.1796875" style="1" bestFit="1" customWidth="1"/>
    <col min="32" max="32" width="14.453125" style="1" bestFit="1" customWidth="1"/>
    <col min="33" max="33" width="11.453125" style="1" bestFit="1" customWidth="1"/>
    <col min="34" max="34" width="14.453125" style="1" bestFit="1" customWidth="1"/>
    <col min="35" max="35" width="28.453125" style="1" customWidth="1"/>
    <col min="36" max="36" width="9.81640625" style="1" customWidth="1"/>
    <col min="37" max="37" width="9.1796875" style="1" customWidth="1"/>
    <col min="38" max="38" width="14" style="1" bestFit="1" customWidth="1"/>
    <col min="39" max="39" width="14.453125" style="1" bestFit="1" customWidth="1"/>
    <col min="40" max="40" width="12" style="1" customWidth="1"/>
    <col min="41" max="41" width="14.453125" style="1" bestFit="1" customWidth="1"/>
    <col min="42" max="42" width="9.1796875" style="1" customWidth="1"/>
    <col min="43" max="43" width="17.453125" style="1" customWidth="1"/>
    <col min="44" max="44" width="23.1796875" style="1" customWidth="1"/>
    <col min="45" max="45" width="13.453125" style="1" bestFit="1" customWidth="1"/>
    <col min="46" max="46" width="12" style="1" customWidth="1"/>
    <col min="47" max="48" width="12.81640625" style="1" customWidth="1"/>
    <col min="49" max="49" width="14.453125" style="1" customWidth="1"/>
    <col min="50" max="50" width="9.1796875" style="1" customWidth="1"/>
    <col min="51" max="51" width="12.453125" style="1" customWidth="1"/>
    <col min="52" max="52" width="14.453125" style="1" customWidth="1"/>
    <col min="53" max="53" width="14.453125" style="1" bestFit="1" customWidth="1"/>
    <col min="54" max="54" width="12" style="1" customWidth="1"/>
    <col min="55" max="55" width="14.453125" style="1" bestFit="1" customWidth="1"/>
    <col min="56" max="56" width="28.453125" style="2" customWidth="1"/>
    <col min="57" max="57" width="13.453125" style="1" bestFit="1" customWidth="1"/>
    <col min="58" max="58" width="9.1796875" style="1"/>
    <col min="59" max="59" width="19.1796875" style="1" customWidth="1"/>
    <col min="60" max="16384" width="9.1796875" style="1"/>
  </cols>
  <sheetData>
    <row r="1" spans="1:56" ht="15.75" customHeight="1" x14ac:dyDescent="0.25">
      <c r="B1" s="131" t="str">
        <f>'ER Sheet'!A1</f>
        <v>Project Title: Wind power project in Maharashtra, India – Andhra Lake Phase - I</v>
      </c>
      <c r="C1" s="131"/>
      <c r="D1" s="131"/>
      <c r="E1" s="131"/>
      <c r="F1" s="131"/>
      <c r="G1" s="131"/>
      <c r="H1" s="131"/>
      <c r="I1" s="131"/>
      <c r="J1" s="131"/>
      <c r="K1" s="131"/>
      <c r="L1" s="131"/>
      <c r="M1" s="131"/>
      <c r="N1" s="131"/>
    </row>
    <row r="2" spans="1:56" x14ac:dyDescent="0.25">
      <c r="B2" s="131" t="str">
        <f>'ER Sheet'!A2</f>
        <v>VCS Ref No: 1480</v>
      </c>
      <c r="C2" s="131"/>
      <c r="D2" s="131"/>
      <c r="E2" s="131"/>
      <c r="F2" s="131"/>
      <c r="G2" s="131"/>
      <c r="H2" s="131"/>
      <c r="I2" s="131"/>
      <c r="J2" s="131"/>
      <c r="K2" s="131"/>
      <c r="L2" s="131"/>
      <c r="M2" s="131"/>
      <c r="N2" s="131"/>
    </row>
    <row r="3" spans="1:56" x14ac:dyDescent="0.25">
      <c r="B3" s="131" t="e">
        <f>'ER Sheet'!#REF!</f>
        <v>#REF!</v>
      </c>
      <c r="C3" s="131"/>
      <c r="D3" s="131"/>
      <c r="E3" s="131"/>
      <c r="F3" s="131"/>
      <c r="G3" s="131"/>
      <c r="H3" s="131"/>
      <c r="I3" s="131"/>
      <c r="J3" s="131"/>
      <c r="K3" s="131"/>
      <c r="L3" s="131"/>
      <c r="M3" s="131"/>
      <c r="N3" s="131"/>
    </row>
    <row r="5" spans="1:56" ht="17.25" customHeight="1" thickBot="1" x14ac:dyDescent="0.4">
      <c r="D5" s="1" t="s">
        <v>3</v>
      </c>
      <c r="E5" s="1">
        <v>15</v>
      </c>
      <c r="H5" s="1" t="s">
        <v>8</v>
      </c>
      <c r="I5" s="1" t="s">
        <v>2</v>
      </c>
      <c r="J5" s="1">
        <v>25</v>
      </c>
      <c r="L5" s="1" t="s">
        <v>5</v>
      </c>
      <c r="M5" s="1" t="s">
        <v>2</v>
      </c>
      <c r="N5" s="1">
        <v>16</v>
      </c>
      <c r="P5" s="1" t="s">
        <v>6</v>
      </c>
      <c r="Q5" s="1" t="s">
        <v>2</v>
      </c>
      <c r="R5" s="1">
        <f>3+7+4</f>
        <v>14</v>
      </c>
      <c r="U5" s="2"/>
      <c r="BD5" s="1"/>
    </row>
    <row r="6" spans="1:56" x14ac:dyDescent="0.35">
      <c r="A6" s="3"/>
      <c r="D6" s="116" t="s">
        <v>4</v>
      </c>
      <c r="E6" s="117"/>
      <c r="F6" s="118"/>
      <c r="H6" s="116" t="s">
        <v>9</v>
      </c>
      <c r="I6" s="117"/>
      <c r="J6" s="118"/>
      <c r="L6" s="116" t="s">
        <v>36</v>
      </c>
      <c r="M6" s="117"/>
      <c r="N6" s="118"/>
      <c r="P6" s="116" t="s">
        <v>35</v>
      </c>
      <c r="Q6" s="117"/>
      <c r="R6" s="118"/>
      <c r="U6" s="2"/>
      <c r="V6" s="108" t="s">
        <v>30</v>
      </c>
      <c r="W6" s="109"/>
      <c r="BD6" s="1"/>
    </row>
    <row r="7" spans="1:56" s="4" customFormat="1" ht="12" thickBot="1" x14ac:dyDescent="0.4">
      <c r="B7" s="112" t="s">
        <v>7</v>
      </c>
      <c r="C7" s="113"/>
      <c r="D7" s="132" t="s">
        <v>0</v>
      </c>
      <c r="E7" s="133"/>
      <c r="F7" s="134"/>
      <c r="H7" s="116" t="s">
        <v>0</v>
      </c>
      <c r="I7" s="117"/>
      <c r="J7" s="117"/>
      <c r="L7" s="116" t="s">
        <v>0</v>
      </c>
      <c r="M7" s="117"/>
      <c r="N7" s="118"/>
      <c r="P7" s="116" t="s">
        <v>0</v>
      </c>
      <c r="Q7" s="117"/>
      <c r="R7" s="118"/>
      <c r="U7" s="5"/>
      <c r="V7" s="110"/>
      <c r="W7" s="111"/>
    </row>
    <row r="8" spans="1:56" s="4" customFormat="1" ht="46" x14ac:dyDescent="0.35">
      <c r="B8" s="114"/>
      <c r="C8" s="115"/>
      <c r="D8" s="6" t="s">
        <v>32</v>
      </c>
      <c r="E8" s="6" t="s">
        <v>33</v>
      </c>
      <c r="F8" s="6" t="s">
        <v>34</v>
      </c>
      <c r="H8" s="6" t="s">
        <v>32</v>
      </c>
      <c r="I8" s="6" t="s">
        <v>33</v>
      </c>
      <c r="J8" s="6" t="s">
        <v>34</v>
      </c>
      <c r="L8" s="6" t="s">
        <v>32</v>
      </c>
      <c r="M8" s="6" t="s">
        <v>33</v>
      </c>
      <c r="N8" s="6" t="s">
        <v>34</v>
      </c>
      <c r="P8" s="6" t="s">
        <v>32</v>
      </c>
      <c r="Q8" s="6" t="s">
        <v>33</v>
      </c>
      <c r="R8" s="6" t="s">
        <v>34</v>
      </c>
      <c r="U8" s="7"/>
      <c r="V8" s="8" t="s">
        <v>27</v>
      </c>
      <c r="W8" s="9" t="s">
        <v>28</v>
      </c>
    </row>
    <row r="9" spans="1:56" s="4" customFormat="1" x14ac:dyDescent="0.25">
      <c r="B9" s="10">
        <v>45292</v>
      </c>
      <c r="C9" s="10">
        <f>B9+30</f>
        <v>45322</v>
      </c>
      <c r="D9" s="11">
        <v>235678.12500003492</v>
      </c>
      <c r="E9" s="11">
        <v>506.25000000000853</v>
      </c>
      <c r="F9" s="12">
        <f t="shared" ref="F9:F10" si="0">D9-E9</f>
        <v>235171.87500003492</v>
      </c>
      <c r="G9" s="13"/>
      <c r="H9" s="14">
        <v>783521.99999999721</v>
      </c>
      <c r="I9" s="14">
        <v>2801.9999999999754</v>
      </c>
      <c r="J9" s="15">
        <f>H9-I9</f>
        <v>780719.99999999721</v>
      </c>
      <c r="K9" s="13"/>
      <c r="L9" s="11">
        <v>769031.25</v>
      </c>
      <c r="M9" s="11">
        <v>2488.1249999999964</v>
      </c>
      <c r="N9" s="15">
        <f>L9-M9</f>
        <v>766543.125</v>
      </c>
      <c r="O9" s="13"/>
      <c r="P9" s="11">
        <f>'Feeder 8 Apportionment'!L6</f>
        <v>1231016.1749999826</v>
      </c>
      <c r="Q9" s="11">
        <f>'Feeder 8 Apportionment'!M6</f>
        <v>2398.0000000000205</v>
      </c>
      <c r="R9" s="15">
        <f>P9-Q9</f>
        <v>1228618.1749999826</v>
      </c>
      <c r="S9" s="13"/>
      <c r="T9" s="13"/>
      <c r="U9" s="16"/>
      <c r="V9" s="17">
        <f>D9+H9+L9+P9</f>
        <v>3019247.5500000147</v>
      </c>
      <c r="W9" s="18">
        <f>Q9+M9+I9+E9</f>
        <v>8194.375</v>
      </c>
      <c r="X9" s="84"/>
      <c r="Z9" s="84"/>
    </row>
    <row r="10" spans="1:56" s="4" customFormat="1" x14ac:dyDescent="0.25">
      <c r="B10" s="10">
        <f>C9+1</f>
        <v>45323</v>
      </c>
      <c r="C10" s="10">
        <f>B10+28</f>
        <v>45351</v>
      </c>
      <c r="D10" s="11">
        <v>647818.12500000524</v>
      </c>
      <c r="E10" s="11">
        <v>1295.6249999999941</v>
      </c>
      <c r="F10" s="19">
        <f t="shared" si="0"/>
        <v>646522.50000000524</v>
      </c>
      <c r="G10" s="13"/>
      <c r="H10" s="14">
        <v>921726.0000000475</v>
      </c>
      <c r="I10" s="14">
        <v>2316.0000000000082</v>
      </c>
      <c r="J10" s="15">
        <f t="shared" ref="J10:J20" si="1">H10-I10</f>
        <v>919410.0000000475</v>
      </c>
      <c r="K10" s="13"/>
      <c r="L10" s="11">
        <v>631291.87500002445</v>
      </c>
      <c r="M10" s="11">
        <v>1181.2500000000127</v>
      </c>
      <c r="N10" s="15">
        <f t="shared" ref="N10:N20" si="2">L10-M10</f>
        <v>630110.62500002445</v>
      </c>
      <c r="O10" s="13"/>
      <c r="P10" s="11">
        <f>'Feeder 8 Apportionment'!L7</f>
        <v>770793.52500001399</v>
      </c>
      <c r="Q10" s="11">
        <f>'Feeder 8 Apportionment'!M7</f>
        <v>955.1749999999829</v>
      </c>
      <c r="R10" s="15">
        <f t="shared" ref="R10:R20" si="3">P10-Q10</f>
        <v>769838.35000001406</v>
      </c>
      <c r="S10" s="13"/>
      <c r="T10" s="13"/>
      <c r="U10" s="16"/>
      <c r="V10" s="17">
        <f t="shared" ref="V10:V20" si="4">D10+H10+L10+P10</f>
        <v>2971629.5250000912</v>
      </c>
      <c r="W10" s="18">
        <f t="shared" ref="W10:W20" si="5">Q10+M10+I10+E10</f>
        <v>5748.0499999999975</v>
      </c>
      <c r="X10" s="84"/>
      <c r="Z10" s="84"/>
    </row>
    <row r="11" spans="1:56" s="4" customFormat="1" x14ac:dyDescent="0.25">
      <c r="B11" s="10">
        <f t="shared" ref="B11:B20" si="6">C10+1</f>
        <v>45352</v>
      </c>
      <c r="C11" s="10">
        <f>B11+30</f>
        <v>45382</v>
      </c>
      <c r="D11" s="11">
        <v>1068660.0000000035</v>
      </c>
      <c r="E11" s="11">
        <v>896.24999999999488</v>
      </c>
      <c r="F11" s="15">
        <f t="shared" ref="F11:F20" si="7">D11-E11</f>
        <v>1067763.7500000035</v>
      </c>
      <c r="G11" s="13"/>
      <c r="H11" s="14">
        <v>1420020.0000000419</v>
      </c>
      <c r="I11" s="14">
        <v>1427.9999999999973</v>
      </c>
      <c r="J11" s="15">
        <f t="shared" si="1"/>
        <v>1418592.0000000419</v>
      </c>
      <c r="K11" s="13"/>
      <c r="L11" s="11">
        <v>1125601.874999993</v>
      </c>
      <c r="M11" s="11">
        <v>738.74999999998886</v>
      </c>
      <c r="N11" s="15">
        <f t="shared" si="2"/>
        <v>1124863.124999993</v>
      </c>
      <c r="O11" s="13"/>
      <c r="P11" s="11">
        <f>'Feeder 8 Apportionment'!L8</f>
        <v>841452.54999999306</v>
      </c>
      <c r="Q11" s="11">
        <f>'Feeder 8 Apportionment'!M8</f>
        <v>613.77500000002556</v>
      </c>
      <c r="R11" s="15">
        <f t="shared" si="3"/>
        <v>840838.77499999304</v>
      </c>
      <c r="S11" s="13"/>
      <c r="T11" s="13"/>
      <c r="U11" s="16"/>
      <c r="V11" s="17">
        <f t="shared" si="4"/>
        <v>4455734.4250000315</v>
      </c>
      <c r="W11" s="18">
        <f t="shared" si="5"/>
        <v>3676.7750000000065</v>
      </c>
      <c r="X11" s="84"/>
      <c r="Z11" s="84"/>
    </row>
    <row r="12" spans="1:56" s="4" customFormat="1" x14ac:dyDescent="0.25">
      <c r="B12" s="10">
        <f t="shared" si="6"/>
        <v>45383</v>
      </c>
      <c r="C12" s="10">
        <f>B12+29</f>
        <v>45412</v>
      </c>
      <c r="D12" s="11">
        <v>1275005.6250000051</v>
      </c>
      <c r="E12" s="11">
        <v>626.25000000000591</v>
      </c>
      <c r="F12" s="15">
        <f>D12-E12</f>
        <v>1274379.3750000051</v>
      </c>
      <c r="G12" s="13"/>
      <c r="H12" s="14">
        <v>1632743.9999999944</v>
      </c>
      <c r="I12" s="14">
        <v>1202.9999999999973</v>
      </c>
      <c r="J12" s="15">
        <f t="shared" si="1"/>
        <v>1631540.9999999944</v>
      </c>
      <c r="K12" s="13"/>
      <c r="L12" s="11">
        <v>1407858.7499999702</v>
      </c>
      <c r="M12" s="11">
        <v>675.00000000000432</v>
      </c>
      <c r="N12" s="15">
        <f t="shared" si="2"/>
        <v>1407183.7499999702</v>
      </c>
      <c r="O12" s="13"/>
      <c r="P12" s="11">
        <f>'Feeder 8 Apportionment'!L9</f>
        <v>994371.80000000517</v>
      </c>
      <c r="Q12" s="11">
        <f>'Feeder 8 Apportionment'!M9</f>
        <v>544.34999999997103</v>
      </c>
      <c r="R12" s="15">
        <f t="shared" si="3"/>
        <v>993827.45000000519</v>
      </c>
      <c r="S12" s="13"/>
      <c r="T12" s="13"/>
      <c r="U12" s="16"/>
      <c r="V12" s="17">
        <f t="shared" si="4"/>
        <v>5309980.1749999756</v>
      </c>
      <c r="W12" s="18">
        <f t="shared" si="5"/>
        <v>3048.5999999999785</v>
      </c>
      <c r="X12" s="84"/>
      <c r="Z12" s="84"/>
    </row>
    <row r="13" spans="1:56" s="4" customFormat="1" x14ac:dyDescent="0.25">
      <c r="B13" s="10">
        <f t="shared" si="6"/>
        <v>45413</v>
      </c>
      <c r="C13" s="10">
        <f t="shared" ref="C13:C20" si="8">B13+30</f>
        <v>45443</v>
      </c>
      <c r="D13" s="11">
        <v>2002766.249999986</v>
      </c>
      <c r="E13" s="11">
        <v>989.99999999999488</v>
      </c>
      <c r="F13" s="15">
        <f t="shared" si="7"/>
        <v>2001776.249999986</v>
      </c>
      <c r="G13" s="13"/>
      <c r="H13" s="14">
        <v>3136985.9999999637</v>
      </c>
      <c r="I13" s="14">
        <v>2189.9999999999864</v>
      </c>
      <c r="J13" s="15">
        <f t="shared" si="1"/>
        <v>3134795.9999999637</v>
      </c>
      <c r="K13" s="13"/>
      <c r="L13" s="11">
        <v>2024182.5000000244</v>
      </c>
      <c r="M13" s="11">
        <v>1061.2499999999941</v>
      </c>
      <c r="N13" s="15">
        <f t="shared" si="2"/>
        <v>2023121.2500000244</v>
      </c>
      <c r="O13" s="13"/>
      <c r="P13" s="11">
        <f>'Feeder 8 Apportionment'!L10</f>
        <v>1935337.5499999912</v>
      </c>
      <c r="Q13" s="11">
        <f>'Feeder 8 Apportionment'!M10</f>
        <v>679.85000000001196</v>
      </c>
      <c r="R13" s="15">
        <f t="shared" si="3"/>
        <v>1934657.6999999911</v>
      </c>
      <c r="S13" s="13"/>
      <c r="T13" s="13"/>
      <c r="U13" s="16"/>
      <c r="V13" s="17">
        <f t="shared" si="4"/>
        <v>9099272.2999999654</v>
      </c>
      <c r="W13" s="18">
        <f t="shared" si="5"/>
        <v>4921.0999999999867</v>
      </c>
      <c r="X13" s="84"/>
      <c r="Z13" s="84"/>
    </row>
    <row r="14" spans="1:56" s="4" customFormat="1" x14ac:dyDescent="0.25">
      <c r="B14" s="10">
        <f t="shared" si="6"/>
        <v>45444</v>
      </c>
      <c r="C14" s="10">
        <f>B14+29</f>
        <v>45473</v>
      </c>
      <c r="D14" s="11">
        <v>2280624.375000014</v>
      </c>
      <c r="E14" s="11">
        <v>967.50000000001535</v>
      </c>
      <c r="F14" s="15">
        <f t="shared" si="7"/>
        <v>2279656.875000014</v>
      </c>
      <c r="G14" s="13"/>
      <c r="H14" s="14">
        <v>3508581.0000000056</v>
      </c>
      <c r="I14" s="14">
        <v>1446.0000000000491</v>
      </c>
      <c r="J14" s="15">
        <f t="shared" si="1"/>
        <v>3507135.0000000056</v>
      </c>
      <c r="K14" s="13"/>
      <c r="L14" s="11">
        <v>2259330.0000000019</v>
      </c>
      <c r="M14" s="11">
        <v>618.75000000001273</v>
      </c>
      <c r="N14" s="15">
        <f t="shared" si="2"/>
        <v>2258711.2500000019</v>
      </c>
      <c r="O14" s="13"/>
      <c r="P14" s="11">
        <f>'Feeder 8 Apportionment'!L11</f>
        <v>1909848.3999999738</v>
      </c>
      <c r="Q14" s="11">
        <f>'Feeder 8 Apportionment'!M11</f>
        <v>444.95000000000169</v>
      </c>
      <c r="R14" s="15">
        <f t="shared" si="3"/>
        <v>1909403.4499999739</v>
      </c>
      <c r="S14" s="13"/>
      <c r="T14" s="13"/>
      <c r="U14" s="16"/>
      <c r="V14" s="17">
        <f t="shared" si="4"/>
        <v>9958383.7749999948</v>
      </c>
      <c r="W14" s="18">
        <f t="shared" si="5"/>
        <v>3477.2000000000789</v>
      </c>
      <c r="X14" s="84"/>
      <c r="Z14" s="84"/>
    </row>
    <row r="15" spans="1:56" s="4" customFormat="1" x14ac:dyDescent="0.25">
      <c r="B15" s="10">
        <f t="shared" si="6"/>
        <v>45474</v>
      </c>
      <c r="C15" s="10">
        <f t="shared" si="8"/>
        <v>45504</v>
      </c>
      <c r="D15" s="11">
        <v>4878305.6249999795</v>
      </c>
      <c r="E15" s="11">
        <v>371.24999999998209</v>
      </c>
      <c r="F15" s="15">
        <f t="shared" si="7"/>
        <v>4877934.3749999795</v>
      </c>
      <c r="G15" s="13"/>
      <c r="H15" s="14">
        <v>8800931.9999999832</v>
      </c>
      <c r="I15" s="14">
        <v>479.99999999997272</v>
      </c>
      <c r="J15" s="15">
        <f t="shared" si="1"/>
        <v>8800451.9999999832</v>
      </c>
      <c r="K15" s="13"/>
      <c r="L15" s="11">
        <v>5739832.4999999898</v>
      </c>
      <c r="M15" s="11">
        <v>279.37500000000171</v>
      </c>
      <c r="N15" s="15">
        <f t="shared" si="2"/>
        <v>5739553.1249999898</v>
      </c>
      <c r="O15" s="13"/>
      <c r="P15" s="11">
        <f>'Feeder 8 Apportionment'!L12</f>
        <v>4362091.45</v>
      </c>
      <c r="Q15" s="11">
        <f>'Feeder 8 Apportionment'!M12</f>
        <v>503.02499999998804</v>
      </c>
      <c r="R15" s="15">
        <f t="shared" si="3"/>
        <v>4361588.4249999998</v>
      </c>
      <c r="S15" s="13"/>
      <c r="T15" s="13"/>
      <c r="U15" s="16"/>
      <c r="V15" s="17">
        <f t="shared" si="4"/>
        <v>23781161.574999951</v>
      </c>
      <c r="W15" s="18">
        <f t="shared" si="5"/>
        <v>1633.6499999999444</v>
      </c>
      <c r="X15" s="84"/>
      <c r="Z15" s="84"/>
    </row>
    <row r="16" spans="1:56" s="4" customFormat="1" x14ac:dyDescent="0.25">
      <c r="B16" s="10">
        <f t="shared" si="6"/>
        <v>45505</v>
      </c>
      <c r="C16" s="10">
        <f t="shared" si="8"/>
        <v>45535</v>
      </c>
      <c r="D16" s="37">
        <f>1291186.87500001+862556.217</f>
        <v>2153743.09200001</v>
      </c>
      <c r="E16" s="37">
        <f>1.87500000001961+1731.768</f>
        <v>1733.6430000000196</v>
      </c>
      <c r="F16" s="15">
        <f>D16-E16</f>
        <v>2152009.4490000098</v>
      </c>
      <c r="G16" s="32"/>
      <c r="H16" s="37">
        <f>2105160.00000006+2009754.7392</f>
        <v>4114914.7392000603</v>
      </c>
      <c r="I16" s="37">
        <f>11.9999999999891+2694.8736</f>
        <v>2706.873599999989</v>
      </c>
      <c r="J16" s="15">
        <f t="shared" si="1"/>
        <v>4112207.8656000602</v>
      </c>
      <c r="K16" s="32"/>
      <c r="L16" s="37">
        <f>1234282.50000002+2455620</f>
        <v>3689902.50000002</v>
      </c>
      <c r="M16" s="37">
        <f>194.999999999993+3510</f>
        <v>3704.9999999999932</v>
      </c>
      <c r="N16" s="15">
        <f t="shared" si="2"/>
        <v>3686197.50000002</v>
      </c>
      <c r="O16" s="32"/>
      <c r="P16" s="11">
        <f>'Feeder 8 Apportionment'!L13</f>
        <v>2209087.0106300199</v>
      </c>
      <c r="Q16" s="11">
        <f>'Feeder 8 Apportionment'!M13</f>
        <v>1005.7102400000272</v>
      </c>
      <c r="R16" s="15">
        <f t="shared" si="3"/>
        <v>2208081.30039002</v>
      </c>
      <c r="S16" s="32"/>
      <c r="T16" s="32"/>
      <c r="U16" s="33"/>
      <c r="V16" s="34">
        <f t="shared" si="4"/>
        <v>12167647.341830112</v>
      </c>
      <c r="W16" s="35">
        <f t="shared" si="5"/>
        <v>9151.2268400000285</v>
      </c>
      <c r="X16" s="84"/>
      <c r="Z16" s="84"/>
    </row>
    <row r="17" spans="2:61" s="4" customFormat="1" x14ac:dyDescent="0.25">
      <c r="B17" s="10">
        <f t="shared" si="6"/>
        <v>45536</v>
      </c>
      <c r="C17" s="10">
        <f>B17+29</f>
        <v>45565</v>
      </c>
      <c r="D17" s="37">
        <v>0</v>
      </c>
      <c r="E17" s="37">
        <v>0</v>
      </c>
      <c r="F17" s="15">
        <f t="shared" si="7"/>
        <v>0</v>
      </c>
      <c r="G17" s="32"/>
      <c r="H17" s="37">
        <f>127051.416+133118.478+143468.172+143825.058+143825.058+170948.394</f>
        <v>862236.57599999988</v>
      </c>
      <c r="I17" s="37">
        <f>45.2832+47.4456+51.1344+51.2616+51.2616+60.9288</f>
        <v>307.3152</v>
      </c>
      <c r="J17" s="15">
        <f t="shared" si="1"/>
        <v>861929.26079999993</v>
      </c>
      <c r="K17" s="32"/>
      <c r="L17" s="37">
        <f>141416.25+132591.876+135080.802+170604.564+123314.97+126708.96+148204.23+166305.51+132818.142+154765.944+138022.26+117432.054+148204.23+149335.56+135080.802+142773.846</f>
        <v>2262660</v>
      </c>
      <c r="M17" s="37">
        <f>38.90625+36.4785+37.16325+46.9365+33.92625+34.86+40.77375+45.74375+36.54075+42.579+37.9725+32.30775+40.77375+41.085+37.16325+39.27975</f>
        <v>622.49</v>
      </c>
      <c r="N17" s="15">
        <f t="shared" si="2"/>
        <v>2262037.5099999998</v>
      </c>
      <c r="O17" s="32"/>
      <c r="P17" s="11">
        <f>'Feeder 8 Apportionment'!L14</f>
        <v>2473537.5</v>
      </c>
      <c r="Q17" s="11">
        <f>'Feeder 8 Apportionment'!M14</f>
        <v>255.00000000000256</v>
      </c>
      <c r="R17" s="15">
        <f t="shared" si="3"/>
        <v>2473282.5</v>
      </c>
      <c r="S17" s="32"/>
      <c r="T17" s="32"/>
      <c r="U17" s="33"/>
      <c r="V17" s="34">
        <f t="shared" si="4"/>
        <v>5598434.0759999994</v>
      </c>
      <c r="W17" s="35">
        <f t="shared" si="5"/>
        <v>1184.8052000000025</v>
      </c>
      <c r="X17" s="84"/>
      <c r="Z17" s="84"/>
    </row>
    <row r="18" spans="2:61" s="4" customFormat="1" x14ac:dyDescent="0.25">
      <c r="B18" s="10">
        <f t="shared" si="6"/>
        <v>45566</v>
      </c>
      <c r="C18" s="10">
        <f t="shared" si="8"/>
        <v>45596</v>
      </c>
      <c r="D18" s="37">
        <v>0</v>
      </c>
      <c r="E18" s="37">
        <v>0</v>
      </c>
      <c r="F18" s="15">
        <f t="shared" si="7"/>
        <v>0</v>
      </c>
      <c r="G18" s="32"/>
      <c r="H18" s="37">
        <f>54047.0988+53235.5808+74172.7452+66869.0832+65732.958+66219.8688</f>
        <v>380277.33480000001</v>
      </c>
      <c r="I18" s="37">
        <f>184.2156+181.4496+252.8124+227.9184+224.046+225.7056</f>
        <v>1296.1476</v>
      </c>
      <c r="J18" s="15">
        <f t="shared" si="1"/>
        <v>378981.18719999999</v>
      </c>
      <c r="K18" s="32"/>
      <c r="L18" s="37">
        <f>38325.4935+35596.0815+35937.258+77560.791+32980.395+35027.454+50152.9455+53450.985+40486.278+77447.0655+50266.671+40600.0035+80517.654+76196.085+74262.7515+70964.712</f>
        <v>869772.62399999984</v>
      </c>
      <c r="M18" s="37">
        <f>112.47375+104.46375+105.465+227.6175+96.7875+102.795+147.18375+156.8625+118.815+227.28375+147.5175+119.14875+236.295+223.6125+217.93875+208.26</f>
        <v>2552.5200000000004</v>
      </c>
      <c r="N18" s="15">
        <f t="shared" si="2"/>
        <v>867220.10399999982</v>
      </c>
      <c r="O18" s="32"/>
      <c r="P18" s="11">
        <f>'Feeder 8 Apportionment'!L15</f>
        <v>1658797.4999999998</v>
      </c>
      <c r="Q18" s="11">
        <f>'Feeder 8 Apportionment'!M15</f>
        <v>2122.4999999999986</v>
      </c>
      <c r="R18" s="15">
        <f t="shared" si="3"/>
        <v>1656674.9999999998</v>
      </c>
      <c r="S18" s="32"/>
      <c r="T18" s="32"/>
      <c r="U18" s="33"/>
      <c r="V18" s="34">
        <f>D18+H18+L18+P18</f>
        <v>2908847.4587999997</v>
      </c>
      <c r="W18" s="35">
        <f t="shared" si="5"/>
        <v>5971.1675999999989</v>
      </c>
      <c r="X18" s="84"/>
      <c r="Z18" s="84"/>
    </row>
    <row r="19" spans="2:61" s="4" customFormat="1" x14ac:dyDescent="0.25">
      <c r="B19" s="10">
        <f t="shared" si="6"/>
        <v>45597</v>
      </c>
      <c r="C19" s="10">
        <f>B19+29</f>
        <v>45626</v>
      </c>
      <c r="D19" s="37">
        <v>0</v>
      </c>
      <c r="E19" s="37">
        <v>0</v>
      </c>
      <c r="F19" s="15">
        <f t="shared" si="7"/>
        <v>0</v>
      </c>
      <c r="G19" s="32"/>
      <c r="H19" s="37">
        <f>85499.7552+84395.1072+89034.6288</f>
        <v>258929.49119999999</v>
      </c>
      <c r="I19" s="37">
        <f>73.8396+72.8856+76.8924</f>
        <v>223.61759999999998</v>
      </c>
      <c r="J19" s="15">
        <f t="shared" si="1"/>
        <v>258705.87359999999</v>
      </c>
      <c r="K19" s="32"/>
      <c r="L19" s="37">
        <f>93488.35125+102910.79925+89660.48175+111744.34425+96138.41475</f>
        <v>493942.39124999999</v>
      </c>
      <c r="M19" s="37">
        <f>92.3925+101.7045+88.6095+110.4345+95.0115</f>
        <v>488.15250000000003</v>
      </c>
      <c r="N19" s="15">
        <f t="shared" si="2"/>
        <v>493454.23874999996</v>
      </c>
      <c r="O19" s="32"/>
      <c r="P19" s="11">
        <f>'Feeder 8 Apportionment'!L16</f>
        <v>2644065</v>
      </c>
      <c r="Q19" s="11">
        <f>'Feeder 8 Apportionment'!M16</f>
        <v>1664.9999999999991</v>
      </c>
      <c r="R19" s="15">
        <f t="shared" si="3"/>
        <v>2642400</v>
      </c>
      <c r="S19" s="32"/>
      <c r="T19" s="32"/>
      <c r="U19" s="33"/>
      <c r="V19" s="34">
        <f t="shared" si="4"/>
        <v>3396936.8824499999</v>
      </c>
      <c r="W19" s="35">
        <f t="shared" si="5"/>
        <v>2376.7700999999993</v>
      </c>
      <c r="X19" s="84"/>
      <c r="Z19" s="84"/>
    </row>
    <row r="20" spans="2:61" s="4" customFormat="1" x14ac:dyDescent="0.25">
      <c r="B20" s="10">
        <f t="shared" si="6"/>
        <v>45627</v>
      </c>
      <c r="C20" s="10">
        <f t="shared" si="8"/>
        <v>45657</v>
      </c>
      <c r="D20" s="37">
        <v>0</v>
      </c>
      <c r="E20" s="37">
        <v>0</v>
      </c>
      <c r="F20" s="15">
        <f t="shared" si="7"/>
        <v>0</v>
      </c>
      <c r="G20" s="32"/>
      <c r="H20" s="37">
        <f>49238.262+52520.8128+51379.056</f>
        <v>153138.13079999998</v>
      </c>
      <c r="I20" s="37">
        <f>153.594+163.8336+160.272</f>
        <v>477.69959999999998</v>
      </c>
      <c r="J20" s="15">
        <f t="shared" si="1"/>
        <v>152660.43119999999</v>
      </c>
      <c r="K20" s="32"/>
      <c r="L20" s="37">
        <f>54955.0575+61836.555+60188.8725+68233.44+61642.71</f>
        <v>306856.63500000001</v>
      </c>
      <c r="M20" s="37">
        <f>177.32925+199.5345+194.21775+220.176+198.909</f>
        <v>990.16649999999993</v>
      </c>
      <c r="N20" s="15">
        <f t="shared" si="2"/>
        <v>305866.46850000002</v>
      </c>
      <c r="O20" s="32"/>
      <c r="P20" s="11">
        <f>'Feeder 8 Apportionment'!L17</f>
        <v>1768410.0000000007</v>
      </c>
      <c r="Q20" s="11">
        <f>'Feeder 8 Apportionment'!M17</f>
        <v>2722.5000000000018</v>
      </c>
      <c r="R20" s="15">
        <f t="shared" si="3"/>
        <v>1765687.5000000007</v>
      </c>
      <c r="S20" s="32"/>
      <c r="T20" s="32"/>
      <c r="U20" s="33"/>
      <c r="V20" s="34">
        <f t="shared" si="4"/>
        <v>2228404.7658000006</v>
      </c>
      <c r="W20" s="35">
        <f t="shared" si="5"/>
        <v>4190.366100000002</v>
      </c>
      <c r="X20" s="84"/>
      <c r="Z20" s="84"/>
    </row>
    <row r="21" spans="2:61" s="3" customFormat="1" ht="12" thickBot="1" x14ac:dyDescent="0.4">
      <c r="B21" s="20" t="s">
        <v>1</v>
      </c>
      <c r="C21" s="20"/>
      <c r="D21" s="85">
        <f>SUM(D9:D20)</f>
        <v>14542601.217000039</v>
      </c>
      <c r="E21" s="85">
        <f>SUM(E9:E20)</f>
        <v>7386.7680000000146</v>
      </c>
      <c r="F21" s="85">
        <f>SUM(F9:F20)</f>
        <v>14535214.44900004</v>
      </c>
      <c r="G21" s="39"/>
      <c r="H21" s="85">
        <f>SUM(H9:H20)</f>
        <v>25974007.272000097</v>
      </c>
      <c r="I21" s="85">
        <f>SUM(I9:I20)</f>
        <v>16876.653599999976</v>
      </c>
      <c r="J21" s="85">
        <f>SUM(J9:J20)</f>
        <v>25957130.618400093</v>
      </c>
      <c r="K21" s="39"/>
      <c r="L21" s="38">
        <f>SUM(L9:L20)</f>
        <v>21580262.900250021</v>
      </c>
      <c r="M21" s="38">
        <f>SUM(M9:M20)</f>
        <v>15400.829000000003</v>
      </c>
      <c r="N21" s="38">
        <f>SUM(N9:N20)</f>
        <v>21564862.071250018</v>
      </c>
      <c r="O21" s="39"/>
      <c r="P21" s="38">
        <f>SUM(P9:P20)</f>
        <v>22798808.460629981</v>
      </c>
      <c r="Q21" s="38">
        <f>SUM(Q9:Q20)</f>
        <v>13909.835240000031</v>
      </c>
      <c r="R21" s="38">
        <f>SUM(R9:R20)</f>
        <v>22784898.625389978</v>
      </c>
      <c r="S21" s="39"/>
      <c r="T21" s="39"/>
      <c r="U21" s="40"/>
      <c r="V21" s="38">
        <f>SUM(V9:V20)</f>
        <v>84895679.849880144</v>
      </c>
      <c r="W21" s="38">
        <f>SUM(W9:W20)</f>
        <v>53574.085840000022</v>
      </c>
      <c r="X21" s="84"/>
      <c r="Z21" s="84"/>
    </row>
    <row r="22" spans="2:61" s="3" customFormat="1" ht="14.5" customHeight="1" x14ac:dyDescent="0.35">
      <c r="C22" s="36"/>
      <c r="D22" s="135" t="s">
        <v>50</v>
      </c>
      <c r="E22" s="136"/>
      <c r="F22" s="136"/>
      <c r="G22" s="136"/>
      <c r="H22" s="136"/>
      <c r="I22" s="136"/>
      <c r="J22" s="137"/>
      <c r="L22" s="22"/>
      <c r="M22" s="22"/>
      <c r="N22" s="22"/>
      <c r="P22" s="22"/>
      <c r="Q22" s="22"/>
      <c r="R22" s="22"/>
      <c r="T22" s="22"/>
      <c r="U22" s="23"/>
    </row>
    <row r="23" spans="2:61" s="3" customFormat="1" x14ac:dyDescent="0.35">
      <c r="C23" s="24"/>
      <c r="D23" s="138"/>
      <c r="E23" s="139"/>
      <c r="F23" s="139"/>
      <c r="G23" s="139"/>
      <c r="H23" s="139"/>
      <c r="I23" s="139"/>
      <c r="J23" s="140"/>
      <c r="L23" s="22"/>
      <c r="M23" s="22"/>
      <c r="N23" s="22"/>
      <c r="P23" s="22"/>
      <c r="Q23" s="22"/>
      <c r="R23" s="22"/>
      <c r="T23" s="22"/>
      <c r="U23" s="23"/>
      <c r="W23" s="21"/>
    </row>
    <row r="24" spans="2:61" s="3" customFormat="1" ht="13" customHeight="1" x14ac:dyDescent="0.25">
      <c r="C24" s="24"/>
      <c r="D24" s="138" t="s">
        <v>68</v>
      </c>
      <c r="E24" s="139"/>
      <c r="F24" s="139"/>
      <c r="G24" s="139"/>
      <c r="H24" s="139"/>
      <c r="I24" s="139"/>
      <c r="J24" s="140"/>
      <c r="L24" s="22"/>
      <c r="M24" s="22"/>
      <c r="N24" s="22"/>
      <c r="P24" s="22"/>
      <c r="Q24" s="22"/>
      <c r="R24" s="22"/>
      <c r="T24" s="22"/>
      <c r="U24" s="23"/>
    </row>
    <row r="25" spans="2:61" s="25" customFormat="1" x14ac:dyDescent="0.25">
      <c r="C25" s="3"/>
      <c r="D25" s="138" t="s">
        <v>72</v>
      </c>
      <c r="E25" s="139"/>
      <c r="F25" s="139"/>
      <c r="G25" s="139"/>
      <c r="H25" s="139"/>
      <c r="I25" s="139"/>
      <c r="J25" s="140"/>
    </row>
    <row r="26" spans="2:61" x14ac:dyDescent="0.25">
      <c r="D26" s="119" t="s">
        <v>69</v>
      </c>
      <c r="E26" s="120"/>
      <c r="F26" s="120"/>
      <c r="G26" s="120"/>
      <c r="H26" s="120"/>
      <c r="I26" s="120"/>
      <c r="J26" s="121"/>
      <c r="P26" s="25"/>
      <c r="BD26" s="1"/>
      <c r="BI26" s="2"/>
    </row>
    <row r="27" spans="2:61" x14ac:dyDescent="0.25">
      <c r="D27" s="122" t="s">
        <v>70</v>
      </c>
      <c r="E27" s="123"/>
      <c r="F27" s="123"/>
      <c r="G27" s="123"/>
      <c r="H27" s="123"/>
      <c r="I27" s="123"/>
      <c r="J27" s="124"/>
      <c r="P27" s="25"/>
      <c r="BD27" s="1"/>
      <c r="BI27" s="2"/>
    </row>
    <row r="28" spans="2:61" ht="14.5" customHeight="1" x14ac:dyDescent="0.35">
      <c r="D28" s="125" t="s">
        <v>71</v>
      </c>
      <c r="E28" s="126"/>
      <c r="F28" s="126"/>
      <c r="G28" s="126"/>
      <c r="H28" s="126"/>
      <c r="I28" s="126"/>
      <c r="J28" s="127"/>
      <c r="BD28" s="1"/>
      <c r="BI28" s="2"/>
    </row>
    <row r="29" spans="2:61" ht="12.5" customHeight="1" thickBot="1" x14ac:dyDescent="0.4">
      <c r="D29" s="128"/>
      <c r="E29" s="129"/>
      <c r="F29" s="129"/>
      <c r="G29" s="129"/>
      <c r="H29" s="129"/>
      <c r="I29" s="129"/>
      <c r="J29" s="130"/>
    </row>
  </sheetData>
  <mergeCells count="19">
    <mergeCell ref="D26:J26"/>
    <mergeCell ref="D27:J27"/>
    <mergeCell ref="D28:J29"/>
    <mergeCell ref="B1:N1"/>
    <mergeCell ref="B2:N2"/>
    <mergeCell ref="B3:N3"/>
    <mergeCell ref="D6:F6"/>
    <mergeCell ref="D7:F7"/>
    <mergeCell ref="D22:J23"/>
    <mergeCell ref="D24:J24"/>
    <mergeCell ref="D25:J25"/>
    <mergeCell ref="V6:W7"/>
    <mergeCell ref="B7:C8"/>
    <mergeCell ref="L6:N6"/>
    <mergeCell ref="L7:N7"/>
    <mergeCell ref="P6:R6"/>
    <mergeCell ref="P7:R7"/>
    <mergeCell ref="H6:J6"/>
    <mergeCell ref="H7:J7"/>
  </mergeCells>
  <pageMargins left="0.7" right="0.7" top="0.75" bottom="0.75" header="0.3" footer="0.3"/>
  <pageSetup paperSize="9" orientation="landscape" r:id="rId1"/>
  <ignoredErrors>
    <ignoredError sqref="G21 K21 O21 T21" formulaRange="1"/>
    <ignoredError sqref="B1:B3" unlockedFormula="1"/>
    <ignoredError sqref="C10:C19"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22-A705-4391-9778-B15B29213263}">
  <dimension ref="A1:N18"/>
  <sheetViews>
    <sheetView workbookViewId="0">
      <selection activeCell="L18" sqref="L18"/>
    </sheetView>
  </sheetViews>
  <sheetFormatPr defaultRowHeight="14.5" x14ac:dyDescent="0.35"/>
  <cols>
    <col min="1" max="1" width="9.54296875" bestFit="1" customWidth="1"/>
    <col min="2" max="2" width="10.453125" bestFit="1" customWidth="1"/>
    <col min="3" max="3" width="9.453125" bestFit="1" customWidth="1"/>
    <col min="4" max="4" width="8.81640625" bestFit="1" customWidth="1"/>
    <col min="5" max="5" width="9.453125" bestFit="1" customWidth="1"/>
    <col min="6" max="11" width="8.81640625" bestFit="1" customWidth="1"/>
    <col min="12" max="12" width="9.453125" bestFit="1" customWidth="1"/>
    <col min="13" max="13" width="8.81640625" bestFit="1" customWidth="1"/>
    <col min="14" max="14" width="9.453125" bestFit="1" customWidth="1"/>
  </cols>
  <sheetData>
    <row r="1" spans="1:14" x14ac:dyDescent="0.35">
      <c r="A1" s="142" t="s">
        <v>11</v>
      </c>
      <c r="B1" s="142"/>
      <c r="C1" s="142" t="s">
        <v>51</v>
      </c>
      <c r="D1" s="142"/>
      <c r="E1" s="142"/>
      <c r="F1" s="143" t="s">
        <v>52</v>
      </c>
      <c r="G1" s="143"/>
      <c r="H1" s="143"/>
      <c r="I1" s="143" t="s">
        <v>53</v>
      </c>
      <c r="J1" s="143"/>
      <c r="K1" s="143"/>
      <c r="L1" s="143" t="s">
        <v>67</v>
      </c>
      <c r="M1" s="143"/>
      <c r="N1" s="143"/>
    </row>
    <row r="2" spans="1:14" x14ac:dyDescent="0.35">
      <c r="A2" s="142"/>
      <c r="B2" s="142"/>
      <c r="C2" s="142"/>
      <c r="D2" s="142"/>
      <c r="E2" s="142"/>
      <c r="F2" s="143"/>
      <c r="G2" s="143"/>
      <c r="H2" s="143"/>
      <c r="I2" s="143"/>
      <c r="J2" s="143"/>
      <c r="K2" s="143"/>
      <c r="L2" s="143"/>
      <c r="M2" s="143"/>
      <c r="N2" s="143"/>
    </row>
    <row r="3" spans="1:14" x14ac:dyDescent="0.35">
      <c r="A3" s="142"/>
      <c r="B3" s="142"/>
      <c r="C3" s="142"/>
      <c r="D3" s="142"/>
      <c r="E3" s="142"/>
      <c r="F3" s="143"/>
      <c r="G3" s="143"/>
      <c r="H3" s="143"/>
      <c r="I3" s="143"/>
      <c r="J3" s="143"/>
      <c r="K3" s="143"/>
      <c r="L3" s="143"/>
      <c r="M3" s="143"/>
      <c r="N3" s="143"/>
    </row>
    <row r="4" spans="1:14" x14ac:dyDescent="0.35">
      <c r="A4" s="142"/>
      <c r="B4" s="142"/>
      <c r="C4" s="142"/>
      <c r="D4" s="142"/>
      <c r="E4" s="142"/>
      <c r="F4" s="143"/>
      <c r="G4" s="143"/>
      <c r="H4" s="143"/>
      <c r="I4" s="143"/>
      <c r="J4" s="143"/>
      <c r="K4" s="143"/>
      <c r="L4" s="143"/>
      <c r="M4" s="143"/>
      <c r="N4" s="143"/>
    </row>
    <row r="5" spans="1:14" x14ac:dyDescent="0.35">
      <c r="A5" s="41" t="s">
        <v>54</v>
      </c>
      <c r="B5" s="41" t="s">
        <v>23</v>
      </c>
      <c r="C5" s="42" t="s">
        <v>55</v>
      </c>
      <c r="D5" s="42" t="s">
        <v>56</v>
      </c>
      <c r="E5" s="42" t="s">
        <v>57</v>
      </c>
      <c r="F5" s="42" t="s">
        <v>55</v>
      </c>
      <c r="G5" s="42" t="s">
        <v>56</v>
      </c>
      <c r="H5" s="42" t="s">
        <v>57</v>
      </c>
      <c r="I5" s="42" t="s">
        <v>55</v>
      </c>
      <c r="J5" s="42" t="s">
        <v>56</v>
      </c>
      <c r="K5" s="42" t="s">
        <v>57</v>
      </c>
      <c r="L5" s="42" t="s">
        <v>55</v>
      </c>
      <c r="M5" s="42" t="s">
        <v>56</v>
      </c>
      <c r="N5" s="42" t="s">
        <v>57</v>
      </c>
    </row>
    <row r="6" spans="1:14" x14ac:dyDescent="0.35">
      <c r="A6" s="10">
        <v>45292</v>
      </c>
      <c r="B6" s="10">
        <v>45322</v>
      </c>
      <c r="C6" s="43">
        <v>1432246.8749999825</v>
      </c>
      <c r="D6" s="43">
        <v>2790.0000000000205</v>
      </c>
      <c r="E6" s="15">
        <f>C6-D6</f>
        <v>1429456.8749999825</v>
      </c>
      <c r="F6" s="44">
        <v>85791.6</v>
      </c>
      <c r="G6" s="44">
        <v>167.1</v>
      </c>
      <c r="H6" s="44">
        <f>F6-G6</f>
        <v>85624.5</v>
      </c>
      <c r="I6" s="44">
        <v>115439.1</v>
      </c>
      <c r="J6" s="44">
        <v>224.9</v>
      </c>
      <c r="K6" s="44">
        <f>I6-J6</f>
        <v>115214.20000000001</v>
      </c>
      <c r="L6" s="44">
        <f>C6-(F6+I6)</f>
        <v>1231016.1749999826</v>
      </c>
      <c r="M6" s="44">
        <f>D6-(G6+J6)</f>
        <v>2398.0000000000205</v>
      </c>
      <c r="N6" s="44">
        <f>L6-M6</f>
        <v>1228618.1749999826</v>
      </c>
    </row>
    <row r="7" spans="1:14" x14ac:dyDescent="0.35">
      <c r="A7" s="10">
        <v>45323</v>
      </c>
      <c r="B7" s="10">
        <v>45351</v>
      </c>
      <c r="C7" s="43">
        <v>885155.62500001397</v>
      </c>
      <c r="D7" s="43">
        <v>1096.8749999999829</v>
      </c>
      <c r="E7" s="15">
        <f t="shared" ref="E7:E17" si="0">C7-D7</f>
        <v>884058.75000001397</v>
      </c>
      <c r="F7" s="44">
        <v>55941.8</v>
      </c>
      <c r="G7" s="44">
        <v>69.3</v>
      </c>
      <c r="H7" s="44">
        <f t="shared" ref="H7:H17" si="1">F7-G7</f>
        <v>55872.5</v>
      </c>
      <c r="I7" s="44">
        <v>58420.3</v>
      </c>
      <c r="J7" s="44">
        <v>72.400000000000006</v>
      </c>
      <c r="K7" s="44">
        <f t="shared" ref="K7:K17" si="2">I7-J7</f>
        <v>58347.9</v>
      </c>
      <c r="L7" s="44">
        <f t="shared" ref="L7:M17" si="3">C7-(F7+I7)</f>
        <v>770793.52500001399</v>
      </c>
      <c r="M7" s="44">
        <f t="shared" si="3"/>
        <v>955.1749999999829</v>
      </c>
      <c r="N7" s="44">
        <f t="shared" ref="N7:N17" si="4">L7-M7</f>
        <v>769838.35000001406</v>
      </c>
    </row>
    <row r="8" spans="1:14" x14ac:dyDescent="0.35">
      <c r="A8" s="10">
        <v>45352</v>
      </c>
      <c r="B8" s="10">
        <v>45382</v>
      </c>
      <c r="C8" s="43">
        <v>989711.24999999302</v>
      </c>
      <c r="D8" s="43">
        <v>721.87500000002558</v>
      </c>
      <c r="E8" s="15">
        <f t="shared" si="0"/>
        <v>988989.37499999302</v>
      </c>
      <c r="F8" s="44">
        <v>77296.399999999994</v>
      </c>
      <c r="G8" s="44">
        <v>56.4</v>
      </c>
      <c r="H8" s="44">
        <f t="shared" si="1"/>
        <v>77240</v>
      </c>
      <c r="I8" s="44">
        <v>70962.3</v>
      </c>
      <c r="J8" s="44">
        <v>51.7</v>
      </c>
      <c r="K8" s="44">
        <f t="shared" si="2"/>
        <v>70910.600000000006</v>
      </c>
      <c r="L8" s="44">
        <f t="shared" si="3"/>
        <v>841452.54999999306</v>
      </c>
      <c r="M8" s="44">
        <f t="shared" si="3"/>
        <v>613.77500000002556</v>
      </c>
      <c r="N8" s="44">
        <f t="shared" si="4"/>
        <v>840838.77499999304</v>
      </c>
    </row>
    <row r="9" spans="1:14" x14ac:dyDescent="0.35">
      <c r="A9" s="10">
        <v>45383</v>
      </c>
      <c r="B9" s="10">
        <v>45412</v>
      </c>
      <c r="C9" s="43">
        <v>1171365.0000000051</v>
      </c>
      <c r="D9" s="43">
        <v>641.24999999997101</v>
      </c>
      <c r="E9" s="15">
        <f t="shared" si="0"/>
        <v>1170723.7500000051</v>
      </c>
      <c r="F9" s="44">
        <v>90195.1</v>
      </c>
      <c r="G9" s="44">
        <v>49.4</v>
      </c>
      <c r="H9" s="44">
        <f t="shared" si="1"/>
        <v>90145.700000000012</v>
      </c>
      <c r="I9" s="44">
        <v>86798.1</v>
      </c>
      <c r="J9" s="44">
        <v>47.5</v>
      </c>
      <c r="K9" s="44">
        <f t="shared" si="2"/>
        <v>86750.6</v>
      </c>
      <c r="L9" s="44">
        <f t="shared" si="3"/>
        <v>994371.80000000517</v>
      </c>
      <c r="M9" s="44">
        <f t="shared" si="3"/>
        <v>544.34999999997103</v>
      </c>
      <c r="N9" s="44">
        <f t="shared" si="4"/>
        <v>993827.45000000519</v>
      </c>
    </row>
    <row r="10" spans="1:14" x14ac:dyDescent="0.35">
      <c r="A10" s="10">
        <v>45413</v>
      </c>
      <c r="B10" s="10">
        <v>45443</v>
      </c>
      <c r="C10" s="43">
        <v>2231193.7499999912</v>
      </c>
      <c r="D10" s="43">
        <v>783.75000000001194</v>
      </c>
      <c r="E10" s="15">
        <f t="shared" si="0"/>
        <v>2230409.9999999912</v>
      </c>
      <c r="F10" s="44">
        <v>151498</v>
      </c>
      <c r="G10" s="44">
        <v>53.2</v>
      </c>
      <c r="H10" s="44">
        <f t="shared" si="1"/>
        <v>151444.79999999999</v>
      </c>
      <c r="I10" s="44">
        <v>144358.20000000001</v>
      </c>
      <c r="J10" s="44">
        <v>50.7</v>
      </c>
      <c r="K10" s="44">
        <f t="shared" si="2"/>
        <v>144307.5</v>
      </c>
      <c r="L10" s="44">
        <f t="shared" si="3"/>
        <v>1935337.5499999912</v>
      </c>
      <c r="M10" s="44">
        <f t="shared" si="3"/>
        <v>679.85000000001196</v>
      </c>
      <c r="N10" s="44">
        <f t="shared" si="4"/>
        <v>1934657.6999999911</v>
      </c>
    </row>
    <row r="11" spans="1:14" x14ac:dyDescent="0.35">
      <c r="A11" s="10">
        <v>45444</v>
      </c>
      <c r="B11" s="10">
        <v>45473</v>
      </c>
      <c r="C11" s="43">
        <v>2205112.4999999739</v>
      </c>
      <c r="D11" s="43">
        <v>513.75000000000171</v>
      </c>
      <c r="E11" s="15">
        <f t="shared" si="0"/>
        <v>2204598.7499999739</v>
      </c>
      <c r="F11" s="44">
        <v>148845.1</v>
      </c>
      <c r="G11" s="44">
        <v>34.700000000000003</v>
      </c>
      <c r="H11" s="44">
        <f t="shared" si="1"/>
        <v>148810.4</v>
      </c>
      <c r="I11" s="44">
        <v>146419</v>
      </c>
      <c r="J11" s="44">
        <v>34.1</v>
      </c>
      <c r="K11" s="44">
        <f t="shared" si="2"/>
        <v>146384.9</v>
      </c>
      <c r="L11" s="44">
        <f t="shared" si="3"/>
        <v>1909848.3999999738</v>
      </c>
      <c r="M11" s="44">
        <f t="shared" si="3"/>
        <v>444.95000000000169</v>
      </c>
      <c r="N11" s="44">
        <f t="shared" si="4"/>
        <v>1909403.4499999739</v>
      </c>
    </row>
    <row r="12" spans="1:14" x14ac:dyDescent="0.35">
      <c r="A12" s="10">
        <v>45474</v>
      </c>
      <c r="B12" s="10">
        <v>45504</v>
      </c>
      <c r="C12" s="43">
        <v>4992093.75</v>
      </c>
      <c r="D12" s="43">
        <v>575.62499999998806</v>
      </c>
      <c r="E12" s="44">
        <f t="shared" si="0"/>
        <v>4991518.125</v>
      </c>
      <c r="F12" s="44">
        <v>302021.7</v>
      </c>
      <c r="G12" s="44">
        <v>34.799999999999997</v>
      </c>
      <c r="H12" s="44">
        <f t="shared" si="1"/>
        <v>301986.90000000002</v>
      </c>
      <c r="I12" s="44">
        <v>327980.59999999998</v>
      </c>
      <c r="J12" s="44">
        <v>37.799999999999997</v>
      </c>
      <c r="K12" s="44">
        <f t="shared" si="2"/>
        <v>327942.8</v>
      </c>
      <c r="L12" s="44">
        <f t="shared" si="3"/>
        <v>4362091.45</v>
      </c>
      <c r="M12" s="44">
        <f t="shared" si="3"/>
        <v>503.02499999998804</v>
      </c>
      <c r="N12" s="44">
        <f t="shared" si="4"/>
        <v>4361588.4249999998</v>
      </c>
    </row>
    <row r="13" spans="1:14" x14ac:dyDescent="0.35">
      <c r="A13" s="10">
        <v>45505</v>
      </c>
      <c r="B13" s="10">
        <v>45535</v>
      </c>
      <c r="C13" s="37">
        <f>1109971.87500002+1410815.85</f>
        <v>2520787.7250000201</v>
      </c>
      <c r="D13" s="37">
        <f>16.8750000000273+1106.37</f>
        <v>1123.2450000000272</v>
      </c>
      <c r="E13" s="44">
        <f t="shared" si="0"/>
        <v>2519664.48000002</v>
      </c>
      <c r="F13" s="44">
        <f>86466.80906+77409.525</f>
        <v>163876.33405999999</v>
      </c>
      <c r="G13" s="44">
        <f>1.46063+60.705</f>
        <v>62.16563</v>
      </c>
      <c r="H13" s="44">
        <f t="shared" si="1"/>
        <v>163814.16842999999</v>
      </c>
      <c r="I13" s="44">
        <f>78919.00031+68905.38</f>
        <v>147824.38031000001</v>
      </c>
      <c r="J13" s="44">
        <f>1.33313+54.036</f>
        <v>55.369129999999998</v>
      </c>
      <c r="K13" s="44">
        <f t="shared" si="2"/>
        <v>147769.01118</v>
      </c>
      <c r="L13" s="44">
        <f t="shared" si="3"/>
        <v>2209087.0106300199</v>
      </c>
      <c r="M13" s="44">
        <f t="shared" si="3"/>
        <v>1005.7102400000272</v>
      </c>
      <c r="N13" s="44">
        <f t="shared" si="4"/>
        <v>2208081.30039002</v>
      </c>
    </row>
    <row r="14" spans="1:14" x14ac:dyDescent="0.35">
      <c r="A14" s="10">
        <v>45536</v>
      </c>
      <c r="B14" s="10">
        <v>45565</v>
      </c>
      <c r="C14" s="43">
        <v>2473537.5</v>
      </c>
      <c r="D14" s="43">
        <v>255.00000000000256</v>
      </c>
      <c r="E14" s="44">
        <f t="shared" si="0"/>
        <v>2473282.5</v>
      </c>
      <c r="F14" s="44">
        <v>0</v>
      </c>
      <c r="G14" s="44">
        <v>0</v>
      </c>
      <c r="H14" s="44">
        <f t="shared" si="1"/>
        <v>0</v>
      </c>
      <c r="I14" s="44">
        <v>0</v>
      </c>
      <c r="J14" s="44">
        <v>0</v>
      </c>
      <c r="K14" s="44">
        <f t="shared" si="2"/>
        <v>0</v>
      </c>
      <c r="L14" s="44">
        <f t="shared" si="3"/>
        <v>2473537.5</v>
      </c>
      <c r="M14" s="44">
        <f t="shared" si="3"/>
        <v>255.00000000000256</v>
      </c>
      <c r="N14" s="44">
        <f t="shared" si="4"/>
        <v>2473282.5</v>
      </c>
    </row>
    <row r="15" spans="1:14" x14ac:dyDescent="0.35">
      <c r="A15" s="10">
        <v>45566</v>
      </c>
      <c r="B15" s="10">
        <v>45596</v>
      </c>
      <c r="C15" s="43">
        <v>1658797.4999999998</v>
      </c>
      <c r="D15" s="43">
        <v>2122.4999999999986</v>
      </c>
      <c r="E15" s="44">
        <f t="shared" si="0"/>
        <v>1656674.9999999998</v>
      </c>
      <c r="F15" s="44">
        <v>0</v>
      </c>
      <c r="G15" s="44">
        <v>0</v>
      </c>
      <c r="H15" s="44">
        <f t="shared" si="1"/>
        <v>0</v>
      </c>
      <c r="I15" s="44">
        <v>0</v>
      </c>
      <c r="J15" s="44">
        <v>0</v>
      </c>
      <c r="K15" s="44">
        <f t="shared" si="2"/>
        <v>0</v>
      </c>
      <c r="L15" s="44">
        <f t="shared" si="3"/>
        <v>1658797.4999999998</v>
      </c>
      <c r="M15" s="44">
        <f t="shared" si="3"/>
        <v>2122.4999999999986</v>
      </c>
      <c r="N15" s="44">
        <f t="shared" si="4"/>
        <v>1656674.9999999998</v>
      </c>
    </row>
    <row r="16" spans="1:14" x14ac:dyDescent="0.35">
      <c r="A16" s="10">
        <v>45597</v>
      </c>
      <c r="B16" s="10">
        <v>45626</v>
      </c>
      <c r="C16" s="43">
        <v>2644065</v>
      </c>
      <c r="D16" s="43">
        <v>1664.9999999999991</v>
      </c>
      <c r="E16" s="15">
        <f t="shared" si="0"/>
        <v>2642400</v>
      </c>
      <c r="F16" s="44">
        <v>0</v>
      </c>
      <c r="G16" s="44">
        <v>0</v>
      </c>
      <c r="H16" s="44">
        <f t="shared" si="1"/>
        <v>0</v>
      </c>
      <c r="I16" s="44">
        <v>0</v>
      </c>
      <c r="J16" s="44">
        <v>0</v>
      </c>
      <c r="K16" s="44">
        <f t="shared" si="2"/>
        <v>0</v>
      </c>
      <c r="L16" s="44">
        <f t="shared" si="3"/>
        <v>2644065</v>
      </c>
      <c r="M16" s="44">
        <f t="shared" si="3"/>
        <v>1664.9999999999991</v>
      </c>
      <c r="N16" s="44">
        <f t="shared" si="4"/>
        <v>2642400</v>
      </c>
    </row>
    <row r="17" spans="1:14" x14ac:dyDescent="0.35">
      <c r="A17" s="10">
        <v>45627</v>
      </c>
      <c r="B17" s="10">
        <v>45657</v>
      </c>
      <c r="C17" s="43">
        <v>1768410.0000000007</v>
      </c>
      <c r="D17" s="43">
        <v>2722.5000000000018</v>
      </c>
      <c r="E17" s="15">
        <f t="shared" si="0"/>
        <v>1765687.5000000007</v>
      </c>
      <c r="F17" s="44">
        <v>0</v>
      </c>
      <c r="G17" s="44">
        <v>0</v>
      </c>
      <c r="H17" s="44">
        <f t="shared" si="1"/>
        <v>0</v>
      </c>
      <c r="I17" s="44">
        <v>0</v>
      </c>
      <c r="J17" s="44">
        <v>0</v>
      </c>
      <c r="K17" s="44">
        <f t="shared" si="2"/>
        <v>0</v>
      </c>
      <c r="L17" s="44">
        <f t="shared" si="3"/>
        <v>1768410.0000000007</v>
      </c>
      <c r="M17" s="44">
        <f t="shared" si="3"/>
        <v>2722.5000000000018</v>
      </c>
      <c r="N17" s="44">
        <f t="shared" si="4"/>
        <v>1765687.5000000007</v>
      </c>
    </row>
    <row r="18" spans="1:14" x14ac:dyDescent="0.35">
      <c r="A18" s="141" t="s">
        <v>1</v>
      </c>
      <c r="B18" s="141"/>
      <c r="C18" s="45">
        <f>SUM(C6:C17)</f>
        <v>24972476.474999979</v>
      </c>
      <c r="D18" s="45">
        <f t="shared" ref="D18:E18" si="5">SUM(D6:D17)</f>
        <v>15011.37000000003</v>
      </c>
      <c r="E18" s="45">
        <f t="shared" si="5"/>
        <v>24957465.104999978</v>
      </c>
      <c r="F18" s="45">
        <f>SUM(F6:F17)</f>
        <v>1075466.03406</v>
      </c>
      <c r="G18" s="45">
        <f t="shared" ref="G18:N18" si="6">SUM(G6:G17)</f>
        <v>527.06562999999994</v>
      </c>
      <c r="H18" s="45">
        <f t="shared" si="6"/>
        <v>1074938.9684300001</v>
      </c>
      <c r="I18" s="45">
        <f t="shared" si="6"/>
        <v>1098201.98031</v>
      </c>
      <c r="J18" s="45">
        <f t="shared" si="6"/>
        <v>574.46913000000006</v>
      </c>
      <c r="K18" s="45">
        <f t="shared" si="6"/>
        <v>1097627.5111799999</v>
      </c>
      <c r="L18" s="45">
        <f t="shared" si="6"/>
        <v>22798808.460629981</v>
      </c>
      <c r="M18" s="45">
        <f t="shared" si="6"/>
        <v>13909.835240000031</v>
      </c>
      <c r="N18" s="45">
        <f t="shared" si="6"/>
        <v>22784898.625389978</v>
      </c>
    </row>
  </sheetData>
  <mergeCells count="6">
    <mergeCell ref="L1:N4"/>
    <mergeCell ref="A18:B18"/>
    <mergeCell ref="A1:B4"/>
    <mergeCell ref="C1:E4"/>
    <mergeCell ref="F1:H4"/>
    <mergeCell ref="I1:K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2"/>
  <sheetViews>
    <sheetView topLeftCell="A15" zoomScale="66" workbookViewId="0">
      <selection activeCell="D39" sqref="D39"/>
    </sheetView>
  </sheetViews>
  <sheetFormatPr defaultRowHeight="14.5" x14ac:dyDescent="0.35"/>
  <cols>
    <col min="3" max="3" width="14.453125" bestFit="1" customWidth="1"/>
    <col min="4" max="4" width="15" customWidth="1"/>
  </cols>
  <sheetData>
    <row r="1" spans="1:5" ht="41.15" customHeight="1" x14ac:dyDescent="0.35">
      <c r="A1" s="147" t="s">
        <v>45</v>
      </c>
      <c r="B1" s="147" t="s">
        <v>46</v>
      </c>
      <c r="C1" s="147" t="s">
        <v>47</v>
      </c>
      <c r="D1" s="147" t="s">
        <v>48</v>
      </c>
      <c r="E1" s="147" t="s">
        <v>49</v>
      </c>
    </row>
    <row r="2" spans="1:5" ht="15" thickBot="1" x14ac:dyDescent="0.4">
      <c r="A2" s="148"/>
      <c r="B2" s="148"/>
      <c r="C2" s="148"/>
      <c r="D2" s="148"/>
      <c r="E2" s="148"/>
    </row>
    <row r="3" spans="1:5" ht="15" thickBot="1" x14ac:dyDescent="0.4">
      <c r="A3" s="26">
        <v>1</v>
      </c>
      <c r="B3" s="27">
        <v>141</v>
      </c>
      <c r="C3" s="28">
        <v>40774</v>
      </c>
      <c r="D3" s="31">
        <v>45522</v>
      </c>
      <c r="E3" s="149">
        <v>4</v>
      </c>
    </row>
    <row r="4" spans="1:5" ht="15" thickBot="1" x14ac:dyDescent="0.4">
      <c r="A4" s="26">
        <v>2</v>
      </c>
      <c r="B4" s="27">
        <v>140</v>
      </c>
      <c r="C4" s="28">
        <v>40774</v>
      </c>
      <c r="D4" s="31">
        <v>45522</v>
      </c>
      <c r="E4" s="145"/>
    </row>
    <row r="5" spans="1:5" ht="15" thickBot="1" x14ac:dyDescent="0.4">
      <c r="A5" s="26">
        <v>3</v>
      </c>
      <c r="B5" s="27">
        <v>139</v>
      </c>
      <c r="C5" s="28">
        <v>40774</v>
      </c>
      <c r="D5" s="31">
        <v>45522</v>
      </c>
      <c r="E5" s="145"/>
    </row>
    <row r="6" spans="1:5" ht="15" thickBot="1" x14ac:dyDescent="0.4">
      <c r="A6" s="26">
        <v>4</v>
      </c>
      <c r="B6" s="27">
        <v>138</v>
      </c>
      <c r="C6" s="28">
        <v>40774</v>
      </c>
      <c r="D6" s="31">
        <v>45522</v>
      </c>
      <c r="E6" s="145"/>
    </row>
    <row r="7" spans="1:5" ht="15" thickBot="1" x14ac:dyDescent="0.4">
      <c r="A7" s="26">
        <v>5</v>
      </c>
      <c r="B7" s="27">
        <v>137</v>
      </c>
      <c r="C7" s="28">
        <v>40774</v>
      </c>
      <c r="D7" s="31">
        <v>45522</v>
      </c>
      <c r="E7" s="145"/>
    </row>
    <row r="8" spans="1:5" ht="15" thickBot="1" x14ac:dyDescent="0.4">
      <c r="A8" s="26">
        <v>6</v>
      </c>
      <c r="B8" s="27">
        <v>136</v>
      </c>
      <c r="C8" s="28">
        <v>40774</v>
      </c>
      <c r="D8" s="31">
        <v>45522</v>
      </c>
      <c r="E8" s="145"/>
    </row>
    <row r="9" spans="1:5" ht="15" thickBot="1" x14ac:dyDescent="0.4">
      <c r="A9" s="26">
        <v>7</v>
      </c>
      <c r="B9" s="27">
        <v>135</v>
      </c>
      <c r="C9" s="28">
        <v>40774</v>
      </c>
      <c r="D9" s="31">
        <v>45522</v>
      </c>
      <c r="E9" s="145"/>
    </row>
    <row r="10" spans="1:5" ht="15" thickBot="1" x14ac:dyDescent="0.4">
      <c r="A10" s="26">
        <v>8</v>
      </c>
      <c r="B10" s="27">
        <v>134</v>
      </c>
      <c r="C10" s="28">
        <v>40774</v>
      </c>
      <c r="D10" s="31">
        <v>45522</v>
      </c>
      <c r="E10" s="145"/>
    </row>
    <row r="11" spans="1:5" ht="15" thickBot="1" x14ac:dyDescent="0.4">
      <c r="A11" s="26">
        <v>9</v>
      </c>
      <c r="B11" s="27">
        <v>133</v>
      </c>
      <c r="C11" s="28">
        <v>40774</v>
      </c>
      <c r="D11" s="31">
        <v>45522</v>
      </c>
      <c r="E11" s="145"/>
    </row>
    <row r="12" spans="1:5" ht="15" thickBot="1" x14ac:dyDescent="0.4">
      <c r="A12" s="26">
        <v>10</v>
      </c>
      <c r="B12" s="27">
        <v>132</v>
      </c>
      <c r="C12" s="28">
        <v>40774</v>
      </c>
      <c r="D12" s="31">
        <v>45522</v>
      </c>
      <c r="E12" s="145"/>
    </row>
    <row r="13" spans="1:5" ht="15" thickBot="1" x14ac:dyDescent="0.4">
      <c r="A13" s="26">
        <v>11</v>
      </c>
      <c r="B13" s="27">
        <v>131</v>
      </c>
      <c r="C13" s="28">
        <v>40774</v>
      </c>
      <c r="D13" s="31">
        <v>45522</v>
      </c>
      <c r="E13" s="145"/>
    </row>
    <row r="14" spans="1:5" ht="15" thickBot="1" x14ac:dyDescent="0.4">
      <c r="A14" s="26">
        <v>12</v>
      </c>
      <c r="B14" s="27">
        <v>130</v>
      </c>
      <c r="C14" s="28">
        <v>40774</v>
      </c>
      <c r="D14" s="31">
        <v>45522</v>
      </c>
      <c r="E14" s="145"/>
    </row>
    <row r="15" spans="1:5" ht="15" thickBot="1" x14ac:dyDescent="0.4">
      <c r="A15" s="26">
        <v>13</v>
      </c>
      <c r="B15" s="27">
        <v>129</v>
      </c>
      <c r="C15" s="28">
        <v>40774</v>
      </c>
      <c r="D15" s="31">
        <v>45522</v>
      </c>
      <c r="E15" s="145"/>
    </row>
    <row r="16" spans="1:5" ht="15" thickBot="1" x14ac:dyDescent="0.4">
      <c r="A16" s="26">
        <v>14</v>
      </c>
      <c r="B16" s="27">
        <v>128</v>
      </c>
      <c r="C16" s="28">
        <v>40774</v>
      </c>
      <c r="D16" s="31">
        <v>45522</v>
      </c>
      <c r="E16" s="145"/>
    </row>
    <row r="17" spans="1:5" ht="15" thickBot="1" x14ac:dyDescent="0.4">
      <c r="A17" s="26">
        <v>15</v>
      </c>
      <c r="B17" s="27">
        <v>127</v>
      </c>
      <c r="C17" s="28">
        <v>40774</v>
      </c>
      <c r="D17" s="31">
        <v>45522</v>
      </c>
      <c r="E17" s="146"/>
    </row>
    <row r="18" spans="1:5" ht="15" thickBot="1" x14ac:dyDescent="0.4">
      <c r="A18" s="26">
        <v>16</v>
      </c>
      <c r="B18" s="27">
        <v>48</v>
      </c>
      <c r="C18" s="28">
        <v>40774</v>
      </c>
      <c r="D18" s="31">
        <v>45522</v>
      </c>
      <c r="E18" s="144">
        <v>6</v>
      </c>
    </row>
    <row r="19" spans="1:5" ht="15" thickBot="1" x14ac:dyDescent="0.4">
      <c r="A19" s="26">
        <v>17</v>
      </c>
      <c r="B19" s="27">
        <v>49</v>
      </c>
      <c r="C19" s="28">
        <v>40774</v>
      </c>
      <c r="D19" s="31">
        <v>45522</v>
      </c>
      <c r="E19" s="145"/>
    </row>
    <row r="20" spans="1:5" ht="15" thickBot="1" x14ac:dyDescent="0.4">
      <c r="A20" s="26">
        <v>18</v>
      </c>
      <c r="B20" s="27">
        <v>50</v>
      </c>
      <c r="C20" s="28">
        <v>40774</v>
      </c>
      <c r="D20" s="31">
        <v>45522</v>
      </c>
      <c r="E20" s="145"/>
    </row>
    <row r="21" spans="1:5" ht="15" thickBot="1" x14ac:dyDescent="0.4">
      <c r="A21" s="26">
        <v>19</v>
      </c>
      <c r="B21" s="29">
        <v>51</v>
      </c>
      <c r="C21" s="30">
        <v>40905</v>
      </c>
      <c r="D21" s="31">
        <v>45653</v>
      </c>
      <c r="E21" s="145"/>
    </row>
    <row r="22" spans="1:5" ht="15" thickBot="1" x14ac:dyDescent="0.4">
      <c r="A22" s="26">
        <v>20</v>
      </c>
      <c r="B22" s="29">
        <v>52</v>
      </c>
      <c r="C22" s="30">
        <v>40905</v>
      </c>
      <c r="D22" s="31">
        <v>45653</v>
      </c>
      <c r="E22" s="145"/>
    </row>
    <row r="23" spans="1:5" ht="15" thickBot="1" x14ac:dyDescent="0.4">
      <c r="A23" s="26">
        <v>21</v>
      </c>
      <c r="B23" s="27">
        <v>53</v>
      </c>
      <c r="C23" s="28">
        <v>40774</v>
      </c>
      <c r="D23" s="31">
        <v>45522</v>
      </c>
      <c r="E23" s="145"/>
    </row>
    <row r="24" spans="1:5" ht="15" thickBot="1" x14ac:dyDescent="0.4">
      <c r="A24" s="26">
        <v>22</v>
      </c>
      <c r="B24" s="27">
        <v>54</v>
      </c>
      <c r="C24" s="28">
        <v>40774</v>
      </c>
      <c r="D24" s="31">
        <v>45522</v>
      </c>
      <c r="E24" s="145"/>
    </row>
    <row r="25" spans="1:5" ht="15" thickBot="1" x14ac:dyDescent="0.4">
      <c r="A25" s="26">
        <v>23</v>
      </c>
      <c r="B25" s="27">
        <v>55</v>
      </c>
      <c r="C25" s="28">
        <v>40774</v>
      </c>
      <c r="D25" s="31">
        <v>45522</v>
      </c>
      <c r="E25" s="145"/>
    </row>
    <row r="26" spans="1:5" ht="15" thickBot="1" x14ac:dyDescent="0.4">
      <c r="A26" s="26">
        <v>24</v>
      </c>
      <c r="B26" s="27">
        <v>56</v>
      </c>
      <c r="C26" s="28">
        <v>40774</v>
      </c>
      <c r="D26" s="31">
        <v>45522</v>
      </c>
      <c r="E26" s="145"/>
    </row>
    <row r="27" spans="1:5" ht="15" thickBot="1" x14ac:dyDescent="0.4">
      <c r="A27" s="26">
        <v>25</v>
      </c>
      <c r="B27" s="27">
        <v>57</v>
      </c>
      <c r="C27" s="28">
        <v>40774</v>
      </c>
      <c r="D27" s="31">
        <v>45522</v>
      </c>
      <c r="E27" s="145"/>
    </row>
    <row r="28" spans="1:5" ht="15" thickBot="1" x14ac:dyDescent="0.4">
      <c r="A28" s="26">
        <v>26</v>
      </c>
      <c r="B28" s="27">
        <v>58</v>
      </c>
      <c r="C28" s="28">
        <v>40774</v>
      </c>
      <c r="D28" s="31">
        <v>45522</v>
      </c>
      <c r="E28" s="145"/>
    </row>
    <row r="29" spans="1:5" ht="15" thickBot="1" x14ac:dyDescent="0.4">
      <c r="A29" s="26">
        <v>27</v>
      </c>
      <c r="B29" s="27">
        <v>59</v>
      </c>
      <c r="C29" s="28">
        <v>40774</v>
      </c>
      <c r="D29" s="31">
        <v>45522</v>
      </c>
      <c r="E29" s="145"/>
    </row>
    <row r="30" spans="1:5" ht="15" thickBot="1" x14ac:dyDescent="0.4">
      <c r="A30" s="26">
        <v>28</v>
      </c>
      <c r="B30" s="27">
        <v>60</v>
      </c>
      <c r="C30" s="28">
        <v>40774</v>
      </c>
      <c r="D30" s="31">
        <v>45522</v>
      </c>
      <c r="E30" s="145"/>
    </row>
    <row r="31" spans="1:5" ht="15" thickBot="1" x14ac:dyDescent="0.4">
      <c r="A31" s="26">
        <v>29</v>
      </c>
      <c r="B31" s="29">
        <v>61</v>
      </c>
      <c r="C31" s="30">
        <v>40905</v>
      </c>
      <c r="D31" s="31">
        <v>45653</v>
      </c>
      <c r="E31" s="145"/>
    </row>
    <row r="32" spans="1:5" ht="15" thickBot="1" x14ac:dyDescent="0.4">
      <c r="A32" s="26">
        <v>30</v>
      </c>
      <c r="B32" s="27">
        <v>62</v>
      </c>
      <c r="C32" s="28">
        <v>40774</v>
      </c>
      <c r="D32" s="31">
        <v>45522</v>
      </c>
      <c r="E32" s="145"/>
    </row>
    <row r="33" spans="1:5" ht="15" thickBot="1" x14ac:dyDescent="0.4">
      <c r="A33" s="26">
        <v>31</v>
      </c>
      <c r="B33" s="27">
        <v>63</v>
      </c>
      <c r="C33" s="28">
        <v>40847</v>
      </c>
      <c r="D33" s="31">
        <v>45595</v>
      </c>
      <c r="E33" s="145"/>
    </row>
    <row r="34" spans="1:5" ht="15" thickBot="1" x14ac:dyDescent="0.4">
      <c r="A34" s="26">
        <v>32</v>
      </c>
      <c r="B34" s="27">
        <v>64</v>
      </c>
      <c r="C34" s="28">
        <v>40847</v>
      </c>
      <c r="D34" s="31">
        <v>45595</v>
      </c>
      <c r="E34" s="145"/>
    </row>
    <row r="35" spans="1:5" ht="15" thickBot="1" x14ac:dyDescent="0.4">
      <c r="A35" s="26">
        <v>33</v>
      </c>
      <c r="B35" s="27">
        <v>65</v>
      </c>
      <c r="C35" s="28">
        <v>40774</v>
      </c>
      <c r="D35" s="31">
        <v>45522</v>
      </c>
      <c r="E35" s="145"/>
    </row>
    <row r="36" spans="1:5" ht="15" thickBot="1" x14ac:dyDescent="0.4">
      <c r="A36" s="26">
        <v>34</v>
      </c>
      <c r="B36" s="27">
        <v>66</v>
      </c>
      <c r="C36" s="28">
        <v>40774</v>
      </c>
      <c r="D36" s="31">
        <v>45522</v>
      </c>
      <c r="E36" s="145"/>
    </row>
    <row r="37" spans="1:5" ht="15" thickBot="1" x14ac:dyDescent="0.4">
      <c r="A37" s="26">
        <v>35</v>
      </c>
      <c r="B37" s="27">
        <v>67</v>
      </c>
      <c r="C37" s="28">
        <v>40774</v>
      </c>
      <c r="D37" s="31">
        <v>45522</v>
      </c>
      <c r="E37" s="145"/>
    </row>
    <row r="38" spans="1:5" ht="15" thickBot="1" x14ac:dyDescent="0.4">
      <c r="A38" s="26">
        <v>36</v>
      </c>
      <c r="B38" s="27">
        <v>68</v>
      </c>
      <c r="C38" s="28">
        <v>40774</v>
      </c>
      <c r="D38" s="31">
        <v>45522</v>
      </c>
      <c r="E38" s="145"/>
    </row>
    <row r="39" spans="1:5" ht="15" thickBot="1" x14ac:dyDescent="0.4">
      <c r="A39" s="26">
        <v>37</v>
      </c>
      <c r="B39" s="27">
        <v>69</v>
      </c>
      <c r="C39" s="28">
        <v>40847</v>
      </c>
      <c r="D39" s="31">
        <v>45595</v>
      </c>
      <c r="E39" s="145"/>
    </row>
    <row r="40" spans="1:5" ht="15" thickBot="1" x14ac:dyDescent="0.4">
      <c r="A40" s="26">
        <v>38</v>
      </c>
      <c r="B40" s="27">
        <v>70</v>
      </c>
      <c r="C40" s="28">
        <v>40774</v>
      </c>
      <c r="D40" s="31">
        <v>45522</v>
      </c>
      <c r="E40" s="145"/>
    </row>
    <row r="41" spans="1:5" ht="15" thickBot="1" x14ac:dyDescent="0.4">
      <c r="A41" s="26">
        <v>39</v>
      </c>
      <c r="B41" s="27">
        <v>71</v>
      </c>
      <c r="C41" s="28">
        <v>40774</v>
      </c>
      <c r="D41" s="31">
        <v>45522</v>
      </c>
      <c r="E41" s="145"/>
    </row>
    <row r="42" spans="1:5" ht="15" thickBot="1" x14ac:dyDescent="0.4">
      <c r="A42" s="26">
        <v>40</v>
      </c>
      <c r="B42" s="27">
        <v>72</v>
      </c>
      <c r="C42" s="28">
        <v>40774</v>
      </c>
      <c r="D42" s="31">
        <v>45522</v>
      </c>
      <c r="E42" s="146"/>
    </row>
    <row r="43" spans="1:5" ht="15" thickBot="1" x14ac:dyDescent="0.4">
      <c r="A43" s="26">
        <v>41</v>
      </c>
      <c r="B43" s="27">
        <v>98</v>
      </c>
      <c r="C43" s="28">
        <v>40774</v>
      </c>
      <c r="D43" s="31">
        <v>45522</v>
      </c>
      <c r="E43" s="144">
        <v>8</v>
      </c>
    </row>
    <row r="44" spans="1:5" ht="15" thickBot="1" x14ac:dyDescent="0.4">
      <c r="A44" s="26">
        <v>42</v>
      </c>
      <c r="B44" s="27">
        <v>99</v>
      </c>
      <c r="C44" s="28">
        <v>40774</v>
      </c>
      <c r="D44" s="31">
        <v>45522</v>
      </c>
      <c r="E44" s="145"/>
    </row>
    <row r="45" spans="1:5" ht="15" thickBot="1" x14ac:dyDescent="0.4">
      <c r="A45" s="26">
        <v>43</v>
      </c>
      <c r="B45" s="27">
        <v>100</v>
      </c>
      <c r="C45" s="28">
        <v>40774</v>
      </c>
      <c r="D45" s="31">
        <v>45522</v>
      </c>
      <c r="E45" s="145"/>
    </row>
    <row r="46" spans="1:5" ht="15" thickBot="1" x14ac:dyDescent="0.4">
      <c r="A46" s="26">
        <v>44</v>
      </c>
      <c r="B46" s="27">
        <v>101</v>
      </c>
      <c r="C46" s="28">
        <v>40774</v>
      </c>
      <c r="D46" s="31">
        <v>45522</v>
      </c>
      <c r="E46" s="145"/>
    </row>
    <row r="47" spans="1:5" ht="15" thickBot="1" x14ac:dyDescent="0.4">
      <c r="A47" s="26">
        <v>45</v>
      </c>
      <c r="B47" s="27">
        <v>102</v>
      </c>
      <c r="C47" s="28">
        <v>40774</v>
      </c>
      <c r="D47" s="31">
        <v>45522</v>
      </c>
      <c r="E47" s="145"/>
    </row>
    <row r="48" spans="1:5" ht="15" thickBot="1" x14ac:dyDescent="0.4">
      <c r="A48" s="26">
        <v>46</v>
      </c>
      <c r="B48" s="27">
        <v>103</v>
      </c>
      <c r="C48" s="28">
        <v>40774</v>
      </c>
      <c r="D48" s="31">
        <v>45522</v>
      </c>
      <c r="E48" s="145"/>
    </row>
    <row r="49" spans="1:5" ht="15" thickBot="1" x14ac:dyDescent="0.4">
      <c r="A49" s="26">
        <v>47</v>
      </c>
      <c r="B49" s="27">
        <v>104</v>
      </c>
      <c r="C49" s="28">
        <v>40774</v>
      </c>
      <c r="D49" s="31">
        <v>45522</v>
      </c>
      <c r="E49" s="145"/>
    </row>
    <row r="50" spans="1:5" ht="15" thickBot="1" x14ac:dyDescent="0.4">
      <c r="A50" s="26">
        <v>48</v>
      </c>
      <c r="B50" s="27">
        <v>105</v>
      </c>
      <c r="C50" s="28">
        <v>40774</v>
      </c>
      <c r="D50" s="31">
        <v>45522</v>
      </c>
      <c r="E50" s="145"/>
    </row>
    <row r="51" spans="1:5" ht="15" thickBot="1" x14ac:dyDescent="0.4">
      <c r="A51" s="26">
        <v>49</v>
      </c>
      <c r="B51" s="27">
        <v>506</v>
      </c>
      <c r="C51" s="28">
        <v>40774</v>
      </c>
      <c r="D51" s="31">
        <v>45522</v>
      </c>
      <c r="E51" s="145"/>
    </row>
    <row r="52" spans="1:5" ht="15" thickBot="1" x14ac:dyDescent="0.4">
      <c r="A52" s="26">
        <v>50</v>
      </c>
      <c r="B52" s="27">
        <v>106</v>
      </c>
      <c r="C52" s="28">
        <v>40774</v>
      </c>
      <c r="D52" s="31">
        <v>45522</v>
      </c>
      <c r="E52" s="146"/>
    </row>
    <row r="53" spans="1:5" ht="15" thickBot="1" x14ac:dyDescent="0.4">
      <c r="A53" s="26">
        <v>51</v>
      </c>
      <c r="B53" s="27">
        <v>73</v>
      </c>
      <c r="C53" s="28">
        <v>40834</v>
      </c>
      <c r="D53" s="31">
        <v>45582</v>
      </c>
      <c r="E53" s="144">
        <v>7</v>
      </c>
    </row>
    <row r="54" spans="1:5" ht="15" thickBot="1" x14ac:dyDescent="0.4">
      <c r="A54" s="26">
        <v>52</v>
      </c>
      <c r="B54" s="27">
        <v>74</v>
      </c>
      <c r="C54" s="28">
        <v>40834</v>
      </c>
      <c r="D54" s="31">
        <v>45582</v>
      </c>
      <c r="E54" s="145"/>
    </row>
    <row r="55" spans="1:5" ht="15" thickBot="1" x14ac:dyDescent="0.4">
      <c r="A55" s="26">
        <v>53</v>
      </c>
      <c r="B55" s="27">
        <v>75</v>
      </c>
      <c r="C55" s="28">
        <v>40834</v>
      </c>
      <c r="D55" s="31">
        <v>45582</v>
      </c>
      <c r="E55" s="145"/>
    </row>
    <row r="56" spans="1:5" ht="15" thickBot="1" x14ac:dyDescent="0.4">
      <c r="A56" s="26">
        <v>54</v>
      </c>
      <c r="B56" s="29">
        <v>76</v>
      </c>
      <c r="C56" s="30">
        <v>40905</v>
      </c>
      <c r="D56" s="31">
        <v>45653</v>
      </c>
      <c r="E56" s="145"/>
    </row>
    <row r="57" spans="1:5" ht="15" thickBot="1" x14ac:dyDescent="0.4">
      <c r="A57" s="26">
        <v>55</v>
      </c>
      <c r="B57" s="27">
        <v>77</v>
      </c>
      <c r="C57" s="28">
        <v>40834</v>
      </c>
      <c r="D57" s="31">
        <v>45582</v>
      </c>
      <c r="E57" s="145"/>
    </row>
    <row r="58" spans="1:5" ht="15" thickBot="1" x14ac:dyDescent="0.4">
      <c r="A58" s="26">
        <v>56</v>
      </c>
      <c r="B58" s="27">
        <v>78</v>
      </c>
      <c r="C58" s="28">
        <v>40834</v>
      </c>
      <c r="D58" s="31">
        <v>45582</v>
      </c>
      <c r="E58" s="145"/>
    </row>
    <row r="59" spans="1:5" ht="15" thickBot="1" x14ac:dyDescent="0.4">
      <c r="A59" s="26">
        <v>57</v>
      </c>
      <c r="B59" s="27">
        <v>79</v>
      </c>
      <c r="C59" s="28">
        <v>40834</v>
      </c>
      <c r="D59" s="31">
        <v>45582</v>
      </c>
      <c r="E59" s="145"/>
    </row>
    <row r="60" spans="1:5" ht="15" thickBot="1" x14ac:dyDescent="0.4">
      <c r="A60" s="26">
        <v>58</v>
      </c>
      <c r="B60" s="27">
        <v>80</v>
      </c>
      <c r="C60" s="28">
        <v>40834</v>
      </c>
      <c r="D60" s="31">
        <v>45582</v>
      </c>
      <c r="E60" s="145"/>
    </row>
    <row r="61" spans="1:5" ht="15" thickBot="1" x14ac:dyDescent="0.4">
      <c r="A61" s="26">
        <v>59</v>
      </c>
      <c r="B61" s="27">
        <v>82</v>
      </c>
      <c r="C61" s="28">
        <v>40834</v>
      </c>
      <c r="D61" s="31">
        <v>45582</v>
      </c>
      <c r="E61" s="145"/>
    </row>
    <row r="62" spans="1:5" ht="15" thickBot="1" x14ac:dyDescent="0.4">
      <c r="A62" s="26">
        <v>60</v>
      </c>
      <c r="B62" s="29">
        <v>83</v>
      </c>
      <c r="C62" s="30">
        <v>40905</v>
      </c>
      <c r="D62" s="31">
        <v>45653</v>
      </c>
      <c r="E62" s="145"/>
    </row>
    <row r="63" spans="1:5" ht="15" thickBot="1" x14ac:dyDescent="0.4">
      <c r="A63" s="26">
        <v>61</v>
      </c>
      <c r="B63" s="27">
        <v>84</v>
      </c>
      <c r="C63" s="28">
        <v>40834</v>
      </c>
      <c r="D63" s="31">
        <v>45582</v>
      </c>
      <c r="E63" s="145"/>
    </row>
    <row r="64" spans="1:5" ht="15" thickBot="1" x14ac:dyDescent="0.4">
      <c r="A64" s="26">
        <v>62</v>
      </c>
      <c r="B64" s="27">
        <v>85</v>
      </c>
      <c r="C64" s="28">
        <v>40834</v>
      </c>
      <c r="D64" s="31">
        <v>45582</v>
      </c>
      <c r="E64" s="145"/>
    </row>
    <row r="65" spans="1:5" ht="15" thickBot="1" x14ac:dyDescent="0.4">
      <c r="A65" s="26">
        <v>63</v>
      </c>
      <c r="B65" s="29">
        <v>86</v>
      </c>
      <c r="C65" s="30">
        <v>40905</v>
      </c>
      <c r="D65" s="31">
        <v>45653</v>
      </c>
      <c r="E65" s="145"/>
    </row>
    <row r="66" spans="1:5" ht="15" thickBot="1" x14ac:dyDescent="0.4">
      <c r="A66" s="26">
        <v>64</v>
      </c>
      <c r="B66" s="29">
        <v>87</v>
      </c>
      <c r="C66" s="30">
        <v>40905</v>
      </c>
      <c r="D66" s="31">
        <v>45653</v>
      </c>
      <c r="E66" s="145"/>
    </row>
    <row r="67" spans="1:5" ht="15" thickBot="1" x14ac:dyDescent="0.4">
      <c r="A67" s="26">
        <v>65</v>
      </c>
      <c r="B67" s="27">
        <v>88</v>
      </c>
      <c r="C67" s="28">
        <v>40847</v>
      </c>
      <c r="D67" s="31">
        <v>45595</v>
      </c>
      <c r="E67" s="145"/>
    </row>
    <row r="68" spans="1:5" ht="15" thickBot="1" x14ac:dyDescent="0.4">
      <c r="A68" s="26">
        <v>66</v>
      </c>
      <c r="B68" s="29">
        <v>89</v>
      </c>
      <c r="C68" s="30">
        <v>40905</v>
      </c>
      <c r="D68" s="31">
        <v>45653</v>
      </c>
      <c r="E68" s="146"/>
    </row>
    <row r="69" spans="1:5" ht="15" thickBot="1" x14ac:dyDescent="0.4">
      <c r="A69" s="26">
        <v>67</v>
      </c>
      <c r="B69" s="29">
        <v>90</v>
      </c>
      <c r="C69" s="30">
        <v>40905</v>
      </c>
      <c r="D69" s="31">
        <v>45653</v>
      </c>
      <c r="E69" s="144">
        <v>8</v>
      </c>
    </row>
    <row r="70" spans="1:5" ht="15" thickBot="1" x14ac:dyDescent="0.4">
      <c r="A70" s="26">
        <v>68</v>
      </c>
      <c r="B70" s="29">
        <v>91</v>
      </c>
      <c r="C70" s="30">
        <v>40905</v>
      </c>
      <c r="D70" s="31">
        <v>45653</v>
      </c>
      <c r="E70" s="145"/>
    </row>
    <row r="71" spans="1:5" ht="15" thickBot="1" x14ac:dyDescent="0.4">
      <c r="A71" s="26">
        <v>69</v>
      </c>
      <c r="B71" s="29">
        <v>92</v>
      </c>
      <c r="C71" s="30">
        <v>40905</v>
      </c>
      <c r="D71" s="31">
        <v>45653</v>
      </c>
      <c r="E71" s="145"/>
    </row>
    <row r="72" spans="1:5" ht="15" thickBot="1" x14ac:dyDescent="0.4">
      <c r="A72" s="26">
        <v>70</v>
      </c>
      <c r="B72" s="29">
        <v>93</v>
      </c>
      <c r="C72" s="30">
        <v>40905</v>
      </c>
      <c r="D72" s="31">
        <v>45653</v>
      </c>
      <c r="E72" s="146"/>
    </row>
  </sheetData>
  <mergeCells count="10">
    <mergeCell ref="E69:E72"/>
    <mergeCell ref="A1:A2"/>
    <mergeCell ref="B1:B2"/>
    <mergeCell ref="C1:C2"/>
    <mergeCell ref="D1:D2"/>
    <mergeCell ref="E3:E17"/>
    <mergeCell ref="E1:E2"/>
    <mergeCell ref="E18:E42"/>
    <mergeCell ref="E53:E68"/>
    <mergeCell ref="E43:E5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ER Sheet</vt:lpstr>
      <vt:lpstr>Generation Data</vt:lpstr>
      <vt:lpstr>Feeder 8 Apportionment</vt:lpstr>
      <vt:lpstr>PPA Expiry Schedule</vt:lpstr>
    </vt:vector>
  </TitlesOfParts>
  <Company>ABC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Carbon CDM</cp:lastModifiedBy>
  <cp:lastPrinted>2023-05-22T11:06:52Z</cp:lastPrinted>
  <dcterms:created xsi:type="dcterms:W3CDTF">2013-11-21T07:17:25Z</dcterms:created>
  <dcterms:modified xsi:type="dcterms:W3CDTF">2025-11-04T05:40:45Z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bfac9a77-4a4c-40e6-919e-f4b7b0f5e3f7_Enabled">
    <vt:lpwstr>true</vt:lpwstr>
  </property>
  <property fmtid="{D5CDD505-2E9C-101B-9397-08002B2CF9AE}" pid="5" name="MSIP_Label_bfac9a77-4a4c-40e6-919e-f4b7b0f5e3f7_SetDate">
    <vt:lpwstr>2023-01-13T04:50:15Z</vt:lpwstr>
  </property>
  <property fmtid="{D5CDD505-2E9C-101B-9397-08002B2CF9AE}" pid="6" name="MSIP_Label_bfac9a77-4a4c-40e6-919e-f4b7b0f5e3f7_Method">
    <vt:lpwstr>Privileged</vt:lpwstr>
  </property>
  <property fmtid="{D5CDD505-2E9C-101B-9397-08002B2CF9AE}" pid="7" name="MSIP_Label_bfac9a77-4a4c-40e6-919e-f4b7b0f5e3f7_Name">
    <vt:lpwstr>bfac9a77-4a4c-40e6-919e-f4b7b0f5e3f7</vt:lpwstr>
  </property>
  <property fmtid="{D5CDD505-2E9C-101B-9397-08002B2CF9AE}" pid="8" name="MSIP_Label_bfac9a77-4a4c-40e6-919e-f4b7b0f5e3f7_SiteId">
    <vt:lpwstr>45910e2a-86b0-41e7-8051-c4b8b63b25b7</vt:lpwstr>
  </property>
  <property fmtid="{D5CDD505-2E9C-101B-9397-08002B2CF9AE}" pid="9" name="MSIP_Label_bfac9a77-4a4c-40e6-919e-f4b7b0f5e3f7_ActionId">
    <vt:lpwstr>61d681be-6234-4fd7-8a5c-c54b1c87d448</vt:lpwstr>
  </property>
  <property fmtid="{D5CDD505-2E9C-101B-9397-08002B2CF9AE}" pid="10" name="MSIP_Label_bfac9a77-4a4c-40e6-919e-f4b7b0f5e3f7_ContentBits">
    <vt:lpwstr>0</vt:lpwstr>
  </property>
</Properties>
</file>