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5917b306ba45e2ca/ARX Projects/Ongoing Verificaiton Projects/Andhra Lake II/VCS 1481 Round I VVB Submission/"/>
    </mc:Choice>
  </mc:AlternateContent>
  <xr:revisionPtr revIDLastSave="68" documentId="13_ncr:1_{A7AC90D2-8879-4A1F-B09F-6F0847DE3E3B}" xr6:coauthVersionLast="47" xr6:coauthVersionMax="47" xr10:uidLastSave="{37CB04A1-9508-4EB4-89A8-79B901170F29}"/>
  <bookViews>
    <workbookView xWindow="-110" yWindow="-110" windowWidth="19420" windowHeight="10300" activeTab="1" xr2:uid="{00000000-000D-0000-FFFF-FFFF00000000}"/>
  </bookViews>
  <sheets>
    <sheet name="ER Estimation" sheetId="12" r:id="rId1"/>
    <sheet name="Generation Data" sheetId="5" r:id="rId2"/>
    <sheet name="PPA Expiry Details" sheetId="14" r:id="rId3"/>
  </sheets>
  <externalReferences>
    <externalReference r:id="rId4"/>
  </externalReferences>
  <definedNames>
    <definedName name="Aux_Coal">[1]Assumptions!$D$17</definedName>
    <definedName name="Aux_CoalR1">#REF!</definedName>
    <definedName name="Aux_CoalR2">[1]Assumptions!$E$30</definedName>
    <definedName name="Aux_CoalR3">[1]Assumptions!$F$30</definedName>
    <definedName name="Aux_CoalR4">[1]Assumptions!$G$30</definedName>
    <definedName name="Aux_CoalR5">#REF!</definedName>
    <definedName name="Aux_Diesel">[1]Assumptions!$I$17</definedName>
    <definedName name="Aux_DieselOC">#REF!</definedName>
    <definedName name="Aux_Gas">[1]Assumptions!$F$17</definedName>
    <definedName name="Aux_GasOC">[1]Assumptions!$G$17</definedName>
    <definedName name="Aux_Hydro">[1]Assumptions!$L$17</definedName>
    <definedName name="Aux_Lign">[1]Assumptions!$E$17</definedName>
    <definedName name="Aux_LignR1">#REF!</definedName>
    <definedName name="Aux_LignR2">#REF!</definedName>
    <definedName name="Aux_LignR3">#REF!</definedName>
    <definedName name="Aux_Napt">[1]Assumptions!$K$17</definedName>
    <definedName name="Aux_Nuclear">[1]Assumptions!$M$17</definedName>
    <definedName name="Aux_Oil">[1]Assumptions!$H$17</definedName>
    <definedName name="Bottom_ash">#REF!</definedName>
    <definedName name="Density_Diesel">[1]Assumptions!$I$22</definedName>
    <definedName name="Density_DieselOC">#REF!</definedName>
    <definedName name="Density_Naphta">[1]Assumptions!$K$22</definedName>
    <definedName name="Density_Oil">[1]Assumptions!$H$22</definedName>
    <definedName name="Fly_ash">#REF!</definedName>
    <definedName name="GCV_Coal">[1]Assumptions!$D$21</definedName>
    <definedName name="GCV_Diesel">[1]Assumptions!$I$21</definedName>
    <definedName name="GCV_DieselOC">#REF!</definedName>
    <definedName name="GCV_Gas">[1]Assumptions!$F$21</definedName>
    <definedName name="GCV_Naphta">[1]Assumptions!$K$21</definedName>
    <definedName name="GCV_Oil">[1]Assumptions!$H$21</definedName>
    <definedName name="I22Density_Naphta">#REF!</definedName>
    <definedName name="kJ_kcal">[1]Assumptions!$D$66</definedName>
    <definedName name="MJ_kWh">#REF!</definedName>
    <definedName name="OpHours_Hydro">#REF!</definedName>
    <definedName name="PLF_Gas">#REF!</definedName>
    <definedName name="SpecCons_OillF2">[1]Assumptions!$D$20</definedName>
    <definedName name="SpecCons_OillF2_Lign">#REF!</definedName>
    <definedName name="SpecEm_Coal">[1]Assumptions!$D$23</definedName>
    <definedName name="SpecEm_CoalR1">#REF!</definedName>
    <definedName name="SpecEm_CoalR2">[1]Assumptions!$E$34</definedName>
    <definedName name="SpecEm_CoalR3">[1]Assumptions!$F$34</definedName>
    <definedName name="SpecEm_CoalR4">[1]Assumptions!$G$34</definedName>
    <definedName name="SpecEm_CoalR5">#REF!</definedName>
    <definedName name="SpecEm_Diesel">[1]Assumptions!$I$23</definedName>
    <definedName name="SpecEm_DieselOC">[1]Assumptions!$J$23</definedName>
    <definedName name="SpecEm_DieselR1">#REF!</definedName>
    <definedName name="SpecEm_DieselR2">#REF!</definedName>
    <definedName name="SpecEm_DieselR3">[1]Assumptions!$F$52</definedName>
    <definedName name="SpecEm_DieselR4">[1]Assumptions!$G$52</definedName>
    <definedName name="SpecEm_Gas">[1]Assumptions!$F$23</definedName>
    <definedName name="SpecEm_GasOC">[1]Assumptions!$G$23</definedName>
    <definedName name="SpecEm_GasR1">[1]Assumptions!$D$47</definedName>
    <definedName name="SpecEm_GasR2">[1]Assumptions!$E$47</definedName>
    <definedName name="SpecEm_GasR3">[1]Assumptions!$F$47</definedName>
    <definedName name="SpecEm_GasR4">#REF!</definedName>
    <definedName name="SpecEm_Lignite">[1]Assumptions!$E$23</definedName>
    <definedName name="SpecEm_LignR1">#REF!</definedName>
    <definedName name="SpecEm_LignR2">#REF!</definedName>
    <definedName name="SpecEm_LignR3">#REF!</definedName>
    <definedName name="SpecEm_Naphta">[1]Assumptions!$D$58</definedName>
    <definedName name="SpecEm_Oil">[1]Assumptions!$H$23</definedName>
    <definedName name="Weight_BM">[1]Assumptions!$D$63</definedName>
    <definedName name="Weight_OM">[1]Assumptions!$D$62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2" l="1"/>
  <c r="T19" i="5" l="1"/>
  <c r="X13" i="5"/>
  <c r="X14" i="5"/>
  <c r="X15" i="5"/>
  <c r="X16" i="5"/>
  <c r="X17" i="5"/>
  <c r="X18" i="5"/>
  <c r="X19" i="5"/>
  <c r="X12" i="5"/>
  <c r="W24" i="5"/>
  <c r="V24" i="5"/>
  <c r="X24" i="5" l="1"/>
  <c r="AD13" i="5" l="1"/>
  <c r="AD14" i="5"/>
  <c r="AD15" i="5"/>
  <c r="AD16" i="5"/>
  <c r="AD17" i="5"/>
  <c r="AD18" i="5"/>
  <c r="AD19" i="5"/>
  <c r="AD20" i="5"/>
  <c r="AD21" i="5"/>
  <c r="AD22" i="5"/>
  <c r="AD23" i="5"/>
  <c r="AD24" i="5"/>
  <c r="AD12" i="5"/>
  <c r="AC13" i="5"/>
  <c r="AC14" i="5"/>
  <c r="AC15" i="5"/>
  <c r="AC16" i="5"/>
  <c r="AC17" i="5"/>
  <c r="AC18" i="5"/>
  <c r="AC19" i="5"/>
  <c r="AC20" i="5"/>
  <c r="AC21" i="5"/>
  <c r="AC22" i="5"/>
  <c r="AC23" i="5"/>
  <c r="AC24" i="5"/>
  <c r="AC12" i="5"/>
  <c r="U19" i="5"/>
  <c r="U18" i="5"/>
  <c r="T18" i="5"/>
  <c r="U17" i="5"/>
  <c r="T17" i="5"/>
  <c r="U16" i="5"/>
  <c r="T16" i="5"/>
  <c r="V16" i="5"/>
  <c r="U15" i="5"/>
  <c r="T15" i="5"/>
  <c r="U14" i="5" l="1"/>
  <c r="T14" i="5"/>
  <c r="T12" i="5"/>
  <c r="U13" i="5" l="1"/>
  <c r="T13" i="5"/>
  <c r="U12" i="5"/>
  <c r="AA12" i="5" l="1"/>
  <c r="Z12" i="5"/>
  <c r="AA23" i="5" l="1"/>
  <c r="Z23" i="5"/>
  <c r="D23" i="12" l="1"/>
  <c r="B23" i="12"/>
  <c r="F12" i="5"/>
  <c r="J12" i="5"/>
  <c r="F13" i="5"/>
  <c r="J13" i="5"/>
  <c r="F22" i="5"/>
  <c r="J22" i="5"/>
  <c r="N22" i="5"/>
  <c r="R22" i="5"/>
  <c r="V22" i="5"/>
  <c r="Z22" i="5"/>
  <c r="AA22" i="5"/>
  <c r="F23" i="5"/>
  <c r="J23" i="5"/>
  <c r="N23" i="5"/>
  <c r="R23" i="5"/>
  <c r="V23" i="5"/>
  <c r="AB22" i="5" l="1"/>
  <c r="D28" i="12"/>
  <c r="Z13" i="5"/>
  <c r="AA13" i="5"/>
  <c r="Z14" i="5"/>
  <c r="AA14" i="5"/>
  <c r="Z15" i="5"/>
  <c r="AA15" i="5"/>
  <c r="Z16" i="5"/>
  <c r="AA16" i="5"/>
  <c r="Z17" i="5"/>
  <c r="AA17" i="5"/>
  <c r="Z18" i="5"/>
  <c r="AA18" i="5"/>
  <c r="Z19" i="5"/>
  <c r="AA19" i="5"/>
  <c r="Z20" i="5"/>
  <c r="AA20" i="5"/>
  <c r="Z21" i="5"/>
  <c r="AA21" i="5"/>
  <c r="V21" i="5"/>
  <c r="V20" i="5"/>
  <c r="V19" i="5"/>
  <c r="V18" i="5"/>
  <c r="V17" i="5"/>
  <c r="V15" i="5"/>
  <c r="V14" i="5"/>
  <c r="V13" i="5"/>
  <c r="V12" i="5"/>
  <c r="AB14" i="5" l="1"/>
  <c r="AB13" i="5"/>
  <c r="AB18" i="5"/>
  <c r="AB17" i="5"/>
  <c r="AB19" i="5"/>
  <c r="AB15" i="5"/>
  <c r="AB21" i="5"/>
  <c r="AB20" i="5"/>
  <c r="AB16" i="5"/>
  <c r="R12" i="5" l="1"/>
  <c r="N12" i="5" l="1"/>
  <c r="AB12" i="5" l="1"/>
  <c r="E6" i="12"/>
  <c r="H10" i="5" l="1"/>
  <c r="I10" i="5"/>
  <c r="J10" i="5"/>
  <c r="J24" i="12" l="1"/>
  <c r="G22" i="12"/>
  <c r="F22" i="12"/>
  <c r="F20" i="12"/>
  <c r="G20" i="12"/>
  <c r="E22" i="12"/>
  <c r="E20" i="12"/>
  <c r="K24" i="12"/>
  <c r="F7" i="12"/>
  <c r="F8" i="12"/>
  <c r="F9" i="12"/>
  <c r="F10" i="12"/>
  <c r="F11" i="12"/>
  <c r="F12" i="12"/>
  <c r="F13" i="12"/>
  <c r="F14" i="12"/>
  <c r="F15" i="12"/>
  <c r="F16" i="12"/>
  <c r="F17" i="12"/>
  <c r="E7" i="12"/>
  <c r="E8" i="12"/>
  <c r="E9" i="12"/>
  <c r="E10" i="12"/>
  <c r="E11" i="12"/>
  <c r="E12" i="12"/>
  <c r="E13" i="12"/>
  <c r="E14" i="12"/>
  <c r="E15" i="12"/>
  <c r="E16" i="12"/>
  <c r="Q24" i="5"/>
  <c r="P24" i="5"/>
  <c r="R13" i="5"/>
  <c r="R14" i="5"/>
  <c r="R15" i="5"/>
  <c r="R16" i="5"/>
  <c r="R17" i="5"/>
  <c r="R18" i="5"/>
  <c r="R19" i="5"/>
  <c r="R20" i="5"/>
  <c r="R21" i="5"/>
  <c r="N13" i="5"/>
  <c r="N14" i="5"/>
  <c r="N15" i="5"/>
  <c r="N16" i="5"/>
  <c r="N17" i="5"/>
  <c r="N18" i="5"/>
  <c r="N19" i="5"/>
  <c r="N20" i="5"/>
  <c r="N21" i="5"/>
  <c r="M24" i="5"/>
  <c r="I24" i="5"/>
  <c r="J14" i="5"/>
  <c r="J15" i="5"/>
  <c r="J16" i="5"/>
  <c r="J17" i="5"/>
  <c r="J18" i="5"/>
  <c r="J19" i="5"/>
  <c r="J20" i="5"/>
  <c r="J21" i="5"/>
  <c r="F14" i="5"/>
  <c r="F15" i="5"/>
  <c r="F16" i="5"/>
  <c r="F17" i="5"/>
  <c r="F18" i="5"/>
  <c r="F19" i="5"/>
  <c r="F20" i="5"/>
  <c r="F21" i="5"/>
  <c r="B5" i="5"/>
  <c r="B2" i="5"/>
  <c r="B3" i="5"/>
  <c r="B4" i="5"/>
  <c r="B1" i="5"/>
  <c r="G13" i="12" l="1"/>
  <c r="G9" i="12"/>
  <c r="G11" i="12"/>
  <c r="G15" i="12"/>
  <c r="G7" i="12"/>
  <c r="G16" i="12"/>
  <c r="G12" i="12"/>
  <c r="G8" i="12"/>
  <c r="G14" i="12"/>
  <c r="G10" i="12"/>
  <c r="B28" i="12"/>
  <c r="E28" i="12" l="1"/>
  <c r="E29" i="12" s="1"/>
  <c r="G28" i="12" l="1"/>
  <c r="G29" i="12" s="1"/>
  <c r="T24" i="5" l="1"/>
  <c r="U24" i="5"/>
  <c r="L24" i="5"/>
  <c r="H24" i="5"/>
  <c r="R24" i="5" l="1"/>
  <c r="N24" i="5"/>
  <c r="J24" i="5"/>
  <c r="F24" i="5"/>
  <c r="D24" i="5"/>
  <c r="E24" i="5"/>
  <c r="AA24" i="5"/>
  <c r="F6" i="12"/>
  <c r="F23" i="12" l="1"/>
  <c r="F24" i="12" s="1"/>
  <c r="F18" i="12"/>
  <c r="G6" i="12"/>
  <c r="AB23" i="5" l="1"/>
  <c r="AB24" i="5" s="1"/>
  <c r="E17" i="12"/>
  <c r="Z24" i="5"/>
  <c r="E23" i="12" l="1"/>
  <c r="E24" i="12" s="1"/>
  <c r="E18" i="12"/>
  <c r="G17" i="12"/>
  <c r="G18" i="12" s="1"/>
  <c r="G23" i="12" l="1"/>
  <c r="G24" i="12" s="1"/>
  <c r="I23" i="12" l="1"/>
  <c r="L23" i="12" s="1"/>
  <c r="I24" i="12" l="1"/>
  <c r="L24" i="12"/>
  <c r="H28" i="12"/>
  <c r="I28" i="12" l="1"/>
  <c r="H29" i="12"/>
  <c r="I29" i="12" s="1"/>
</calcChain>
</file>

<file path=xl/sharedStrings.xml><?xml version="1.0" encoding="utf-8"?>
<sst xmlns="http://schemas.openxmlformats.org/spreadsheetml/2006/main" count="126" uniqueCount="70">
  <si>
    <t>Net</t>
  </si>
  <si>
    <t>Break-up of Energy</t>
  </si>
  <si>
    <t>Total</t>
  </si>
  <si>
    <t>Location no: 190,191, 193-198, 200,201,199</t>
  </si>
  <si>
    <t>Feeder 1</t>
  </si>
  <si>
    <t>Feeder No 2</t>
  </si>
  <si>
    <t>Location no:202, 203, 204-209, 210-214</t>
  </si>
  <si>
    <t>Feeder 3</t>
  </si>
  <si>
    <t>Feeder 5</t>
  </si>
  <si>
    <t>Location no: 107-113, 115-124,511</t>
  </si>
  <si>
    <t>Feeder 8</t>
  </si>
  <si>
    <t>Location no: 96,97</t>
  </si>
  <si>
    <t>Net Export</t>
  </si>
  <si>
    <t>Total Export</t>
  </si>
  <si>
    <t>Total Import</t>
  </si>
  <si>
    <t>Project Title: Wind power project in Maharashtra, India – Andhra Lake Phase - II</t>
  </si>
  <si>
    <t>Duration</t>
  </si>
  <si>
    <t>Start Date of Monitoring Period</t>
  </si>
  <si>
    <t>End Date of Monitoring Period</t>
  </si>
  <si>
    <t>No. of Days in Monitoring Period (Including both days)</t>
  </si>
  <si>
    <t>Estimated ER for the Monitoring Period (tCO2)</t>
  </si>
  <si>
    <t>Actual ER during the Monitoring period (tCO2)</t>
  </si>
  <si>
    <t>Difference of Estimated and Actual Emissions</t>
  </si>
  <si>
    <t>Estimated ER per year as per Registerd PDD (tCO2)</t>
  </si>
  <si>
    <t>From</t>
  </si>
  <si>
    <t>To</t>
  </si>
  <si>
    <t>Export</t>
  </si>
  <si>
    <t>kWh</t>
  </si>
  <si>
    <t>Import</t>
  </si>
  <si>
    <t xml:space="preserve">Import </t>
  </si>
  <si>
    <t>Start</t>
  </si>
  <si>
    <t>End</t>
  </si>
  <si>
    <t>MWh</t>
  </si>
  <si>
    <t>Vintage</t>
  </si>
  <si>
    <t>Quantity of net electricity generation supplied by the project plant/unit to the grid</t>
  </si>
  <si>
    <t>Quantity of electricity imported by the Project from the grid</t>
  </si>
  <si>
    <t>Quantity of electricity exported by the Project to the grid</t>
  </si>
  <si>
    <t>tCO2/MWh</t>
  </si>
  <si>
    <t>Combined Margin CO2 emission factor for NEWNE grid</t>
  </si>
  <si>
    <t>tCO2</t>
  </si>
  <si>
    <t>Baseline Emissions</t>
  </si>
  <si>
    <t>Project Emissions</t>
  </si>
  <si>
    <t>Leakage</t>
  </si>
  <si>
    <t>Emission Reductions</t>
  </si>
  <si>
    <t>Electricity Export</t>
  </si>
  <si>
    <t>Electricity Import</t>
  </si>
  <si>
    <t>Project ID: 1481</t>
  </si>
  <si>
    <t>Location no: 19-34, 35, 36, 500</t>
  </si>
  <si>
    <t>Net Generation</t>
  </si>
  <si>
    <t xml:space="preserve">  </t>
  </si>
  <si>
    <t>Sr. No.</t>
  </si>
  <si>
    <t>Location No.</t>
  </si>
  <si>
    <t>Date of WEC commissioning</t>
  </si>
  <si>
    <t>PPA Expiry Date</t>
  </si>
  <si>
    <t>Feeder</t>
  </si>
  <si>
    <t>Break-up of Energy*</t>
  </si>
  <si>
    <t>Panel generation for 2 WTG</t>
  </si>
  <si>
    <t>Panel generation for Feeder</t>
  </si>
  <si>
    <t>Total Panel generation (Project)</t>
  </si>
  <si>
    <t>Total Panel generation (Project+Non-project)</t>
  </si>
  <si>
    <r>
      <t>EG</t>
    </r>
    <r>
      <rPr>
        <b/>
        <vertAlign val="subscript"/>
        <sz val="9"/>
        <color theme="1"/>
        <rFont val="Arial"/>
        <family val="2"/>
      </rPr>
      <t>export,y</t>
    </r>
  </si>
  <si>
    <r>
      <t>EG</t>
    </r>
    <r>
      <rPr>
        <b/>
        <vertAlign val="subscript"/>
        <sz val="9"/>
        <color theme="1"/>
        <rFont val="Arial"/>
        <family val="2"/>
      </rPr>
      <t>import,y</t>
    </r>
  </si>
  <si>
    <r>
      <t>EG</t>
    </r>
    <r>
      <rPr>
        <b/>
        <vertAlign val="subscript"/>
        <sz val="9"/>
        <color theme="1"/>
        <rFont val="Arial"/>
        <family val="2"/>
      </rPr>
      <t>facility,y</t>
    </r>
  </si>
  <si>
    <r>
      <t>EF</t>
    </r>
    <r>
      <rPr>
        <b/>
        <vertAlign val="subscript"/>
        <sz val="9"/>
        <color theme="1"/>
        <rFont val="Arial"/>
        <family val="2"/>
      </rPr>
      <t>grid,CM,y</t>
    </r>
  </si>
  <si>
    <r>
      <t>BE</t>
    </r>
    <r>
      <rPr>
        <b/>
        <vertAlign val="subscript"/>
        <sz val="9"/>
        <color theme="1"/>
        <rFont val="Arial"/>
        <family val="2"/>
      </rPr>
      <t>y</t>
    </r>
  </si>
  <si>
    <r>
      <t>PE</t>
    </r>
    <r>
      <rPr>
        <b/>
        <vertAlign val="subscript"/>
        <sz val="9"/>
        <color theme="1"/>
        <rFont val="Arial"/>
        <family val="2"/>
      </rPr>
      <t>y</t>
    </r>
  </si>
  <si>
    <r>
      <t>L</t>
    </r>
    <r>
      <rPr>
        <b/>
        <vertAlign val="subscript"/>
        <sz val="9"/>
        <color theme="1"/>
        <rFont val="Arial"/>
        <family val="2"/>
      </rPr>
      <t>y</t>
    </r>
  </si>
  <si>
    <r>
      <t>ER</t>
    </r>
    <r>
      <rPr>
        <b/>
        <vertAlign val="subscript"/>
        <sz val="9"/>
        <color theme="1"/>
        <rFont val="Arial"/>
        <family val="2"/>
      </rPr>
      <t>y</t>
    </r>
  </si>
  <si>
    <t>PLF</t>
  </si>
  <si>
    <t>*The Power Purchase Agreements (PPAs) of two Wind Turbine Generators (WTGs) (Locations 96 and 97) connected to Feeder 8 expired on 18 August 2024. In line with the conservative approach adopted for emission reduction estimation, the electricity generation from these WTGs, for which PPAs have expired, has not been included in the Emission Reduction calculations for the current monitoring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</si>
</sst>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_(* #,##0_);_(* \(#,##0\);_(* &quot;-&quot;_);_(@_)"/>
    <numFmt numFmtId="165" formatCode="_(* #,##0.00_);_(* \(#,##0.00\);_(* &quot;-&quot;??_);_(@_)"/>
    <numFmt numFmtId="166" formatCode="_(* #,##0.00_);_(* \(#,##0.00\);_(* &quot;-&quot;_);_(@_)"/>
    <numFmt numFmtId="167" formatCode="[$-409]d\-mmm\-yyyy;@"/>
    <numFmt numFmtId="168" formatCode="_ * #,##0.0000_ ;_ * \-#,##0.0000_ ;_ * &quot;-&quot;??_ ;_ @_ "/>
    <numFmt numFmtId="169" formatCode="dd\/mm\/yyyy"/>
    <numFmt numFmtId="170" formatCode="dd/mmm/yyyy"/>
    <numFmt numFmtId="171" formatCode="[$-409]d/mmm/yy;@"/>
    <numFmt numFmtId="172" formatCode="_ * #,##0_ ;_ * \-#,##0_ ;_ * &quot;-&quot;??_ ;_ @_ "/>
    <numFmt numFmtId="173" formatCode="#,##0.0000"/>
  </numFmts>
  <fonts count="25" x14ac:knownFonts="1">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1"/>
      <color theme="1"/>
      <name val="Calibri"/>
      <family val="2"/>
      <scheme val="minor"/>
    </font>
    <font>
      <b/>
      <sz val="9"/>
      <color rgb="FF000000"/>
      <name val="Arial"/>
      <family val="2"/>
    </font>
    <font>
      <sz val="9"/>
      <color theme="1"/>
      <name val="Arial"/>
      <family val="2"/>
    </font>
    <font>
      <sz val="9"/>
      <color rgb="FF000000"/>
      <name val="Arial"/>
      <family val="2"/>
    </font>
    <font>
      <b/>
      <sz val="9"/>
      <name val="Arial"/>
      <family val="2"/>
    </font>
    <font>
      <b/>
      <sz val="9"/>
      <color theme="1"/>
      <name val="Arial"/>
      <family val="2"/>
    </font>
    <font>
      <b/>
      <vertAlign val="subscript"/>
      <sz val="9"/>
      <color theme="1"/>
      <name val="Arial"/>
      <family val="2"/>
    </font>
    <font>
      <sz val="9"/>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9CC2E5"/>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4"/>
      </left>
      <right style="thin">
        <color theme="4"/>
      </right>
      <top style="thin">
        <color theme="4"/>
      </top>
      <bottom style="thin">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4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20" borderId="1" applyNumberFormat="0" applyAlignment="0" applyProtection="0"/>
    <xf numFmtId="0" fontId="5" fillId="0" borderId="2" applyNumberFormat="0" applyFill="0" applyAlignment="0" applyProtection="0"/>
    <xf numFmtId="0" fontId="6" fillId="21" borderId="3" applyNumberFormat="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7" fillId="22" borderId="0" applyNumberFormat="0" applyBorder="0" applyAlignment="0" applyProtection="0"/>
    <xf numFmtId="0" fontId="1" fillId="23" borderId="7" applyNumberFormat="0" applyFont="0" applyAlignment="0" applyProtection="0"/>
    <xf numFmtId="9" fontId="17"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3" borderId="0" applyNumberFormat="0" applyBorder="0" applyAlignment="0" applyProtection="0"/>
    <xf numFmtId="0" fontId="16" fillId="4" borderId="0" applyNumberFormat="0" applyBorder="0" applyAlignment="0" applyProtection="0"/>
    <xf numFmtId="0" fontId="1" fillId="0" borderId="0"/>
    <xf numFmtId="0" fontId="1" fillId="0" borderId="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cellStyleXfs>
  <cellXfs count="140">
    <xf numFmtId="0" fontId="0" fillId="0" borderId="0" xfId="0"/>
    <xf numFmtId="0" fontId="20" fillId="0" borderId="44" xfId="0" applyFont="1" applyBorder="1" applyAlignment="1">
      <alignment horizontal="center" vertical="center" wrapText="1"/>
    </xf>
    <xf numFmtId="0" fontId="20" fillId="0" borderId="26" xfId="0" applyFont="1" applyBorder="1" applyAlignment="1">
      <alignment horizontal="center" vertical="center" wrapText="1"/>
    </xf>
    <xf numFmtId="14" fontId="20" fillId="0" borderId="9" xfId="0" applyNumberFormat="1" applyFont="1" applyBorder="1" applyAlignment="1">
      <alignment horizontal="center" vertical="center" wrapText="1"/>
    </xf>
    <xf numFmtId="14" fontId="19" fillId="0" borderId="9" xfId="0" applyNumberFormat="1" applyFont="1" applyBorder="1" applyAlignment="1">
      <alignment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center"/>
    </xf>
    <xf numFmtId="0" fontId="18" fillId="27" borderId="43" xfId="0" applyFont="1" applyFill="1" applyBorder="1" applyAlignment="1">
      <alignment horizontal="center" vertical="center" wrapText="1"/>
    </xf>
    <xf numFmtId="0" fontId="18" fillId="27" borderId="44" xfId="0" applyFont="1" applyFill="1" applyBorder="1" applyAlignment="1">
      <alignment horizontal="center" vertical="center" wrapText="1"/>
    </xf>
    <xf numFmtId="0" fontId="18" fillId="27" borderId="12" xfId="0" applyFont="1" applyFill="1" applyBorder="1" applyAlignment="1">
      <alignment horizontal="center" vertical="center" wrapText="1"/>
    </xf>
    <xf numFmtId="0" fontId="18" fillId="27" borderId="45" xfId="0" applyFont="1" applyFill="1" applyBorder="1" applyAlignment="1">
      <alignment horizontal="center" vertical="center" wrapText="1"/>
    </xf>
    <xf numFmtId="0" fontId="18" fillId="27" borderId="9" xfId="0" applyFont="1" applyFill="1" applyBorder="1" applyAlignment="1">
      <alignment horizontal="center" vertical="center" wrapText="1"/>
    </xf>
    <xf numFmtId="0" fontId="21" fillId="0" borderId="20" xfId="42" applyFont="1" applyBorder="1" applyAlignment="1" applyProtection="1">
      <alignment horizontal="center" wrapText="1"/>
      <protection locked="0"/>
    </xf>
    <xf numFmtId="0" fontId="21" fillId="0" borderId="13" xfId="42" applyFont="1" applyBorder="1" applyAlignment="1" applyProtection="1">
      <alignment horizontal="center" wrapText="1"/>
      <protection locked="0"/>
    </xf>
    <xf numFmtId="0" fontId="21" fillId="0" borderId="14" xfId="42" applyFont="1" applyBorder="1" applyAlignment="1" applyProtection="1">
      <alignment horizontal="center" wrapText="1"/>
      <protection locked="0"/>
    </xf>
    <xf numFmtId="0" fontId="21" fillId="0" borderId="0" xfId="42" applyFont="1" applyAlignment="1" applyProtection="1">
      <alignment wrapText="1"/>
      <protection locked="0"/>
    </xf>
    <xf numFmtId="0" fontId="19" fillId="0" borderId="0" xfId="0" applyFont="1"/>
    <xf numFmtId="0" fontId="21" fillId="0" borderId="21" xfId="42" applyFont="1" applyBorder="1" applyAlignment="1" applyProtection="1">
      <alignment horizontal="center" wrapText="1"/>
      <protection locked="0"/>
    </xf>
    <xf numFmtId="0" fontId="21" fillId="0" borderId="22" xfId="42" applyFont="1" applyBorder="1" applyAlignment="1" applyProtection="1">
      <alignment horizontal="center" wrapText="1"/>
      <protection locked="0"/>
    </xf>
    <xf numFmtId="0" fontId="21" fillId="0" borderId="23" xfId="42" applyFont="1" applyBorder="1" applyAlignment="1" applyProtection="1">
      <alignment horizontal="center" wrapText="1"/>
      <protection locked="0"/>
    </xf>
    <xf numFmtId="0" fontId="22" fillId="24" borderId="20" xfId="0" applyFont="1" applyFill="1" applyBorder="1" applyAlignment="1">
      <alignment horizontal="center" vertical="center" wrapText="1"/>
    </xf>
    <xf numFmtId="0" fontId="22" fillId="24" borderId="13" xfId="0" applyFont="1" applyFill="1" applyBorder="1" applyAlignment="1">
      <alignment horizontal="center" vertical="center" wrapText="1"/>
    </xf>
    <xf numFmtId="0" fontId="22" fillId="24" borderId="13" xfId="0" applyFont="1" applyFill="1" applyBorder="1" applyAlignment="1">
      <alignment horizontal="center" vertical="center" wrapText="1"/>
    </xf>
    <xf numFmtId="0" fontId="19" fillId="0" borderId="0" xfId="0" applyFont="1" applyAlignment="1">
      <alignment horizontal="center"/>
    </xf>
    <xf numFmtId="0" fontId="22" fillId="24" borderId="16" xfId="0" applyFont="1" applyFill="1" applyBorder="1" applyAlignment="1">
      <alignment horizontal="center" vertical="center" wrapText="1"/>
    </xf>
    <xf numFmtId="0" fontId="22" fillId="24" borderId="9" xfId="0" applyFont="1" applyFill="1" applyBorder="1" applyAlignment="1">
      <alignment horizontal="center" vertical="center" wrapText="1"/>
    </xf>
    <xf numFmtId="0" fontId="22" fillId="24" borderId="9" xfId="0" applyFont="1" applyFill="1" applyBorder="1" applyAlignment="1">
      <alignment horizontal="center" vertical="center" wrapText="1"/>
    </xf>
    <xf numFmtId="0" fontId="22" fillId="24" borderId="16" xfId="0" applyFont="1" applyFill="1" applyBorder="1" applyAlignment="1">
      <alignment horizontal="center" vertical="center" wrapText="1"/>
    </xf>
    <xf numFmtId="167" fontId="19" fillId="0" borderId="9" xfId="0" applyNumberFormat="1" applyFont="1" applyBorder="1" applyAlignment="1">
      <alignment horizontal="right" vertical="center"/>
    </xf>
    <xf numFmtId="170" fontId="19" fillId="0" borderId="9" xfId="0" applyNumberFormat="1" applyFont="1" applyBorder="1" applyAlignment="1">
      <alignment horizontal="center"/>
    </xf>
    <xf numFmtId="4" fontId="19" fillId="0" borderId="9" xfId="0" applyNumberFormat="1" applyFont="1" applyBorder="1" applyAlignment="1">
      <alignment horizontal="center"/>
    </xf>
    <xf numFmtId="171" fontId="21" fillId="0" borderId="17" xfId="42" applyNumberFormat="1" applyFont="1" applyBorder="1" applyAlignment="1" applyProtection="1">
      <alignment horizontal="center" vertical="center" wrapText="1"/>
      <protection locked="0"/>
    </xf>
    <xf numFmtId="171" fontId="21" fillId="0" borderId="18" xfId="42" applyNumberFormat="1" applyFont="1" applyBorder="1" applyAlignment="1" applyProtection="1">
      <alignment horizontal="center" vertical="center" wrapText="1"/>
      <protection locked="0"/>
    </xf>
    <xf numFmtId="4" fontId="22" fillId="0" borderId="18" xfId="0" applyNumberFormat="1" applyFont="1" applyBorder="1" applyAlignment="1">
      <alignment horizontal="center" vertical="center" wrapText="1"/>
    </xf>
    <xf numFmtId="0" fontId="22" fillId="24" borderId="14" xfId="0" applyFont="1" applyFill="1" applyBorder="1" applyAlignment="1">
      <alignment horizontal="center" vertical="center" wrapText="1"/>
    </xf>
    <xf numFmtId="0" fontId="22" fillId="24" borderId="15" xfId="0" applyFont="1" applyFill="1" applyBorder="1" applyAlignment="1">
      <alignment horizontal="center" vertical="center" wrapText="1"/>
    </xf>
    <xf numFmtId="0" fontId="22" fillId="24" borderId="21" xfId="0" applyFont="1" applyFill="1" applyBorder="1" applyAlignment="1">
      <alignment horizontal="center" vertical="center" wrapText="1"/>
    </xf>
    <xf numFmtId="0" fontId="22" fillId="24" borderId="22" xfId="0" applyFont="1" applyFill="1" applyBorder="1" applyAlignment="1">
      <alignment horizontal="center" vertical="center" wrapText="1"/>
    </xf>
    <xf numFmtId="0" fontId="22" fillId="24" borderId="22" xfId="0" applyFont="1" applyFill="1" applyBorder="1" applyAlignment="1">
      <alignment horizontal="center" vertical="center" wrapText="1"/>
    </xf>
    <xf numFmtId="0" fontId="22" fillId="24" borderId="23" xfId="0" applyFont="1" applyFill="1" applyBorder="1" applyAlignment="1">
      <alignment horizontal="center" vertical="center" wrapText="1"/>
    </xf>
    <xf numFmtId="0" fontId="19" fillId="0" borderId="24" xfId="0" applyFont="1" applyBorder="1" applyAlignment="1">
      <alignment horizontal="center"/>
    </xf>
    <xf numFmtId="170" fontId="19" fillId="0" borderId="11" xfId="0" applyNumberFormat="1" applyFont="1" applyBorder="1" applyAlignment="1">
      <alignment horizontal="center" vertical="center"/>
    </xf>
    <xf numFmtId="4" fontId="19" fillId="0" borderId="11" xfId="0" applyNumberFormat="1" applyFont="1" applyBorder="1" applyAlignment="1">
      <alignment horizontal="center" vertical="center" wrapText="1"/>
    </xf>
    <xf numFmtId="4" fontId="19" fillId="0" borderId="9" xfId="0" applyNumberFormat="1" applyFont="1" applyBorder="1" applyAlignment="1">
      <alignment horizontal="center" vertical="center" wrapText="1"/>
    </xf>
    <xf numFmtId="173" fontId="19" fillId="0" borderId="9" xfId="0" applyNumberFormat="1" applyFont="1" applyBorder="1" applyAlignment="1">
      <alignment horizontal="center" vertical="center" wrapText="1"/>
    </xf>
    <xf numFmtId="172" fontId="19" fillId="0" borderId="11" xfId="43" applyNumberFormat="1" applyFont="1" applyBorder="1" applyAlignment="1">
      <alignment horizontal="left" vertical="center" wrapText="1" indent="1"/>
    </xf>
    <xf numFmtId="172" fontId="19" fillId="0" borderId="11" xfId="0" applyNumberFormat="1" applyFont="1" applyBorder="1" applyAlignment="1">
      <alignment horizontal="left" vertical="center" wrapText="1" indent="1"/>
    </xf>
    <xf numFmtId="172" fontId="19" fillId="0" borderId="25" xfId="0" applyNumberFormat="1" applyFont="1" applyBorder="1" applyAlignment="1">
      <alignment horizontal="left" vertical="center" wrapText="1" indent="1"/>
    </xf>
    <xf numFmtId="170" fontId="19" fillId="0" borderId="39" xfId="0" applyNumberFormat="1" applyFont="1" applyBorder="1" applyAlignment="1">
      <alignment horizontal="center" vertical="center"/>
    </xf>
    <xf numFmtId="170" fontId="19" fillId="0" borderId="40" xfId="0" applyNumberFormat="1" applyFont="1" applyBorder="1" applyAlignment="1">
      <alignment horizontal="center" vertical="center"/>
    </xf>
    <xf numFmtId="170" fontId="19" fillId="0" borderId="41" xfId="0" applyNumberFormat="1" applyFont="1" applyBorder="1" applyAlignment="1">
      <alignment horizontal="center" vertical="center"/>
    </xf>
    <xf numFmtId="4" fontId="19" fillId="0" borderId="18" xfId="0" applyNumberFormat="1" applyFont="1" applyBorder="1" applyAlignment="1">
      <alignment horizontal="center" vertical="center" wrapText="1"/>
    </xf>
    <xf numFmtId="172" fontId="19" fillId="0" borderId="18" xfId="43" applyNumberFormat="1" applyFont="1" applyBorder="1" applyAlignment="1">
      <alignment horizontal="left" vertical="center" wrapText="1" indent="1"/>
    </xf>
    <xf numFmtId="172" fontId="19" fillId="0" borderId="18" xfId="0" applyNumberFormat="1" applyFont="1" applyBorder="1" applyAlignment="1">
      <alignment horizontal="left" vertical="center" wrapText="1" indent="1"/>
    </xf>
    <xf numFmtId="172" fontId="19" fillId="0" borderId="19" xfId="0" applyNumberFormat="1" applyFont="1" applyBorder="1" applyAlignment="1">
      <alignment horizontal="left" vertical="center" wrapText="1" indent="1"/>
    </xf>
    <xf numFmtId="170" fontId="19" fillId="0" borderId="0" xfId="0" applyNumberFormat="1" applyFont="1" applyAlignment="1">
      <alignment horizontal="center" vertical="center"/>
    </xf>
    <xf numFmtId="0" fontId="19" fillId="0" borderId="0" xfId="0" applyFont="1" applyAlignment="1">
      <alignment horizontal="center" vertical="center"/>
    </xf>
    <xf numFmtId="4" fontId="19" fillId="0" borderId="0" xfId="0" applyNumberFormat="1" applyFont="1" applyAlignment="1">
      <alignment horizontal="center" vertical="center" wrapText="1"/>
    </xf>
    <xf numFmtId="168" fontId="19" fillId="0" borderId="0" xfId="43" applyNumberFormat="1" applyFont="1" applyFill="1" applyBorder="1" applyAlignment="1">
      <alignment horizontal="center" vertical="center"/>
    </xf>
    <xf numFmtId="3" fontId="19" fillId="0" borderId="0" xfId="0" applyNumberFormat="1" applyFont="1" applyAlignment="1">
      <alignment horizontal="center" vertical="center" wrapText="1"/>
    </xf>
    <xf numFmtId="0" fontId="22" fillId="24" borderId="13" xfId="0" applyFont="1" applyFill="1" applyBorder="1" applyAlignment="1">
      <alignment vertical="center" wrapText="1"/>
    </xf>
    <xf numFmtId="0" fontId="22" fillId="24" borderId="14" xfId="0" applyFont="1" applyFill="1" applyBorder="1" applyAlignment="1">
      <alignment horizontal="center" vertical="center" wrapText="1"/>
    </xf>
    <xf numFmtId="4" fontId="19" fillId="0" borderId="0" xfId="0" applyNumberFormat="1" applyFont="1"/>
    <xf numFmtId="170" fontId="19" fillId="0" borderId="21" xfId="0" applyNumberFormat="1" applyFont="1" applyBorder="1" applyAlignment="1">
      <alignment horizontal="center" vertical="center"/>
    </xf>
    <xf numFmtId="169" fontId="19" fillId="0" borderId="22" xfId="0" applyNumberFormat="1" applyFont="1" applyBorder="1" applyAlignment="1">
      <alignment vertical="center"/>
    </xf>
    <xf numFmtId="3" fontId="19" fillId="0" borderId="22" xfId="0" applyNumberFormat="1" applyFont="1" applyBorder="1" applyAlignment="1">
      <alignment horizontal="center" vertical="center"/>
    </xf>
    <xf numFmtId="4" fontId="19" fillId="0" borderId="22" xfId="0" applyNumberFormat="1" applyFont="1" applyBorder="1" applyAlignment="1">
      <alignment horizontal="center" vertical="center" wrapText="1"/>
    </xf>
    <xf numFmtId="10" fontId="19" fillId="0" borderId="22" xfId="30" applyNumberFormat="1" applyFont="1" applyBorder="1" applyAlignment="1">
      <alignment horizontal="center" vertical="center" wrapText="1"/>
    </xf>
    <xf numFmtId="10" fontId="19" fillId="0" borderId="23" xfId="30" applyNumberFormat="1" applyFont="1" applyBorder="1" applyAlignment="1">
      <alignment horizontal="center" vertical="center" wrapText="1"/>
    </xf>
    <xf numFmtId="3" fontId="19" fillId="0" borderId="0" xfId="0" applyNumberFormat="1" applyFont="1"/>
    <xf numFmtId="0" fontId="22" fillId="0" borderId="9" xfId="0" applyFont="1" applyBorder="1" applyAlignment="1">
      <alignment horizontal="center" vertical="center"/>
    </xf>
    <xf numFmtId="3" fontId="22" fillId="0" borderId="9" xfId="0" applyNumberFormat="1" applyFont="1" applyBorder="1" applyAlignment="1">
      <alignment horizontal="center" vertical="center"/>
    </xf>
    <xf numFmtId="10" fontId="22" fillId="0" borderId="9" xfId="30" applyNumberFormat="1" applyFont="1" applyBorder="1" applyAlignment="1">
      <alignment horizontal="center" vertical="center" wrapText="1"/>
    </xf>
    <xf numFmtId="172" fontId="19" fillId="0" borderId="0" xfId="43" applyNumberFormat="1" applyFont="1"/>
    <xf numFmtId="10" fontId="19" fillId="0" borderId="0" xfId="0" applyNumberFormat="1" applyFont="1"/>
    <xf numFmtId="0" fontId="21" fillId="25" borderId="0" xfId="42" applyFont="1" applyFill="1" applyAlignment="1" applyProtection="1">
      <alignment horizontal="center" wrapText="1"/>
      <protection locked="0"/>
    </xf>
    <xf numFmtId="0" fontId="19" fillId="0" borderId="0" xfId="0" applyFont="1" applyAlignment="1">
      <alignment horizontal="left" vertical="top" wrapText="1"/>
    </xf>
    <xf numFmtId="0" fontId="22" fillId="24" borderId="12" xfId="0" applyFont="1" applyFill="1" applyBorder="1" applyAlignment="1">
      <alignment horizontal="center" vertical="center"/>
    </xf>
    <xf numFmtId="0" fontId="22" fillId="24" borderId="27" xfId="0" applyFont="1" applyFill="1" applyBorder="1" applyAlignment="1">
      <alignment horizontal="center" vertical="center"/>
    </xf>
    <xf numFmtId="0" fontId="22" fillId="24" borderId="28" xfId="0" applyFont="1" applyFill="1" applyBorder="1" applyAlignment="1">
      <alignment horizontal="center" vertical="center"/>
    </xf>
    <xf numFmtId="0" fontId="22" fillId="24" borderId="29" xfId="0" applyFont="1" applyFill="1" applyBorder="1" applyAlignment="1">
      <alignment horizontal="center" vertical="center"/>
    </xf>
    <xf numFmtId="0" fontId="22" fillId="24" borderId="30" xfId="0" applyFont="1" applyFill="1" applyBorder="1" applyAlignment="1">
      <alignment horizontal="center" vertical="center"/>
    </xf>
    <xf numFmtId="0" fontId="22" fillId="24" borderId="9" xfId="0" applyFont="1" applyFill="1" applyBorder="1" applyAlignment="1">
      <alignment horizontal="center" vertical="center"/>
    </xf>
    <xf numFmtId="0" fontId="22" fillId="0" borderId="0" xfId="0" applyFont="1" applyAlignment="1">
      <alignment horizontal="center" vertical="center"/>
    </xf>
    <xf numFmtId="0" fontId="22" fillId="24" borderId="31" xfId="0" applyFont="1" applyFill="1" applyBorder="1" applyAlignment="1">
      <alignment horizontal="center" vertical="center"/>
    </xf>
    <xf numFmtId="0" fontId="22" fillId="24" borderId="37" xfId="0" applyFont="1" applyFill="1" applyBorder="1" applyAlignment="1">
      <alignment horizontal="center" vertical="center"/>
    </xf>
    <xf numFmtId="0" fontId="21" fillId="24" borderId="33" xfId="0" applyFont="1" applyFill="1" applyBorder="1" applyAlignment="1">
      <alignment horizontal="center" vertical="center"/>
    </xf>
    <xf numFmtId="0" fontId="21" fillId="24" borderId="10" xfId="0" applyFont="1" applyFill="1" applyBorder="1" applyAlignment="1">
      <alignment horizontal="center" vertical="center"/>
    </xf>
    <xf numFmtId="0" fontId="21" fillId="24" borderId="36" xfId="0" applyFont="1" applyFill="1" applyBorder="1" applyAlignment="1">
      <alignment horizontal="center" vertical="center"/>
    </xf>
    <xf numFmtId="0" fontId="21" fillId="24" borderId="9" xfId="0" applyFont="1" applyFill="1" applyBorder="1" applyAlignment="1">
      <alignment horizontal="center" vertical="center"/>
    </xf>
    <xf numFmtId="0" fontId="19" fillId="0" borderId="0" xfId="0" applyFont="1" applyAlignment="1">
      <alignment horizontal="left" vertical="center"/>
    </xf>
    <xf numFmtId="0" fontId="22" fillId="24" borderId="33" xfId="0" applyFont="1" applyFill="1" applyBorder="1" applyAlignment="1">
      <alignment horizontal="center" vertical="center"/>
    </xf>
    <xf numFmtId="0" fontId="22" fillId="24" borderId="10" xfId="0" applyFont="1" applyFill="1" applyBorder="1" applyAlignment="1">
      <alignment horizontal="center" vertical="center"/>
    </xf>
    <xf numFmtId="0" fontId="22" fillId="24" borderId="36" xfId="0" applyFont="1" applyFill="1" applyBorder="1" applyAlignment="1">
      <alignment horizontal="center" vertical="center"/>
    </xf>
    <xf numFmtId="0" fontId="19" fillId="0" borderId="26" xfId="0" applyFont="1" applyBorder="1" applyAlignment="1">
      <alignment horizontal="center" vertical="top" wrapText="1"/>
    </xf>
    <xf numFmtId="0" fontId="19" fillId="0" borderId="0" xfId="0" applyFont="1" applyAlignment="1">
      <alignment horizontal="center" vertical="top" wrapText="1"/>
    </xf>
    <xf numFmtId="0" fontId="19" fillId="0" borderId="0" xfId="0" applyFont="1" applyAlignment="1">
      <alignment horizontal="left" vertical="center" wrapText="1"/>
    </xf>
    <xf numFmtId="0" fontId="22" fillId="24" borderId="32" xfId="0" applyFont="1" applyFill="1" applyBorder="1" applyAlignment="1">
      <alignment horizontal="center" vertical="center"/>
    </xf>
    <xf numFmtId="0" fontId="22" fillId="24" borderId="38" xfId="0" applyFont="1" applyFill="1" applyBorder="1" applyAlignment="1">
      <alignment horizontal="center" vertical="center"/>
    </xf>
    <xf numFmtId="0" fontId="19" fillId="0" borderId="0" xfId="0" applyFont="1" applyAlignment="1">
      <alignment horizontal="center" vertical="center" wrapText="1"/>
    </xf>
    <xf numFmtId="0" fontId="22" fillId="24" borderId="20" xfId="0" applyFont="1" applyFill="1" applyBorder="1" applyAlignment="1">
      <alignment horizontal="center" vertical="center" wrapText="1"/>
    </xf>
    <xf numFmtId="0" fontId="22" fillId="24" borderId="16" xfId="0" applyFont="1" applyFill="1" applyBorder="1" applyAlignment="1">
      <alignment horizontal="center" vertical="center"/>
    </xf>
    <xf numFmtId="0" fontId="22" fillId="24" borderId="15" xfId="0" applyFont="1" applyFill="1" applyBorder="1" applyAlignment="1">
      <alignment horizontal="center" vertical="center"/>
    </xf>
    <xf numFmtId="0" fontId="22" fillId="24" borderId="9" xfId="0" applyFont="1" applyFill="1" applyBorder="1" applyAlignment="1">
      <alignment horizontal="center" vertical="center"/>
    </xf>
    <xf numFmtId="1" fontId="19" fillId="0" borderId="42" xfId="0" applyNumberFormat="1" applyFont="1" applyBorder="1"/>
    <xf numFmtId="164" fontId="19" fillId="0" borderId="15" xfId="0" applyNumberFormat="1" applyFont="1" applyBorder="1" applyAlignment="1">
      <alignment horizontal="center" vertical="center"/>
    </xf>
    <xf numFmtId="165" fontId="19" fillId="0" borderId="0" xfId="0" applyNumberFormat="1" applyFont="1" applyAlignment="1">
      <alignment horizontal="center" vertical="center"/>
    </xf>
    <xf numFmtId="164" fontId="19" fillId="0" borderId="0" xfId="0" applyNumberFormat="1" applyFont="1" applyAlignment="1">
      <alignment horizontal="center" vertical="center"/>
    </xf>
    <xf numFmtId="3" fontId="19" fillId="0" borderId="9" xfId="0" applyNumberFormat="1" applyFont="1" applyBorder="1" applyAlignment="1">
      <alignment horizontal="right"/>
    </xf>
    <xf numFmtId="3" fontId="19" fillId="0" borderId="9" xfId="0" applyNumberFormat="1" applyFont="1" applyBorder="1" applyAlignment="1">
      <alignment horizontal="right" vertical="center"/>
    </xf>
    <xf numFmtId="43" fontId="19" fillId="0" borderId="0" xfId="0" applyNumberFormat="1" applyFont="1" applyAlignment="1">
      <alignment horizontal="center" vertical="center"/>
    </xf>
    <xf numFmtId="43" fontId="19" fillId="0" borderId="16" xfId="0" applyNumberFormat="1" applyFont="1" applyBorder="1" applyAlignment="1">
      <alignment horizontal="left" vertical="top" wrapText="1"/>
    </xf>
    <xf numFmtId="43" fontId="19" fillId="0" borderId="9" xfId="0" applyNumberFormat="1" applyFont="1" applyBorder="1" applyAlignment="1">
      <alignment horizontal="left" vertical="top" wrapText="1"/>
    </xf>
    <xf numFmtId="43" fontId="19" fillId="0" borderId="0" xfId="0" applyNumberFormat="1" applyFont="1" applyAlignment="1">
      <alignment horizontal="left" vertical="top" wrapText="1"/>
    </xf>
    <xf numFmtId="1" fontId="24" fillId="0" borderId="42" xfId="0" applyNumberFormat="1" applyFont="1" applyBorder="1"/>
    <xf numFmtId="164" fontId="24" fillId="0" borderId="15" xfId="0" applyNumberFormat="1" applyFont="1" applyBorder="1" applyAlignment="1">
      <alignment horizontal="center" vertical="center"/>
    </xf>
    <xf numFmtId="165" fontId="24" fillId="0" borderId="0" xfId="0" applyNumberFormat="1" applyFont="1" applyAlignment="1">
      <alignment horizontal="center" vertical="center"/>
    </xf>
    <xf numFmtId="164" fontId="24" fillId="0" borderId="0" xfId="0" applyNumberFormat="1" applyFont="1" applyAlignment="1">
      <alignment horizontal="center" vertical="center"/>
    </xf>
    <xf numFmtId="0" fontId="24" fillId="0" borderId="0" xfId="0" applyFont="1" applyAlignment="1">
      <alignment horizontal="center" vertical="center"/>
    </xf>
    <xf numFmtId="3" fontId="24" fillId="0" borderId="9" xfId="0" applyNumberFormat="1" applyFont="1" applyBorder="1" applyAlignment="1">
      <alignment horizontal="right" vertical="center"/>
    </xf>
    <xf numFmtId="0" fontId="22" fillId="26" borderId="34" xfId="0" applyFont="1" applyFill="1" applyBorder="1" applyAlignment="1">
      <alignment horizontal="center" vertical="center"/>
    </xf>
    <xf numFmtId="0" fontId="22" fillId="26" borderId="35" xfId="0" applyFont="1" applyFill="1" applyBorder="1" applyAlignment="1">
      <alignment horizontal="center" vertical="center"/>
    </xf>
    <xf numFmtId="164" fontId="22" fillId="26" borderId="21" xfId="0" applyNumberFormat="1" applyFont="1" applyFill="1" applyBorder="1" applyAlignment="1">
      <alignment horizontal="left" vertical="center"/>
    </xf>
    <xf numFmtId="164" fontId="22" fillId="26" borderId="22" xfId="0" applyNumberFormat="1" applyFont="1" applyFill="1" applyBorder="1" applyAlignment="1">
      <alignment horizontal="left" vertical="center"/>
    </xf>
    <xf numFmtId="164" fontId="22" fillId="26" borderId="23" xfId="0" applyNumberFormat="1" applyFont="1" applyFill="1" applyBorder="1" applyAlignment="1">
      <alignment horizontal="left" vertical="center"/>
    </xf>
    <xf numFmtId="164" fontId="22" fillId="26" borderId="21" xfId="0" applyNumberFormat="1" applyFont="1" applyFill="1" applyBorder="1" applyAlignment="1">
      <alignment horizontal="center" vertical="center"/>
    </xf>
    <xf numFmtId="164" fontId="22" fillId="26" borderId="22" xfId="0" applyNumberFormat="1" applyFont="1" applyFill="1" applyBorder="1" applyAlignment="1">
      <alignment horizontal="center" vertical="center"/>
    </xf>
    <xf numFmtId="164" fontId="22" fillId="26" borderId="23" xfId="0" applyNumberFormat="1" applyFont="1" applyFill="1" applyBorder="1" applyAlignment="1">
      <alignment horizontal="center" vertical="center"/>
    </xf>
    <xf numFmtId="3" fontId="22" fillId="26" borderId="9" xfId="0" applyNumberFormat="1" applyFont="1" applyFill="1" applyBorder="1" applyAlignment="1">
      <alignment horizontal="right" vertical="center"/>
    </xf>
    <xf numFmtId="43" fontId="22" fillId="0" borderId="0" xfId="0" applyNumberFormat="1" applyFont="1" applyAlignment="1">
      <alignment horizontal="center" vertical="center"/>
    </xf>
    <xf numFmtId="166" fontId="22" fillId="26" borderId="21" xfId="0" applyNumberFormat="1" applyFont="1" applyFill="1" applyBorder="1" applyAlignment="1">
      <alignment horizontal="center" vertical="center"/>
    </xf>
    <xf numFmtId="166" fontId="22" fillId="26" borderId="22" xfId="0" applyNumberFormat="1" applyFont="1" applyFill="1" applyBorder="1" applyAlignment="1">
      <alignment horizontal="center" vertical="center"/>
    </xf>
    <xf numFmtId="166" fontId="22" fillId="26" borderId="9" xfId="0" applyNumberFormat="1" applyFont="1" applyFill="1" applyBorder="1" applyAlignment="1">
      <alignment horizontal="center" vertical="center"/>
    </xf>
    <xf numFmtId="10" fontId="19" fillId="0" borderId="0" xfId="30" applyNumberFormat="1" applyFont="1" applyFill="1" applyBorder="1" applyAlignment="1">
      <alignment horizontal="center" vertical="center"/>
    </xf>
    <xf numFmtId="0" fontId="19" fillId="0" borderId="0" xfId="0" applyFont="1" applyAlignment="1">
      <alignment horizontal="left" vertical="top"/>
    </xf>
    <xf numFmtId="0" fontId="22" fillId="0" borderId="0" xfId="0" applyFont="1" applyAlignment="1">
      <alignment horizontal="left" vertical="center"/>
    </xf>
    <xf numFmtId="166" fontId="19" fillId="0" borderId="0" xfId="0" applyNumberFormat="1" applyFont="1" applyAlignment="1">
      <alignment horizontal="center" vertical="center"/>
    </xf>
    <xf numFmtId="0" fontId="22" fillId="0" borderId="9" xfId="0" applyFont="1" applyBorder="1"/>
    <xf numFmtId="10" fontId="22" fillId="0" borderId="9" xfId="0" applyNumberFormat="1" applyFont="1" applyBorder="1"/>
    <xf numFmtId="0" fontId="19" fillId="0" borderId="9" xfId="0" applyFont="1" applyBorder="1" applyAlignment="1">
      <alignment horizontal="left" vertical="center" wrapText="1"/>
    </xf>
  </cellXfs>
  <cellStyles count="47">
    <cellStyle name="20% - Colore 1" xfId="1" xr:uid="{00000000-0005-0000-0000-000000000000}"/>
    <cellStyle name="20% - Colore 2" xfId="2" xr:uid="{00000000-0005-0000-0000-000001000000}"/>
    <cellStyle name="20% - Colore 3" xfId="3" xr:uid="{00000000-0005-0000-0000-000002000000}"/>
    <cellStyle name="20% - Colore 4" xfId="4" xr:uid="{00000000-0005-0000-0000-000003000000}"/>
    <cellStyle name="20% - Colore 5" xfId="5" xr:uid="{00000000-0005-0000-0000-000004000000}"/>
    <cellStyle name="20% - Colore 6" xfId="6" xr:uid="{00000000-0005-0000-0000-000005000000}"/>
    <cellStyle name="40% - Colore 1" xfId="7" xr:uid="{00000000-0005-0000-0000-000006000000}"/>
    <cellStyle name="40% - Colore 2" xfId="8" xr:uid="{00000000-0005-0000-0000-000007000000}"/>
    <cellStyle name="40% - Colore 3" xfId="9" xr:uid="{00000000-0005-0000-0000-000008000000}"/>
    <cellStyle name="40% - Colore 4" xfId="10" xr:uid="{00000000-0005-0000-0000-000009000000}"/>
    <cellStyle name="40% - Colore 5" xfId="11" xr:uid="{00000000-0005-0000-0000-00000A000000}"/>
    <cellStyle name="40% - Colore 6" xfId="12" xr:uid="{00000000-0005-0000-0000-00000B000000}"/>
    <cellStyle name="60% - Colore 1" xfId="13" xr:uid="{00000000-0005-0000-0000-00000C000000}"/>
    <cellStyle name="60% - Colore 2" xfId="14" xr:uid="{00000000-0005-0000-0000-00000D000000}"/>
    <cellStyle name="60% - Colore 3" xfId="15" xr:uid="{00000000-0005-0000-0000-00000E000000}"/>
    <cellStyle name="60% - Colore 4" xfId="16" xr:uid="{00000000-0005-0000-0000-00000F000000}"/>
    <cellStyle name="60% - Colore 5" xfId="17" xr:uid="{00000000-0005-0000-0000-000010000000}"/>
    <cellStyle name="60% - Colore 6" xfId="18" xr:uid="{00000000-0005-0000-0000-000011000000}"/>
    <cellStyle name="Calcolo" xfId="19" xr:uid="{00000000-0005-0000-0000-000012000000}"/>
    <cellStyle name="Cella collegata" xfId="20" xr:uid="{00000000-0005-0000-0000-000013000000}"/>
    <cellStyle name="Cella da controllare" xfId="21" xr:uid="{00000000-0005-0000-0000-000014000000}"/>
    <cellStyle name="Colore 1" xfId="22" xr:uid="{00000000-0005-0000-0000-000015000000}"/>
    <cellStyle name="Colore 2" xfId="23" xr:uid="{00000000-0005-0000-0000-000016000000}"/>
    <cellStyle name="Colore 3" xfId="24" xr:uid="{00000000-0005-0000-0000-000017000000}"/>
    <cellStyle name="Colore 4" xfId="25" xr:uid="{00000000-0005-0000-0000-000018000000}"/>
    <cellStyle name="Colore 5" xfId="26" xr:uid="{00000000-0005-0000-0000-000019000000}"/>
    <cellStyle name="Colore 6" xfId="27" xr:uid="{00000000-0005-0000-0000-00001A000000}"/>
    <cellStyle name="Comma" xfId="43" builtinId="3"/>
    <cellStyle name="Comma 2" xfId="46" xr:uid="{00000000-0005-0000-0000-00001C000000}"/>
    <cellStyle name="Comma 3" xfId="44" xr:uid="{00000000-0005-0000-0000-00001D000000}"/>
    <cellStyle name="Neutrale" xfId="28" xr:uid="{00000000-0005-0000-0000-00001E000000}"/>
    <cellStyle name="Norm੎੎" xfId="41" xr:uid="{00000000-0005-0000-0000-00001F000000}"/>
    <cellStyle name="Normal" xfId="0" builtinId="0"/>
    <cellStyle name="Normal 2" xfId="45" xr:uid="{00000000-0005-0000-0000-000021000000}"/>
    <cellStyle name="Normal_Hindustan Platinum_Worksheet_30.10.08" xfId="42" xr:uid="{00000000-0005-0000-0000-000022000000}"/>
    <cellStyle name="Nota" xfId="29" xr:uid="{00000000-0005-0000-0000-000023000000}"/>
    <cellStyle name="Percent" xfId="30" builtinId="5"/>
    <cellStyle name="Testo avviso" xfId="31" xr:uid="{00000000-0005-0000-0000-000025000000}"/>
    <cellStyle name="Testo descrittivo" xfId="32" xr:uid="{00000000-0005-0000-0000-000026000000}"/>
    <cellStyle name="Titolo" xfId="33" xr:uid="{00000000-0005-0000-0000-000027000000}"/>
    <cellStyle name="Titolo 1" xfId="34" xr:uid="{00000000-0005-0000-0000-000028000000}"/>
    <cellStyle name="Titolo 2" xfId="35" xr:uid="{00000000-0005-0000-0000-000029000000}"/>
    <cellStyle name="Titolo 3" xfId="36" xr:uid="{00000000-0005-0000-0000-00002A000000}"/>
    <cellStyle name="Titolo 4" xfId="37" xr:uid="{00000000-0005-0000-0000-00002B000000}"/>
    <cellStyle name="Totale" xfId="38" xr:uid="{00000000-0005-0000-0000-00002C000000}"/>
    <cellStyle name="Valore non valido" xfId="39" xr:uid="{00000000-0005-0000-0000-00002D000000}"/>
    <cellStyle name="Valore valido" xfId="40" xr:uid="{00000000-0005-0000-0000-00002E000000}"/>
  </cellStyles>
  <dxfs count="1">
    <dxf>
      <font>
        <color rgb="FFFF0000"/>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0.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2.168.1.100/home/DOCUME~1/SAUMIT~1/LOCALS~1/Temp/Temporary%20Directory%201%20for%20database_publishing_ver3.zip/Database_2006-07_0712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Log"/>
      <sheetName val="Results"/>
      <sheetName val="Data"/>
      <sheetName val="Units + Abbrev"/>
      <sheetName val="Assumptions"/>
      <sheetName val="Plausibility"/>
      <sheetName val="Transfers"/>
      <sheetName val="BM 0405"/>
      <sheetName val="BM 0506"/>
      <sheetName val="BM 0607"/>
      <sheetName val="Margins 0405"/>
      <sheetName val="Margins 0506"/>
      <sheetName val="Margins 0607"/>
      <sheetName val="Stat 0405"/>
      <sheetName val="Stat 0506"/>
      <sheetName val="Stat 0607"/>
      <sheetName val="Compare"/>
      <sheetName val="Unit_Gen 0405"/>
      <sheetName val="Unit_Gen 0506"/>
      <sheetName val="Unit_Gen 0607"/>
      <sheetName val="CDM"/>
    </sheetNames>
    <sheetDataSet>
      <sheetData sheetId="0"/>
      <sheetData sheetId="1"/>
      <sheetData sheetId="2"/>
      <sheetData sheetId="3"/>
      <sheetData sheetId="4"/>
      <sheetData sheetId="5">
        <row r="17">
          <cell r="D17">
            <v>8</v>
          </cell>
          <cell r="E17">
            <v>10</v>
          </cell>
          <cell r="F17">
            <v>3</v>
          </cell>
          <cell r="G17">
            <v>1</v>
          </cell>
          <cell r="H17">
            <v>3.5</v>
          </cell>
          <cell r="I17">
            <v>3.5</v>
          </cell>
          <cell r="K17">
            <v>3.5</v>
          </cell>
          <cell r="L17">
            <v>0.5</v>
          </cell>
          <cell r="M17">
            <v>10.5</v>
          </cell>
        </row>
        <row r="20">
          <cell r="D20">
            <v>2</v>
          </cell>
        </row>
        <row r="21">
          <cell r="D21">
            <v>3755</v>
          </cell>
          <cell r="F21">
            <v>8800</v>
          </cell>
          <cell r="H21">
            <v>10100</v>
          </cell>
          <cell r="I21">
            <v>10500</v>
          </cell>
          <cell r="K21">
            <v>11300</v>
          </cell>
        </row>
        <row r="22">
          <cell r="H22">
            <v>0.95</v>
          </cell>
          <cell r="I22">
            <v>0.83</v>
          </cell>
          <cell r="K22">
            <v>0.7</v>
          </cell>
        </row>
        <row r="23">
          <cell r="D23">
            <v>1.04</v>
          </cell>
          <cell r="E23">
            <v>1.28</v>
          </cell>
          <cell r="F23">
            <v>0.44</v>
          </cell>
          <cell r="G23">
            <v>0.68</v>
          </cell>
          <cell r="H23">
            <v>0.68</v>
          </cell>
          <cell r="I23">
            <v>0.6</v>
          </cell>
          <cell r="J23">
            <v>0.98</v>
          </cell>
        </row>
        <row r="30">
          <cell r="E30">
            <v>9</v>
          </cell>
          <cell r="F30">
            <v>9</v>
          </cell>
          <cell r="G30">
            <v>7.5</v>
          </cell>
        </row>
        <row r="34">
          <cell r="E34">
            <v>1.05</v>
          </cell>
          <cell r="F34">
            <v>1.05</v>
          </cell>
          <cell r="G34">
            <v>1</v>
          </cell>
        </row>
        <row r="47">
          <cell r="D47">
            <v>0.43</v>
          </cell>
          <cell r="E47">
            <v>0.42</v>
          </cell>
          <cell r="F47">
            <v>0.43</v>
          </cell>
        </row>
        <row r="52">
          <cell r="F52">
            <v>0.64</v>
          </cell>
          <cell r="G52">
            <v>0.6</v>
          </cell>
        </row>
        <row r="58">
          <cell r="D58">
            <v>0.64</v>
          </cell>
        </row>
        <row r="62">
          <cell r="D62">
            <v>0.5</v>
          </cell>
        </row>
        <row r="63">
          <cell r="D63">
            <v>0.5</v>
          </cell>
        </row>
        <row r="66">
          <cell r="D66">
            <v>4.1867999999999999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opLeftCell="D1" zoomScale="109" zoomScaleNormal="120" workbookViewId="0">
      <pane ySplit="2" topLeftCell="A27" activePane="bottomLeft" state="frozen"/>
      <selection pane="bottomLeft" activeCell="I30" sqref="I30"/>
    </sheetView>
  </sheetViews>
  <sheetFormatPr defaultColWidth="9.1796875" defaultRowHeight="11.5" x14ac:dyDescent="0.25"/>
  <cols>
    <col min="1" max="1" width="9.81640625" style="16" customWidth="1"/>
    <col min="2" max="2" width="17.453125" style="16" customWidth="1"/>
    <col min="3" max="3" width="10.453125" style="16" customWidth="1"/>
    <col min="4" max="4" width="12.453125" style="16" customWidth="1"/>
    <col min="5" max="5" width="18.453125" style="16" customWidth="1"/>
    <col min="6" max="6" width="19.453125" style="16" customWidth="1"/>
    <col min="7" max="7" width="24.453125" style="16" customWidth="1"/>
    <col min="8" max="8" width="17.453125" style="16" customWidth="1"/>
    <col min="9" max="10" width="15.453125" style="16" customWidth="1"/>
    <col min="11" max="11" width="11.453125" style="16" customWidth="1"/>
    <col min="12" max="12" width="16" style="16" customWidth="1"/>
    <col min="13" max="16384" width="9.1796875" style="16"/>
  </cols>
  <sheetData>
    <row r="1" spans="2:12" ht="14.5" customHeight="1" x14ac:dyDescent="0.25">
      <c r="B1" s="12" t="s">
        <v>15</v>
      </c>
      <c r="C1" s="13"/>
      <c r="D1" s="13"/>
      <c r="E1" s="13"/>
      <c r="F1" s="13"/>
      <c r="G1" s="13"/>
      <c r="H1" s="13"/>
      <c r="I1" s="13"/>
      <c r="J1" s="13"/>
      <c r="K1" s="14"/>
      <c r="L1" s="15"/>
    </row>
    <row r="2" spans="2:12" ht="14.5" customHeight="1" thickBot="1" x14ac:dyDescent="0.3">
      <c r="B2" s="17" t="s">
        <v>46</v>
      </c>
      <c r="C2" s="18"/>
      <c r="D2" s="18"/>
      <c r="E2" s="18"/>
      <c r="F2" s="18"/>
      <c r="G2" s="18"/>
      <c r="H2" s="18"/>
      <c r="I2" s="18"/>
      <c r="J2" s="18"/>
      <c r="K2" s="19"/>
      <c r="L2" s="15"/>
    </row>
    <row r="3" spans="2:12" ht="34.5" x14ac:dyDescent="0.25">
      <c r="B3" s="20" t="s">
        <v>16</v>
      </c>
      <c r="C3" s="21"/>
      <c r="D3" s="21"/>
      <c r="E3" s="22" t="s">
        <v>36</v>
      </c>
      <c r="F3" s="22" t="s">
        <v>35</v>
      </c>
      <c r="G3" s="22" t="s">
        <v>34</v>
      </c>
      <c r="H3" s="23"/>
    </row>
    <row r="4" spans="2:12" ht="13.5" x14ac:dyDescent="0.25">
      <c r="B4" s="24"/>
      <c r="C4" s="25"/>
      <c r="D4" s="25"/>
      <c r="E4" s="26" t="s">
        <v>60</v>
      </c>
      <c r="F4" s="26" t="s">
        <v>61</v>
      </c>
      <c r="G4" s="26" t="s">
        <v>62</v>
      </c>
      <c r="H4" s="23"/>
    </row>
    <row r="5" spans="2:12" x14ac:dyDescent="0.25">
      <c r="B5" s="27" t="s">
        <v>30</v>
      </c>
      <c r="C5" s="26"/>
      <c r="D5" s="26" t="s">
        <v>31</v>
      </c>
      <c r="E5" s="26" t="s">
        <v>32</v>
      </c>
      <c r="F5" s="26" t="s">
        <v>32</v>
      </c>
      <c r="G5" s="26" t="s">
        <v>32</v>
      </c>
      <c r="H5" s="23"/>
    </row>
    <row r="6" spans="2:12" ht="15" customHeight="1" x14ac:dyDescent="0.25">
      <c r="B6" s="28">
        <v>45292</v>
      </c>
      <c r="C6" s="29" t="s">
        <v>25</v>
      </c>
      <c r="D6" s="28">
        <v>45322</v>
      </c>
      <c r="E6" s="30">
        <f>'Generation Data'!Z12/1000</f>
        <v>3429.9795609400776</v>
      </c>
      <c r="F6" s="30">
        <f>'Generation Data'!AA12/1000</f>
        <v>10.082369999999987</v>
      </c>
      <c r="G6" s="30">
        <f>E6-F6</f>
        <v>3419.8971909400775</v>
      </c>
      <c r="H6" s="23"/>
    </row>
    <row r="7" spans="2:12" ht="15" customHeight="1" x14ac:dyDescent="0.25">
      <c r="B7" s="28">
        <v>45323</v>
      </c>
      <c r="C7" s="29" t="s">
        <v>25</v>
      </c>
      <c r="D7" s="28">
        <v>45351</v>
      </c>
      <c r="E7" s="30">
        <f>'Generation Data'!Z13/1000</f>
        <v>2934.8297316999115</v>
      </c>
      <c r="F7" s="30">
        <f>'Generation Data'!AA13/1000</f>
        <v>7.1487125000000162</v>
      </c>
      <c r="G7" s="30">
        <f t="shared" ref="G7:G16" si="0">E7-F7</f>
        <v>2927.6810191999116</v>
      </c>
      <c r="H7" s="23"/>
    </row>
    <row r="8" spans="2:12" ht="15" customHeight="1" x14ac:dyDescent="0.25">
      <c r="B8" s="28">
        <v>45352</v>
      </c>
      <c r="C8" s="29" t="s">
        <v>25</v>
      </c>
      <c r="D8" s="28">
        <v>45382</v>
      </c>
      <c r="E8" s="30">
        <f>'Generation Data'!Z14/1000</f>
        <v>4762.5438093100656</v>
      </c>
      <c r="F8" s="30">
        <f>'Generation Data'!AA14/1000</f>
        <v>4.0265437600000071</v>
      </c>
      <c r="G8" s="30">
        <f t="shared" si="0"/>
        <v>4758.5172655500655</v>
      </c>
      <c r="H8" s="23"/>
    </row>
    <row r="9" spans="2:12" ht="15" customHeight="1" x14ac:dyDescent="0.25">
      <c r="B9" s="28">
        <v>45383</v>
      </c>
      <c r="C9" s="29" t="s">
        <v>25</v>
      </c>
      <c r="D9" s="28">
        <v>45412</v>
      </c>
      <c r="E9" s="30">
        <f>'Generation Data'!Z15/1000</f>
        <v>5515.8870014999738</v>
      </c>
      <c r="F9" s="30">
        <f>'Generation Data'!AA15/1000</f>
        <v>2.8156428800000124</v>
      </c>
      <c r="G9" s="30">
        <f t="shared" si="0"/>
        <v>5513.0713586199736</v>
      </c>
      <c r="H9" s="23"/>
    </row>
    <row r="10" spans="2:12" ht="15" customHeight="1" x14ac:dyDescent="0.25">
      <c r="B10" s="28">
        <v>45413</v>
      </c>
      <c r="C10" s="29" t="s">
        <v>25</v>
      </c>
      <c r="D10" s="28">
        <v>45443</v>
      </c>
      <c r="E10" s="30">
        <f>'Generation Data'!Z16/1000</f>
        <v>9468.4999162600307</v>
      </c>
      <c r="F10" s="30">
        <f>'Generation Data'!AA16/1000</f>
        <v>6.3690502599999883</v>
      </c>
      <c r="G10" s="30">
        <f t="shared" si="0"/>
        <v>9462.1308660000304</v>
      </c>
      <c r="H10" s="23"/>
    </row>
    <row r="11" spans="2:12" ht="15" customHeight="1" x14ac:dyDescent="0.25">
      <c r="B11" s="28">
        <v>45444</v>
      </c>
      <c r="C11" s="29" t="s">
        <v>25</v>
      </c>
      <c r="D11" s="28">
        <v>45473</v>
      </c>
      <c r="E11" s="30">
        <f>'Generation Data'!Z17/1000</f>
        <v>9898.7216887499198</v>
      </c>
      <c r="F11" s="30">
        <f>'Generation Data'!AA17/1000</f>
        <v>3.9646661299999866</v>
      </c>
      <c r="G11" s="30">
        <f t="shared" si="0"/>
        <v>9894.7570226199205</v>
      </c>
      <c r="H11" s="23"/>
    </row>
    <row r="12" spans="2:12" ht="15" customHeight="1" x14ac:dyDescent="0.25">
      <c r="B12" s="28">
        <v>45474</v>
      </c>
      <c r="C12" s="29" t="s">
        <v>25</v>
      </c>
      <c r="D12" s="28">
        <v>45504</v>
      </c>
      <c r="E12" s="30">
        <f>'Generation Data'!Z18/1000</f>
        <v>22534.883606260028</v>
      </c>
      <c r="F12" s="30">
        <f>'Generation Data'!AA18/1000</f>
        <v>1.2261438699999994</v>
      </c>
      <c r="G12" s="30">
        <f t="shared" si="0"/>
        <v>22533.657462390027</v>
      </c>
      <c r="H12" s="23"/>
    </row>
    <row r="13" spans="2:12" ht="15" customHeight="1" x14ac:dyDescent="0.25">
      <c r="B13" s="28">
        <v>45505</v>
      </c>
      <c r="C13" s="29" t="s">
        <v>25</v>
      </c>
      <c r="D13" s="28">
        <v>45535</v>
      </c>
      <c r="E13" s="30">
        <f>'Generation Data'!Z19/1000</f>
        <v>14196.476714369999</v>
      </c>
      <c r="F13" s="30">
        <f>'Generation Data'!AA19/1000</f>
        <v>9.80953476</v>
      </c>
      <c r="G13" s="30">
        <f t="shared" si="0"/>
        <v>14186.66717961</v>
      </c>
      <c r="H13" s="23"/>
    </row>
    <row r="14" spans="2:12" ht="15" customHeight="1" x14ac:dyDescent="0.25">
      <c r="B14" s="28">
        <v>45536</v>
      </c>
      <c r="C14" s="29" t="s">
        <v>25</v>
      </c>
      <c r="D14" s="28">
        <v>45565</v>
      </c>
      <c r="E14" s="30">
        <f>'Generation Data'!Z20/1000</f>
        <v>9717.7109999999993</v>
      </c>
      <c r="F14" s="30">
        <f>'Generation Data'!AA20/1000</f>
        <v>2.35050000000001</v>
      </c>
      <c r="G14" s="30">
        <f t="shared" si="0"/>
        <v>9715.3604999999989</v>
      </c>
      <c r="H14" s="23"/>
    </row>
    <row r="15" spans="2:12" ht="15" customHeight="1" x14ac:dyDescent="0.25">
      <c r="B15" s="28">
        <v>45566</v>
      </c>
      <c r="C15" s="29" t="s">
        <v>25</v>
      </c>
      <c r="D15" s="28">
        <v>45596</v>
      </c>
      <c r="E15" s="30">
        <f>'Generation Data'!Z21/1000</f>
        <v>4635.8895000000011</v>
      </c>
      <c r="F15" s="30">
        <f>'Generation Data'!AA21/1000</f>
        <v>9.8789999999999889</v>
      </c>
      <c r="G15" s="30">
        <f t="shared" si="0"/>
        <v>4626.0105000000012</v>
      </c>
      <c r="H15" s="23"/>
    </row>
    <row r="16" spans="2:12" ht="15" customHeight="1" x14ac:dyDescent="0.25">
      <c r="B16" s="28">
        <v>45597</v>
      </c>
      <c r="C16" s="29" t="s">
        <v>25</v>
      </c>
      <c r="D16" s="28">
        <v>45626</v>
      </c>
      <c r="E16" s="30">
        <f>'Generation Data'!Z22/1000</f>
        <v>6398.3714999999984</v>
      </c>
      <c r="F16" s="30">
        <f>'Generation Data'!AA22/1000</f>
        <v>3.7380000000000093</v>
      </c>
      <c r="G16" s="30">
        <f t="shared" si="0"/>
        <v>6394.6334999999981</v>
      </c>
      <c r="H16" s="23"/>
    </row>
    <row r="17" spans="1:13" ht="15" customHeight="1" thickBot="1" x14ac:dyDescent="0.3">
      <c r="B17" s="28">
        <v>45627</v>
      </c>
      <c r="C17" s="29" t="s">
        <v>25</v>
      </c>
      <c r="D17" s="28">
        <v>45657</v>
      </c>
      <c r="E17" s="30">
        <f>'Generation Data'!Z23/1000</f>
        <v>3515.4009000000005</v>
      </c>
      <c r="F17" s="30">
        <f>'Generation Data'!AA23/1000</f>
        <v>8.3158499999999993</v>
      </c>
      <c r="G17" s="30">
        <f>E17-F17</f>
        <v>3507.0850500000006</v>
      </c>
      <c r="H17" s="23"/>
    </row>
    <row r="18" spans="1:13" ht="26.5" customHeight="1" thickBot="1" x14ac:dyDescent="0.3">
      <c r="B18" s="31" t="s">
        <v>2</v>
      </c>
      <c r="C18" s="32"/>
      <c r="D18" s="32"/>
      <c r="E18" s="33">
        <f>SUM(E6:E17)</f>
        <v>97009.194929090008</v>
      </c>
      <c r="F18" s="33">
        <f>SUM(F6:F17)</f>
        <v>69.726014160000005</v>
      </c>
      <c r="G18" s="33">
        <f>SUM(G6:G17)</f>
        <v>96939.468914929996</v>
      </c>
    </row>
    <row r="19" spans="1:13" ht="12" thickBot="1" x14ac:dyDescent="0.3"/>
    <row r="20" spans="1:13" ht="34.5" x14ac:dyDescent="0.25">
      <c r="A20" s="20" t="s">
        <v>33</v>
      </c>
      <c r="B20" s="21" t="s">
        <v>16</v>
      </c>
      <c r="C20" s="21"/>
      <c r="D20" s="21"/>
      <c r="E20" s="22" t="str">
        <f>E3</f>
        <v>Quantity of electricity exported by the Project to the grid</v>
      </c>
      <c r="F20" s="22" t="str">
        <f>F3</f>
        <v>Quantity of electricity imported by the Project from the grid</v>
      </c>
      <c r="G20" s="22" t="str">
        <f>G3</f>
        <v>Quantity of net electricity generation supplied by the project plant/unit to the grid</v>
      </c>
      <c r="H20" s="22" t="s">
        <v>38</v>
      </c>
      <c r="I20" s="22" t="s">
        <v>40</v>
      </c>
      <c r="J20" s="22" t="s">
        <v>41</v>
      </c>
      <c r="K20" s="22" t="s">
        <v>42</v>
      </c>
      <c r="L20" s="34" t="s">
        <v>43</v>
      </c>
    </row>
    <row r="21" spans="1:13" ht="13.5" x14ac:dyDescent="0.25">
      <c r="A21" s="24"/>
      <c r="B21" s="25"/>
      <c r="C21" s="25"/>
      <c r="D21" s="25"/>
      <c r="E21" s="26" t="s">
        <v>60</v>
      </c>
      <c r="F21" s="26" t="s">
        <v>61</v>
      </c>
      <c r="G21" s="26" t="s">
        <v>62</v>
      </c>
      <c r="H21" s="26" t="s">
        <v>63</v>
      </c>
      <c r="I21" s="26" t="s">
        <v>64</v>
      </c>
      <c r="J21" s="26" t="s">
        <v>65</v>
      </c>
      <c r="K21" s="26" t="s">
        <v>66</v>
      </c>
      <c r="L21" s="35" t="s">
        <v>67</v>
      </c>
    </row>
    <row r="22" spans="1:13" ht="12" thickBot="1" x14ac:dyDescent="0.3">
      <c r="A22" s="36"/>
      <c r="B22" s="37"/>
      <c r="C22" s="37"/>
      <c r="D22" s="37"/>
      <c r="E22" s="38" t="str">
        <f>E5</f>
        <v>MWh</v>
      </c>
      <c r="F22" s="38" t="str">
        <f>F5</f>
        <v>MWh</v>
      </c>
      <c r="G22" s="38" t="str">
        <f>G5</f>
        <v>MWh</v>
      </c>
      <c r="H22" s="38" t="s">
        <v>37</v>
      </c>
      <c r="I22" s="38" t="s">
        <v>39</v>
      </c>
      <c r="J22" s="38" t="s">
        <v>39</v>
      </c>
      <c r="K22" s="38" t="s">
        <v>39</v>
      </c>
      <c r="L22" s="39" t="s">
        <v>39</v>
      </c>
    </row>
    <row r="23" spans="1:13" ht="20.25" customHeight="1" thickBot="1" x14ac:dyDescent="0.3">
      <c r="A23" s="40">
        <v>2024</v>
      </c>
      <c r="B23" s="41">
        <f>B6</f>
        <v>45292</v>
      </c>
      <c r="C23" s="41" t="s">
        <v>25</v>
      </c>
      <c r="D23" s="41">
        <f>D17</f>
        <v>45657</v>
      </c>
      <c r="E23" s="42">
        <f>SUM(E6:E17)</f>
        <v>97009.194929090008</v>
      </c>
      <c r="F23" s="42">
        <f>SUM(F6:F17)</f>
        <v>69.726014160000005</v>
      </c>
      <c r="G23" s="43">
        <f>E23-F23</f>
        <v>96939.46891493001</v>
      </c>
      <c r="H23" s="44">
        <v>0.93100000000000005</v>
      </c>
      <c r="I23" s="45">
        <f>ROUNDDOWN(G23*H23,0)</f>
        <v>90250</v>
      </c>
      <c r="J23" s="46">
        <v>0</v>
      </c>
      <c r="K23" s="46">
        <v>0</v>
      </c>
      <c r="L23" s="47">
        <f t="shared" ref="L23" si="1">(I23-J23-K23)</f>
        <v>90250</v>
      </c>
    </row>
    <row r="24" spans="1:13" ht="20.25" customHeight="1" thickBot="1" x14ac:dyDescent="0.3">
      <c r="A24" s="48" t="s">
        <v>2</v>
      </c>
      <c r="B24" s="49"/>
      <c r="C24" s="49"/>
      <c r="D24" s="50"/>
      <c r="E24" s="51">
        <f>SUM(E23:E23)</f>
        <v>97009.194929090008</v>
      </c>
      <c r="F24" s="51">
        <f>SUM(F23:F23)</f>
        <v>69.726014160000005</v>
      </c>
      <c r="G24" s="51">
        <f>SUM(G23:G23)</f>
        <v>96939.46891493001</v>
      </c>
      <c r="H24" s="51"/>
      <c r="I24" s="52">
        <f>SUM(I23:I23)</f>
        <v>90250</v>
      </c>
      <c r="J24" s="53">
        <f>SUM(J23:J23)</f>
        <v>0</v>
      </c>
      <c r="K24" s="53">
        <f>SUM(K23:K23)</f>
        <v>0</v>
      </c>
      <c r="L24" s="54">
        <f>SUM(L23:L23)</f>
        <v>90250</v>
      </c>
    </row>
    <row r="25" spans="1:13" x14ac:dyDescent="0.25">
      <c r="B25" s="55"/>
      <c r="C25" s="56"/>
      <c r="D25" s="55"/>
      <c r="E25" s="57"/>
      <c r="F25" s="57"/>
      <c r="G25" s="57"/>
      <c r="H25" s="58"/>
      <c r="I25" s="59"/>
      <c r="J25" s="59"/>
      <c r="K25" s="59"/>
      <c r="L25" s="59"/>
    </row>
    <row r="26" spans="1:13" ht="12" thickBot="1" x14ac:dyDescent="0.3"/>
    <row r="27" spans="1:13" ht="73.5" customHeight="1" x14ac:dyDescent="0.25">
      <c r="B27" s="20" t="s">
        <v>17</v>
      </c>
      <c r="C27" s="21"/>
      <c r="D27" s="60" t="s">
        <v>18</v>
      </c>
      <c r="E27" s="22" t="s">
        <v>19</v>
      </c>
      <c r="F27" s="22" t="s">
        <v>23</v>
      </c>
      <c r="G27" s="60" t="s">
        <v>20</v>
      </c>
      <c r="H27" s="22" t="s">
        <v>21</v>
      </c>
      <c r="I27" s="21" t="s">
        <v>22</v>
      </c>
      <c r="J27" s="61"/>
      <c r="L27" s="62"/>
    </row>
    <row r="28" spans="1:13" ht="23.25" customHeight="1" thickBot="1" x14ac:dyDescent="0.3">
      <c r="B28" s="63">
        <f>B23</f>
        <v>45292</v>
      </c>
      <c r="C28" s="64" t="s">
        <v>25</v>
      </c>
      <c r="D28" s="63">
        <f>D23</f>
        <v>45657</v>
      </c>
      <c r="E28" s="65">
        <f>D28-B28+1</f>
        <v>366</v>
      </c>
      <c r="F28" s="66">
        <v>74596</v>
      </c>
      <c r="G28" s="66">
        <f>ROUNDDOWN(F28*E28/365,0)</f>
        <v>74800</v>
      </c>
      <c r="H28" s="66">
        <f>L23</f>
        <v>90250</v>
      </c>
      <c r="I28" s="67">
        <f>H28/G28-1</f>
        <v>0.20655080213903743</v>
      </c>
      <c r="J28" s="68"/>
      <c r="K28" s="69"/>
    </row>
    <row r="29" spans="1:13" x14ac:dyDescent="0.25">
      <c r="D29" s="70" t="s">
        <v>2</v>
      </c>
      <c r="E29" s="71">
        <f>E28</f>
        <v>366</v>
      </c>
      <c r="F29" s="70"/>
      <c r="G29" s="71">
        <f>G28</f>
        <v>74800</v>
      </c>
      <c r="H29" s="71">
        <f>H28</f>
        <v>90250</v>
      </c>
      <c r="I29" s="72">
        <f>H29/G29-1</f>
        <v>0.20655080213903743</v>
      </c>
      <c r="J29" s="72"/>
      <c r="L29" s="73"/>
      <c r="M29" s="73"/>
    </row>
    <row r="32" spans="1:13" x14ac:dyDescent="0.25">
      <c r="D32" s="137" t="s">
        <v>68</v>
      </c>
      <c r="E32" s="138">
        <f>G18/(E29*24*56)</f>
        <v>0.19706989354615939</v>
      </c>
      <c r="F32" s="74"/>
    </row>
  </sheetData>
  <mergeCells count="11">
    <mergeCell ref="I29:J29"/>
    <mergeCell ref="I28:J28"/>
    <mergeCell ref="I27:J27"/>
    <mergeCell ref="B20:D22"/>
    <mergeCell ref="B1:K1"/>
    <mergeCell ref="B2:K2"/>
    <mergeCell ref="B18:D18"/>
    <mergeCell ref="A24:D24"/>
    <mergeCell ref="B27:C27"/>
    <mergeCell ref="B3:D4"/>
    <mergeCell ref="A20:A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54"/>
  <sheetViews>
    <sheetView showGridLines="0" tabSelected="1" topLeftCell="A7" zoomScale="83" zoomScaleNormal="68" workbookViewId="0">
      <pane xSplit="3" ySplit="5" topLeftCell="N12" activePane="bottomRight" state="frozen"/>
      <selection activeCell="A7" sqref="A7"/>
      <selection pane="topRight" activeCell="D7" sqref="D7"/>
      <selection pane="bottomLeft" activeCell="A12" sqref="A12"/>
      <selection pane="bottomRight" activeCell="T25" sqref="T25:X28"/>
    </sheetView>
  </sheetViews>
  <sheetFormatPr defaultColWidth="9.1796875" defaultRowHeight="11.5" x14ac:dyDescent="0.35"/>
  <cols>
    <col min="1" max="1" width="4.453125" style="56" customWidth="1"/>
    <col min="2" max="2" width="15.81640625" style="56" customWidth="1"/>
    <col min="3" max="3" width="14.1796875" style="56" customWidth="1"/>
    <col min="4" max="4" width="14.453125" style="90" customWidth="1"/>
    <col min="5" max="5" width="14.453125" style="56" customWidth="1"/>
    <col min="6" max="6" width="14.453125" style="56" bestFit="1" customWidth="1"/>
    <col min="7" max="7" width="3.453125" style="56" customWidth="1"/>
    <col min="8" max="8" width="15.453125" style="56" customWidth="1"/>
    <col min="9" max="9" width="12" style="56" customWidth="1"/>
    <col min="10" max="10" width="14.453125" style="56" bestFit="1" customWidth="1"/>
    <col min="11" max="11" width="3" style="56" customWidth="1"/>
    <col min="12" max="12" width="16.453125" style="56" customWidth="1"/>
    <col min="13" max="13" width="12" style="56" customWidth="1"/>
    <col min="14" max="14" width="15.453125" style="56" bestFit="1" customWidth="1"/>
    <col min="15" max="15" width="2.453125" style="56" customWidth="1"/>
    <col min="16" max="16" width="15.453125" style="56" bestFit="1" customWidth="1"/>
    <col min="17" max="17" width="12.1796875" style="56" bestFit="1" customWidth="1"/>
    <col min="18" max="18" width="15.453125" style="56" bestFit="1" customWidth="1"/>
    <col min="19" max="19" width="3.1796875" style="56" customWidth="1"/>
    <col min="20" max="20" width="15.453125" style="56" bestFit="1" customWidth="1"/>
    <col min="21" max="21" width="14.453125" style="56" bestFit="1" customWidth="1"/>
    <col min="22" max="22" width="15.453125" style="56" bestFit="1" customWidth="1"/>
    <col min="23" max="23" width="18.54296875" style="56" customWidth="1"/>
    <col min="24" max="24" width="17.6328125" style="56" customWidth="1"/>
    <col min="25" max="25" width="3.453125" style="56" customWidth="1"/>
    <col min="26" max="26" width="16.81640625" style="56" bestFit="1" customWidth="1"/>
    <col min="27" max="27" width="17.1796875" style="56" customWidth="1"/>
    <col min="28" max="30" width="22.1796875" style="56" customWidth="1"/>
    <col min="31" max="31" width="12.453125" style="56" bestFit="1" customWidth="1"/>
    <col min="32" max="32" width="12.453125" style="56" customWidth="1"/>
    <col min="33" max="33" width="14.453125" style="56" bestFit="1" customWidth="1"/>
    <col min="34" max="34" width="12" style="56" customWidth="1"/>
    <col min="35" max="35" width="14.453125" style="56" bestFit="1" customWidth="1"/>
    <col min="36" max="36" width="13.453125" style="56" customWidth="1"/>
    <col min="37" max="37" width="14.453125" style="56" customWidth="1"/>
    <col min="38" max="38" width="13.453125" style="56" customWidth="1"/>
    <col min="39" max="39" width="14.453125" style="56" bestFit="1" customWidth="1"/>
    <col min="40" max="40" width="12" style="56" customWidth="1"/>
    <col min="41" max="41" width="14.453125" style="56" bestFit="1" customWidth="1"/>
    <col min="42" max="42" width="9.1796875" style="56" customWidth="1"/>
    <col min="43" max="43" width="13.453125" style="56" customWidth="1"/>
    <col min="44" max="44" width="14.1796875" style="56" customWidth="1"/>
    <col min="45" max="45" width="14.453125" style="56" bestFit="1" customWidth="1"/>
    <col min="46" max="46" width="12" style="56" customWidth="1"/>
    <col min="47" max="47" width="14.453125" style="56" bestFit="1" customWidth="1"/>
    <col min="48" max="48" width="9.1796875" style="56" customWidth="1"/>
    <col min="49" max="49" width="17.453125" style="56" customWidth="1"/>
    <col min="50" max="50" width="23.1796875" style="56" customWidth="1"/>
    <col min="51" max="51" width="13.453125" style="56" bestFit="1" customWidth="1"/>
    <col min="52" max="52" width="12" style="56" customWidth="1"/>
    <col min="53" max="54" width="12.81640625" style="56" customWidth="1"/>
    <col min="55" max="55" width="14.453125" style="56" customWidth="1"/>
    <col min="56" max="56" width="9.1796875" style="56" customWidth="1"/>
    <col min="57" max="57" width="12.453125" style="56" customWidth="1"/>
    <col min="58" max="58" width="14.453125" style="56" customWidth="1"/>
    <col min="59" max="59" width="14.453125" style="56" bestFit="1" customWidth="1"/>
    <col min="60" max="60" width="12" style="56" customWidth="1"/>
    <col min="61" max="61" width="14.453125" style="56" bestFit="1" customWidth="1"/>
    <col min="62" max="62" width="28.453125" style="76" customWidth="1"/>
    <col min="63" max="63" width="13.453125" style="56" bestFit="1" customWidth="1"/>
    <col min="64" max="64" width="9.1796875" style="56"/>
    <col min="65" max="65" width="19.1796875" style="56" customWidth="1"/>
    <col min="66" max="16384" width="9.1796875" style="56"/>
  </cols>
  <sheetData>
    <row r="1" spans="1:62" ht="14.5" customHeight="1" x14ac:dyDescent="0.25">
      <c r="B1" s="75" t="str">
        <f>'ER Estimation'!B1</f>
        <v>Project Title: Wind power project in Maharashtra, India – Andhra Lake Phase - II</v>
      </c>
      <c r="C1" s="75"/>
      <c r="D1" s="75"/>
      <c r="E1" s="75"/>
      <c r="F1" s="75"/>
      <c r="G1" s="75"/>
      <c r="H1" s="75"/>
      <c r="I1" s="75"/>
      <c r="J1" s="75"/>
      <c r="K1" s="75"/>
    </row>
    <row r="2" spans="1:62" ht="14.5" customHeight="1" x14ac:dyDescent="0.25">
      <c r="B2" s="75" t="str">
        <f>'ER Estimation'!B2</f>
        <v>Project ID: 1481</v>
      </c>
      <c r="C2" s="75"/>
      <c r="D2" s="75"/>
      <c r="E2" s="75"/>
      <c r="F2" s="75"/>
      <c r="G2" s="75"/>
      <c r="H2" s="75"/>
      <c r="I2" s="75"/>
      <c r="J2" s="75"/>
      <c r="K2" s="75"/>
    </row>
    <row r="3" spans="1:62" ht="14.5" customHeight="1" x14ac:dyDescent="0.25">
      <c r="B3" s="75" t="e">
        <f>'ER Estimation'!#REF!</f>
        <v>#REF!</v>
      </c>
      <c r="C3" s="75"/>
      <c r="D3" s="75"/>
      <c r="E3" s="75"/>
      <c r="F3" s="75"/>
      <c r="G3" s="75"/>
      <c r="H3" s="75"/>
      <c r="I3" s="75"/>
      <c r="J3" s="75"/>
      <c r="K3" s="75"/>
    </row>
    <row r="4" spans="1:62" x14ac:dyDescent="0.25">
      <c r="B4" s="75" t="e">
        <f>'ER Estimation'!#REF!</f>
        <v>#REF!</v>
      </c>
      <c r="C4" s="75"/>
      <c r="D4" s="75"/>
      <c r="E4" s="75"/>
      <c r="F4" s="75"/>
      <c r="G4" s="75"/>
      <c r="H4" s="75"/>
      <c r="I4" s="75"/>
      <c r="J4" s="75"/>
      <c r="K4" s="75"/>
    </row>
    <row r="5" spans="1:62" ht="14.5" customHeight="1" x14ac:dyDescent="0.25">
      <c r="B5" s="75" t="e">
        <f>'ER Estimation'!#REF!</f>
        <v>#REF!</v>
      </c>
      <c r="C5" s="75"/>
      <c r="D5" s="75"/>
      <c r="E5" s="75"/>
      <c r="F5" s="75"/>
      <c r="G5" s="75"/>
      <c r="H5" s="75"/>
      <c r="I5" s="75"/>
      <c r="J5" s="75"/>
      <c r="K5" s="75"/>
    </row>
    <row r="6" spans="1:62" ht="14.5" customHeight="1" thickBot="1" x14ac:dyDescent="0.4">
      <c r="D6" s="56"/>
    </row>
    <row r="7" spans="1:62" ht="17.25" customHeight="1" x14ac:dyDescent="0.35">
      <c r="B7" s="77" t="s">
        <v>16</v>
      </c>
      <c r="C7" s="78"/>
      <c r="D7" s="79" t="s">
        <v>4</v>
      </c>
      <c r="E7" s="80"/>
      <c r="F7" s="81"/>
      <c r="H7" s="79" t="s">
        <v>5</v>
      </c>
      <c r="I7" s="80"/>
      <c r="J7" s="81"/>
      <c r="L7" s="79" t="s">
        <v>7</v>
      </c>
      <c r="M7" s="80"/>
      <c r="N7" s="81"/>
      <c r="P7" s="79" t="s">
        <v>8</v>
      </c>
      <c r="Q7" s="80"/>
      <c r="R7" s="81"/>
      <c r="T7" s="82" t="s">
        <v>10</v>
      </c>
      <c r="U7" s="82"/>
      <c r="V7" s="82"/>
      <c r="W7" s="82"/>
      <c r="X7" s="82"/>
      <c r="BJ7" s="56"/>
    </row>
    <row r="8" spans="1:62" ht="14.5" customHeight="1" x14ac:dyDescent="0.35">
      <c r="A8" s="83"/>
      <c r="B8" s="84"/>
      <c r="C8" s="85"/>
      <c r="D8" s="86" t="s">
        <v>3</v>
      </c>
      <c r="E8" s="87"/>
      <c r="F8" s="88"/>
      <c r="H8" s="86" t="s">
        <v>6</v>
      </c>
      <c r="I8" s="87"/>
      <c r="J8" s="88"/>
      <c r="L8" s="86" t="s">
        <v>47</v>
      </c>
      <c r="M8" s="87"/>
      <c r="N8" s="88"/>
      <c r="P8" s="86" t="s">
        <v>9</v>
      </c>
      <c r="Q8" s="87"/>
      <c r="R8" s="88"/>
      <c r="T8" s="89" t="s">
        <v>11</v>
      </c>
      <c r="U8" s="89"/>
      <c r="V8" s="89"/>
      <c r="W8" s="89"/>
      <c r="X8" s="89"/>
      <c r="Z8" s="76"/>
      <c r="BJ8" s="56"/>
    </row>
    <row r="9" spans="1:62" ht="14.25" customHeight="1" thickBot="1" x14ac:dyDescent="0.4">
      <c r="A9" s="90"/>
      <c r="B9" s="84"/>
      <c r="C9" s="85"/>
      <c r="D9" s="91" t="s">
        <v>1</v>
      </c>
      <c r="E9" s="92"/>
      <c r="F9" s="93"/>
      <c r="H9" s="91" t="s">
        <v>1</v>
      </c>
      <c r="I9" s="92"/>
      <c r="J9" s="93"/>
      <c r="L9" s="91" t="s">
        <v>1</v>
      </c>
      <c r="M9" s="92"/>
      <c r="N9" s="93"/>
      <c r="P9" s="91" t="s">
        <v>1</v>
      </c>
      <c r="Q9" s="92"/>
      <c r="R9" s="93"/>
      <c r="T9" s="82" t="s">
        <v>55</v>
      </c>
      <c r="U9" s="82"/>
      <c r="V9" s="82"/>
      <c r="W9" s="82"/>
      <c r="X9" s="82"/>
      <c r="Z9" s="94"/>
      <c r="AA9" s="94"/>
      <c r="AB9" s="94"/>
      <c r="AC9" s="95"/>
      <c r="AD9" s="95"/>
      <c r="BJ9" s="56"/>
    </row>
    <row r="10" spans="1:62" s="99" customFormat="1" ht="32.5" customHeight="1" x14ac:dyDescent="0.35">
      <c r="A10" s="96"/>
      <c r="B10" s="97"/>
      <c r="C10" s="98"/>
      <c r="D10" s="27" t="s">
        <v>44</v>
      </c>
      <c r="E10" s="26" t="s">
        <v>45</v>
      </c>
      <c r="F10" s="35" t="s">
        <v>12</v>
      </c>
      <c r="H10" s="27" t="str">
        <f>D10</f>
        <v>Electricity Export</v>
      </c>
      <c r="I10" s="26" t="str">
        <f>E10</f>
        <v>Electricity Import</v>
      </c>
      <c r="J10" s="35" t="str">
        <f>F10</f>
        <v>Net Export</v>
      </c>
      <c r="L10" s="27" t="s">
        <v>26</v>
      </c>
      <c r="M10" s="26" t="s">
        <v>28</v>
      </c>
      <c r="N10" s="35" t="s">
        <v>0</v>
      </c>
      <c r="P10" s="27" t="s">
        <v>26</v>
      </c>
      <c r="Q10" s="26" t="s">
        <v>28</v>
      </c>
      <c r="R10" s="35" t="s">
        <v>0</v>
      </c>
      <c r="T10" s="26" t="s">
        <v>26</v>
      </c>
      <c r="U10" s="26" t="s">
        <v>29</v>
      </c>
      <c r="V10" s="26" t="s">
        <v>0</v>
      </c>
      <c r="W10" s="26" t="s">
        <v>56</v>
      </c>
      <c r="X10" s="26" t="s">
        <v>57</v>
      </c>
      <c r="Z10" s="100" t="s">
        <v>13</v>
      </c>
      <c r="AA10" s="22" t="s">
        <v>14</v>
      </c>
      <c r="AB10" s="22" t="s">
        <v>48</v>
      </c>
      <c r="AC10" s="22" t="s">
        <v>58</v>
      </c>
      <c r="AD10" s="34" t="s">
        <v>59</v>
      </c>
    </row>
    <row r="11" spans="1:62" x14ac:dyDescent="0.35">
      <c r="A11" s="90"/>
      <c r="B11" s="101" t="s">
        <v>24</v>
      </c>
      <c r="C11" s="102" t="s">
        <v>25</v>
      </c>
      <c r="D11" s="101" t="s">
        <v>27</v>
      </c>
      <c r="E11" s="103" t="s">
        <v>27</v>
      </c>
      <c r="F11" s="102" t="s">
        <v>27</v>
      </c>
      <c r="H11" s="101" t="s">
        <v>27</v>
      </c>
      <c r="I11" s="103" t="s">
        <v>27</v>
      </c>
      <c r="J11" s="102" t="s">
        <v>27</v>
      </c>
      <c r="L11" s="101" t="s">
        <v>27</v>
      </c>
      <c r="M11" s="103" t="s">
        <v>27</v>
      </c>
      <c r="N11" s="102" t="s">
        <v>27</v>
      </c>
      <c r="P11" s="101" t="s">
        <v>27</v>
      </c>
      <c r="Q11" s="103" t="s">
        <v>27</v>
      </c>
      <c r="R11" s="102" t="s">
        <v>27</v>
      </c>
      <c r="T11" s="103" t="s">
        <v>27</v>
      </c>
      <c r="U11" s="103" t="s">
        <v>27</v>
      </c>
      <c r="V11" s="103" t="s">
        <v>27</v>
      </c>
      <c r="W11" s="103" t="s">
        <v>27</v>
      </c>
      <c r="X11" s="103" t="s">
        <v>27</v>
      </c>
      <c r="Z11" s="101" t="s">
        <v>27</v>
      </c>
      <c r="AA11" s="103" t="s">
        <v>27</v>
      </c>
      <c r="AB11" s="103" t="s">
        <v>27</v>
      </c>
      <c r="AC11" s="103" t="s">
        <v>27</v>
      </c>
      <c r="AD11" s="102" t="s">
        <v>27</v>
      </c>
      <c r="BJ11" s="56"/>
    </row>
    <row r="12" spans="1:62" x14ac:dyDescent="0.25">
      <c r="A12" s="90"/>
      <c r="B12" s="28">
        <v>45292</v>
      </c>
      <c r="C12" s="28">
        <v>45322</v>
      </c>
      <c r="D12" s="104">
        <v>619505.62500000524</v>
      </c>
      <c r="E12" s="104">
        <v>2593.1249999999864</v>
      </c>
      <c r="F12" s="105">
        <f t="shared" ref="F12" si="0">D12-E12</f>
        <v>616912.50000000524</v>
      </c>
      <c r="G12" s="106"/>
      <c r="H12" s="104">
        <v>662336.25000003667</v>
      </c>
      <c r="I12" s="104">
        <v>2055.0000000000068</v>
      </c>
      <c r="J12" s="105">
        <f t="shared" ref="J12" si="1">H12-I12</f>
        <v>660281.25000003667</v>
      </c>
      <c r="K12" s="106"/>
      <c r="L12" s="104">
        <v>1059966.000000044</v>
      </c>
      <c r="M12" s="104">
        <v>2591.9999999999959</v>
      </c>
      <c r="N12" s="105">
        <f t="shared" ref="N12" si="2">L12-M12</f>
        <v>1057374.000000044</v>
      </c>
      <c r="O12" s="107"/>
      <c r="P12" s="104">
        <v>886940.99999999162</v>
      </c>
      <c r="Q12" s="104">
        <v>2450.2499999999968</v>
      </c>
      <c r="R12" s="105">
        <f t="shared" ref="R12" si="3">P12-Q12</f>
        <v>884490.74999999162</v>
      </c>
      <c r="T12" s="108">
        <f>85791.58781+115439.09813</f>
        <v>201230.68594</v>
      </c>
      <c r="U12" s="108">
        <f>167.121+224.874</f>
        <v>391.995</v>
      </c>
      <c r="V12" s="109">
        <f t="shared" ref="V12:V23" si="4">T12-U12</f>
        <v>200838.69094</v>
      </c>
      <c r="W12" s="109">
        <v>205456.53034473996</v>
      </c>
      <c r="X12" s="109">
        <f>T12*8.09</f>
        <v>1627956.2492545999</v>
      </c>
      <c r="Y12" s="110"/>
      <c r="Z12" s="111">
        <f>D12+H12+L12+P12+T12</f>
        <v>3429979.5609400775</v>
      </c>
      <c r="AA12" s="112">
        <f>E12+I12+M12+Q12+U12</f>
        <v>10082.369999999986</v>
      </c>
      <c r="AB12" s="112">
        <f>Z12-AA12</f>
        <v>3419897.1909400774</v>
      </c>
      <c r="AC12" s="112">
        <f>W12</f>
        <v>205456.53034473996</v>
      </c>
      <c r="AD12" s="112">
        <f>X12</f>
        <v>1627956.2492545999</v>
      </c>
      <c r="BJ12" s="56"/>
    </row>
    <row r="13" spans="1:62" x14ac:dyDescent="0.25">
      <c r="A13" s="90"/>
      <c r="B13" s="28">
        <v>45323</v>
      </c>
      <c r="C13" s="28">
        <v>45351</v>
      </c>
      <c r="D13" s="104">
        <v>468995.62499996682</v>
      </c>
      <c r="E13" s="104">
        <v>1619.9999999999761</v>
      </c>
      <c r="F13" s="105">
        <f t="shared" ref="F13:F23" si="5">D13-E13</f>
        <v>467375.62499996682</v>
      </c>
      <c r="H13" s="104">
        <v>617606.24999998254</v>
      </c>
      <c r="I13" s="104">
        <v>1079.9999999999982</v>
      </c>
      <c r="J13" s="105">
        <f t="shared" ref="J13:J23" si="6">H13-I13</f>
        <v>616526.24999998254</v>
      </c>
      <c r="L13" s="104">
        <v>900643.49999997066</v>
      </c>
      <c r="M13" s="104">
        <v>2216.2500000000309</v>
      </c>
      <c r="N13" s="105">
        <f t="shared" ref="N13:N23" si="7">L13-M13</f>
        <v>898427.24999997066</v>
      </c>
      <c r="O13" s="107"/>
      <c r="P13" s="104">
        <v>833222.24999999162</v>
      </c>
      <c r="Q13" s="104">
        <v>1590.7500000000114</v>
      </c>
      <c r="R13" s="105">
        <f t="shared" ref="R13:R23" si="8">P13-Q13</f>
        <v>831631.49999999162</v>
      </c>
      <c r="T13" s="108">
        <f>55941.8355+58420.2712</f>
        <v>114362.1067</v>
      </c>
      <c r="U13" s="108">
        <f>69.3225+572.39</f>
        <v>641.71249999999998</v>
      </c>
      <c r="V13" s="109">
        <f t="shared" si="4"/>
        <v>113720.39420000001</v>
      </c>
      <c r="W13" s="109">
        <v>118822.2288613</v>
      </c>
      <c r="X13" s="109">
        <f t="shared" ref="X13:X19" si="9">T13*8.09</f>
        <v>925189.443203</v>
      </c>
      <c r="Y13" s="110"/>
      <c r="Z13" s="111">
        <f t="shared" ref="Z13:Z23" si="10">D13+H13+L13+P13+T13</f>
        <v>2934829.7316999114</v>
      </c>
      <c r="AA13" s="112">
        <f t="shared" ref="AA13:AA22" si="11">E13+I13+M13+Q13+U13</f>
        <v>7148.712500000016</v>
      </c>
      <c r="AB13" s="112">
        <f t="shared" ref="AB13:AB23" si="12">Z13-AA13</f>
        <v>2927681.0191999115</v>
      </c>
      <c r="AC13" s="112">
        <f t="shared" ref="AC13:AC24" si="13">W13</f>
        <v>118822.2288613</v>
      </c>
      <c r="AD13" s="112">
        <f t="shared" ref="AD13:AD24" si="14">X13</f>
        <v>925189.443203</v>
      </c>
      <c r="BJ13" s="56"/>
    </row>
    <row r="14" spans="1:62" x14ac:dyDescent="0.25">
      <c r="A14" s="90"/>
      <c r="B14" s="28">
        <v>45352</v>
      </c>
      <c r="C14" s="28">
        <v>45382</v>
      </c>
      <c r="D14" s="104">
        <v>676301.25000003318</v>
      </c>
      <c r="E14" s="104">
        <v>1104.3750000000186</v>
      </c>
      <c r="F14" s="105">
        <f t="shared" si="5"/>
        <v>675196.87500003318</v>
      </c>
      <c r="H14" s="104">
        <v>955822.49999999476</v>
      </c>
      <c r="I14" s="104">
        <v>793.12500000000341</v>
      </c>
      <c r="J14" s="105">
        <f t="shared" si="6"/>
        <v>955029.37499999476</v>
      </c>
      <c r="L14" s="104">
        <v>1363020.7500000251</v>
      </c>
      <c r="M14" s="104">
        <v>1298.2499999999959</v>
      </c>
      <c r="N14" s="105">
        <f t="shared" si="7"/>
        <v>1361722.5000000251</v>
      </c>
      <c r="O14" s="107"/>
      <c r="P14" s="104">
        <v>1602013.5000000126</v>
      </c>
      <c r="Q14" s="104">
        <v>827.99999999998875</v>
      </c>
      <c r="R14" s="105">
        <f t="shared" si="8"/>
        <v>1601185.5000000126</v>
      </c>
      <c r="T14" s="108">
        <f>86466.809+78919.00031</f>
        <v>165385.80930999998</v>
      </c>
      <c r="U14" s="108">
        <f>1.46063+1.33313</f>
        <v>2.7937599999999998</v>
      </c>
      <c r="V14" s="109">
        <f t="shared" si="4"/>
        <v>165383.01554999998</v>
      </c>
      <c r="W14" s="109">
        <v>168197.36806826998</v>
      </c>
      <c r="X14" s="109">
        <f t="shared" si="9"/>
        <v>1337971.1973178999</v>
      </c>
      <c r="Y14" s="110"/>
      <c r="Z14" s="111">
        <f t="shared" si="10"/>
        <v>4762543.8093100656</v>
      </c>
      <c r="AA14" s="112">
        <f t="shared" si="11"/>
        <v>4026.5437600000068</v>
      </c>
      <c r="AB14" s="112">
        <f t="shared" si="12"/>
        <v>4758517.2655500658</v>
      </c>
      <c r="AC14" s="112">
        <f t="shared" si="13"/>
        <v>168197.36806826998</v>
      </c>
      <c r="AD14" s="112">
        <f t="shared" si="14"/>
        <v>1337971.1973178999</v>
      </c>
      <c r="BJ14" s="56"/>
    </row>
    <row r="15" spans="1:62" x14ac:dyDescent="0.25">
      <c r="A15" s="90"/>
      <c r="B15" s="28">
        <v>45383</v>
      </c>
      <c r="C15" s="28">
        <v>45412</v>
      </c>
      <c r="D15" s="104">
        <v>709865.62499999127</v>
      </c>
      <c r="E15" s="104">
        <v>635.62500000001876</v>
      </c>
      <c r="F15" s="105">
        <f t="shared" si="5"/>
        <v>709229.99999999127</v>
      </c>
      <c r="H15" s="104">
        <v>1115956.8750000035</v>
      </c>
      <c r="I15" s="104">
        <v>451.87499999999403</v>
      </c>
      <c r="J15" s="105">
        <f t="shared" si="6"/>
        <v>1115505.0000000035</v>
      </c>
      <c r="L15" s="104">
        <v>1549511.9999999937</v>
      </c>
      <c r="M15" s="104">
        <v>960.74999999999591</v>
      </c>
      <c r="N15" s="105">
        <f t="shared" si="7"/>
        <v>1548551.2499999937</v>
      </c>
      <c r="O15" s="107"/>
      <c r="P15" s="104">
        <v>1963559.2499999853</v>
      </c>
      <c r="Q15" s="104">
        <v>670.50000000000409</v>
      </c>
      <c r="R15" s="105">
        <f t="shared" si="8"/>
        <v>1962888.7499999853</v>
      </c>
      <c r="T15" s="108">
        <f>90195.105+86798.1465</f>
        <v>176993.25150000001</v>
      </c>
      <c r="U15" s="108">
        <f>49.37625+47.51663</f>
        <v>96.892879999999991</v>
      </c>
      <c r="V15" s="109">
        <f t="shared" si="4"/>
        <v>176896.35862000001</v>
      </c>
      <c r="W15" s="109">
        <v>181772.06929049999</v>
      </c>
      <c r="X15" s="109">
        <f t="shared" si="9"/>
        <v>1431875.404635</v>
      </c>
      <c r="Y15" s="110"/>
      <c r="Z15" s="111">
        <f t="shared" si="10"/>
        <v>5515887.0014999742</v>
      </c>
      <c r="AA15" s="112">
        <f t="shared" si="11"/>
        <v>2815.6428800000126</v>
      </c>
      <c r="AB15" s="112">
        <f t="shared" si="12"/>
        <v>5513071.358619974</v>
      </c>
      <c r="AC15" s="112">
        <f t="shared" si="13"/>
        <v>181772.06929049999</v>
      </c>
      <c r="AD15" s="112">
        <f t="shared" si="14"/>
        <v>1431875.404635</v>
      </c>
      <c r="BJ15" s="56"/>
    </row>
    <row r="16" spans="1:62" x14ac:dyDescent="0.25">
      <c r="A16" s="90"/>
      <c r="B16" s="28">
        <v>45413</v>
      </c>
      <c r="C16" s="28">
        <v>45443</v>
      </c>
      <c r="D16" s="104">
        <v>1682555.624999979</v>
      </c>
      <c r="E16" s="104">
        <v>1603.1249999999914</v>
      </c>
      <c r="F16" s="105">
        <f t="shared" si="5"/>
        <v>1680952.499999979</v>
      </c>
      <c r="H16" s="104">
        <v>1784227.5000000228</v>
      </c>
      <c r="I16" s="104">
        <v>1158.7500000000118</v>
      </c>
      <c r="J16" s="105">
        <f t="shared" si="6"/>
        <v>1783068.7500000228</v>
      </c>
      <c r="L16" s="104">
        <v>2765034.0000000084</v>
      </c>
      <c r="M16" s="104">
        <v>2049.7499999999773</v>
      </c>
      <c r="N16" s="105">
        <f t="shared" si="7"/>
        <v>2762984.2500000084</v>
      </c>
      <c r="O16" s="107"/>
      <c r="P16" s="104">
        <v>2940826.5000000186</v>
      </c>
      <c r="Q16" s="104">
        <v>1453.5000000000082</v>
      </c>
      <c r="R16" s="105">
        <f t="shared" si="8"/>
        <v>2939373.0000000186</v>
      </c>
      <c r="T16" s="108">
        <f>151498.05563+144358.23563</f>
        <v>295856.29125999997</v>
      </c>
      <c r="U16" s="108">
        <f>53.21663+50.70863</f>
        <v>103.92526000000001</v>
      </c>
      <c r="V16" s="109">
        <f t="shared" si="4"/>
        <v>295752.36599999998</v>
      </c>
      <c r="W16" s="109">
        <v>307394.68661913992</v>
      </c>
      <c r="X16" s="109">
        <f t="shared" si="9"/>
        <v>2393477.3962933999</v>
      </c>
      <c r="Y16" s="110"/>
      <c r="Z16" s="111">
        <f t="shared" si="10"/>
        <v>9468499.9162600301</v>
      </c>
      <c r="AA16" s="112">
        <f t="shared" si="11"/>
        <v>6369.0502599999882</v>
      </c>
      <c r="AB16" s="112">
        <f t="shared" si="12"/>
        <v>9462130.8660000302</v>
      </c>
      <c r="AC16" s="112">
        <f t="shared" si="13"/>
        <v>307394.68661913992</v>
      </c>
      <c r="AD16" s="112">
        <f t="shared" si="14"/>
        <v>2393477.3962933999</v>
      </c>
      <c r="AE16" s="113"/>
      <c r="BJ16" s="56"/>
    </row>
    <row r="17" spans="2:62" x14ac:dyDescent="0.25">
      <c r="B17" s="28">
        <v>45444</v>
      </c>
      <c r="C17" s="28">
        <v>45473</v>
      </c>
      <c r="D17" s="104">
        <v>1814625</v>
      </c>
      <c r="E17" s="104">
        <v>959.99999999997954</v>
      </c>
      <c r="F17" s="105">
        <f t="shared" si="5"/>
        <v>1813665</v>
      </c>
      <c r="H17" s="104">
        <v>2103253.1249999739</v>
      </c>
      <c r="I17" s="104">
        <v>744.37500000000512</v>
      </c>
      <c r="J17" s="105">
        <f t="shared" si="6"/>
        <v>2102508.7499999739</v>
      </c>
      <c r="L17" s="104">
        <v>2938002.7499999562</v>
      </c>
      <c r="M17" s="104">
        <v>1116.0000000000082</v>
      </c>
      <c r="N17" s="105">
        <f t="shared" si="7"/>
        <v>2936886.7499999562</v>
      </c>
      <c r="O17" s="107"/>
      <c r="P17" s="104">
        <v>2747576.2499999898</v>
      </c>
      <c r="Q17" s="104">
        <v>1075.4999999999939</v>
      </c>
      <c r="R17" s="105">
        <f t="shared" si="8"/>
        <v>2746500.7499999898</v>
      </c>
      <c r="T17" s="108">
        <f>148845.09375+146419.47</f>
        <v>295264.56374999997</v>
      </c>
      <c r="U17" s="108">
        <f>34.67813+34.113</f>
        <v>68.79113000000001</v>
      </c>
      <c r="V17" s="109">
        <f t="shared" si="4"/>
        <v>295195.77261999995</v>
      </c>
      <c r="W17" s="109">
        <v>299988.79676999996</v>
      </c>
      <c r="X17" s="109">
        <f t="shared" si="9"/>
        <v>2388690.3207374997</v>
      </c>
      <c r="Y17" s="110"/>
      <c r="Z17" s="111">
        <f t="shared" si="10"/>
        <v>9898721.6887499206</v>
      </c>
      <c r="AA17" s="112">
        <f t="shared" si="11"/>
        <v>3964.6661299999864</v>
      </c>
      <c r="AB17" s="112">
        <f t="shared" si="12"/>
        <v>9894757.0226199199</v>
      </c>
      <c r="AC17" s="112">
        <f t="shared" si="13"/>
        <v>299988.79676999996</v>
      </c>
      <c r="AD17" s="112">
        <f t="shared" si="14"/>
        <v>2388690.3207374997</v>
      </c>
      <c r="BJ17" s="56"/>
    </row>
    <row r="18" spans="2:62" x14ac:dyDescent="0.25">
      <c r="B18" s="28">
        <v>45474</v>
      </c>
      <c r="C18" s="28">
        <v>45504</v>
      </c>
      <c r="D18" s="104">
        <v>4221097.5000000037</v>
      </c>
      <c r="E18" s="104">
        <v>215.62500000001705</v>
      </c>
      <c r="F18" s="105">
        <f t="shared" si="5"/>
        <v>4220881.8750000037</v>
      </c>
      <c r="H18" s="104">
        <v>4721889.3749999842</v>
      </c>
      <c r="I18" s="104">
        <v>193.12499999999488</v>
      </c>
      <c r="J18" s="105">
        <f t="shared" si="6"/>
        <v>4721696.2499999842</v>
      </c>
      <c r="L18" s="104">
        <v>7238412.0000000466</v>
      </c>
      <c r="M18" s="104">
        <v>132.74999999998158</v>
      </c>
      <c r="N18" s="105">
        <f t="shared" si="7"/>
        <v>7238279.2500000466</v>
      </c>
      <c r="O18" s="107"/>
      <c r="P18" s="104">
        <v>5723482.4999999898</v>
      </c>
      <c r="Q18" s="104">
        <v>612.00000000000614</v>
      </c>
      <c r="R18" s="105">
        <f t="shared" si="8"/>
        <v>5722870.4999999898</v>
      </c>
      <c r="T18" s="108">
        <f>302021.67188+327980.55938</f>
        <v>630002.23126000003</v>
      </c>
      <c r="U18" s="108">
        <f>34.82531+37.81856</f>
        <v>72.643869999999993</v>
      </c>
      <c r="V18" s="109">
        <f t="shared" si="4"/>
        <v>629929.58739</v>
      </c>
      <c r="W18" s="109">
        <v>647012.29150401999</v>
      </c>
      <c r="X18" s="109">
        <f t="shared" si="9"/>
        <v>5096718.0508933999</v>
      </c>
      <c r="Y18" s="110"/>
      <c r="Z18" s="111">
        <f t="shared" si="10"/>
        <v>22534883.606260028</v>
      </c>
      <c r="AA18" s="112">
        <f t="shared" si="11"/>
        <v>1226.1438699999994</v>
      </c>
      <c r="AB18" s="112">
        <f t="shared" si="12"/>
        <v>22533657.462390028</v>
      </c>
      <c r="AC18" s="112">
        <f t="shared" si="13"/>
        <v>647012.29150401999</v>
      </c>
      <c r="AD18" s="112">
        <f t="shared" si="14"/>
        <v>5096718.0508933999</v>
      </c>
      <c r="AE18" s="110"/>
      <c r="AF18" s="110"/>
      <c r="BJ18" s="56"/>
    </row>
    <row r="19" spans="2:62" x14ac:dyDescent="0.25">
      <c r="B19" s="28">
        <v>45505</v>
      </c>
      <c r="C19" s="28">
        <v>45535</v>
      </c>
      <c r="D19" s="114">
        <v>2672563</v>
      </c>
      <c r="E19" s="114">
        <v>2205</v>
      </c>
      <c r="F19" s="115">
        <f t="shared" si="5"/>
        <v>2670358</v>
      </c>
      <c r="G19" s="116"/>
      <c r="H19" s="114">
        <v>2418979</v>
      </c>
      <c r="I19" s="114">
        <v>1392</v>
      </c>
      <c r="J19" s="115">
        <f t="shared" si="6"/>
        <v>2417587</v>
      </c>
      <c r="K19" s="116"/>
      <c r="L19" s="114">
        <v>4622380</v>
      </c>
      <c r="M19" s="114">
        <v>4043</v>
      </c>
      <c r="N19" s="115">
        <f t="shared" si="7"/>
        <v>4618337</v>
      </c>
      <c r="O19" s="117"/>
      <c r="P19" s="114">
        <v>4170854</v>
      </c>
      <c r="Q19" s="114">
        <v>2052</v>
      </c>
      <c r="R19" s="115">
        <f t="shared" si="8"/>
        <v>4168802</v>
      </c>
      <c r="S19" s="118"/>
      <c r="T19" s="108">
        <f>86466.80906+78919.00031+77409.525+68905.38</f>
        <v>311700.71437</v>
      </c>
      <c r="U19" s="108">
        <f>1.46063+1.33313+60.705+54.036</f>
        <v>117.53476000000001</v>
      </c>
      <c r="V19" s="119">
        <f t="shared" si="4"/>
        <v>311583.17960999999</v>
      </c>
      <c r="W19" s="109">
        <v>323233.64080168999</v>
      </c>
      <c r="X19" s="109">
        <f t="shared" si="9"/>
        <v>2521658.7792532998</v>
      </c>
      <c r="Y19" s="110"/>
      <c r="Z19" s="111">
        <f t="shared" si="10"/>
        <v>14196476.714369999</v>
      </c>
      <c r="AA19" s="112">
        <f t="shared" si="11"/>
        <v>9809.5347600000005</v>
      </c>
      <c r="AB19" s="112">
        <f t="shared" si="12"/>
        <v>14186667.179609999</v>
      </c>
      <c r="AC19" s="112">
        <f t="shared" si="13"/>
        <v>323233.64080168999</v>
      </c>
      <c r="AD19" s="112">
        <f t="shared" si="14"/>
        <v>2521658.7792532998</v>
      </c>
      <c r="BJ19" s="56"/>
    </row>
    <row r="20" spans="2:62" x14ac:dyDescent="0.25">
      <c r="B20" s="28">
        <v>45536</v>
      </c>
      <c r="C20" s="28">
        <v>45565</v>
      </c>
      <c r="D20" s="104">
        <v>1717762.5</v>
      </c>
      <c r="E20" s="104">
        <v>727.50000000000443</v>
      </c>
      <c r="F20" s="105">
        <f t="shared" si="5"/>
        <v>1717035</v>
      </c>
      <c r="G20" s="106"/>
      <c r="H20" s="104">
        <v>2042227.5000000002</v>
      </c>
      <c r="I20" s="104">
        <v>255.00000000000256</v>
      </c>
      <c r="J20" s="105">
        <f t="shared" si="6"/>
        <v>2041972.5000000002</v>
      </c>
      <c r="K20" s="106"/>
      <c r="L20" s="104">
        <v>3015819</v>
      </c>
      <c r="M20" s="104">
        <v>882.00000000000364</v>
      </c>
      <c r="N20" s="105">
        <f t="shared" si="7"/>
        <v>3014937</v>
      </c>
      <c r="O20" s="107"/>
      <c r="P20" s="104">
        <v>2941902</v>
      </c>
      <c r="Q20" s="104">
        <v>485.9999999999992</v>
      </c>
      <c r="R20" s="105">
        <f t="shared" si="8"/>
        <v>2941416</v>
      </c>
      <c r="T20" s="108">
        <v>0</v>
      </c>
      <c r="U20" s="108">
        <v>0</v>
      </c>
      <c r="V20" s="109">
        <f t="shared" si="4"/>
        <v>0</v>
      </c>
      <c r="W20" s="109">
        <v>0</v>
      </c>
      <c r="X20" s="109">
        <v>0</v>
      </c>
      <c r="Y20" s="110"/>
      <c r="Z20" s="111">
        <f t="shared" si="10"/>
        <v>9717711</v>
      </c>
      <c r="AA20" s="112">
        <f t="shared" si="11"/>
        <v>2350.50000000001</v>
      </c>
      <c r="AB20" s="112">
        <f t="shared" si="12"/>
        <v>9715360.5</v>
      </c>
      <c r="AC20" s="112">
        <f t="shared" si="13"/>
        <v>0</v>
      </c>
      <c r="AD20" s="112">
        <f t="shared" si="14"/>
        <v>0</v>
      </c>
      <c r="BJ20" s="56"/>
    </row>
    <row r="21" spans="2:62" x14ac:dyDescent="0.25">
      <c r="B21" s="28">
        <v>45566</v>
      </c>
      <c r="C21" s="28">
        <v>45596</v>
      </c>
      <c r="D21" s="104">
        <v>811065</v>
      </c>
      <c r="E21" s="104">
        <v>3149.9999999999968</v>
      </c>
      <c r="F21" s="105">
        <f t="shared" si="5"/>
        <v>807915</v>
      </c>
      <c r="G21" s="106"/>
      <c r="H21" s="104">
        <v>899977.50000000023</v>
      </c>
      <c r="I21" s="104">
        <v>1139.999999999997</v>
      </c>
      <c r="J21" s="105">
        <f t="shared" si="6"/>
        <v>898837.50000000023</v>
      </c>
      <c r="K21" s="106"/>
      <c r="L21" s="104">
        <v>1439325.0000000009</v>
      </c>
      <c r="M21" s="104">
        <v>3293.9999999999968</v>
      </c>
      <c r="N21" s="105">
        <f t="shared" si="7"/>
        <v>1436031.0000000009</v>
      </c>
      <c r="O21" s="107"/>
      <c r="P21" s="104">
        <v>1485522</v>
      </c>
      <c r="Q21" s="104">
        <v>2294.9999999999973</v>
      </c>
      <c r="R21" s="105">
        <f t="shared" si="8"/>
        <v>1483227</v>
      </c>
      <c r="T21" s="108">
        <v>0</v>
      </c>
      <c r="U21" s="108">
        <v>0</v>
      </c>
      <c r="V21" s="109">
        <f t="shared" si="4"/>
        <v>0</v>
      </c>
      <c r="W21" s="109">
        <v>0</v>
      </c>
      <c r="X21" s="109">
        <v>0</v>
      </c>
      <c r="Y21" s="110"/>
      <c r="Z21" s="111">
        <f t="shared" si="10"/>
        <v>4635889.5000000009</v>
      </c>
      <c r="AA21" s="112">
        <f t="shared" si="11"/>
        <v>9878.9999999999891</v>
      </c>
      <c r="AB21" s="112">
        <f t="shared" si="12"/>
        <v>4626010.5000000009</v>
      </c>
      <c r="AC21" s="112">
        <f t="shared" si="13"/>
        <v>0</v>
      </c>
      <c r="AD21" s="112">
        <f t="shared" si="14"/>
        <v>0</v>
      </c>
      <c r="BJ21" s="56"/>
    </row>
    <row r="22" spans="2:62" x14ac:dyDescent="0.25">
      <c r="B22" s="28">
        <v>45597</v>
      </c>
      <c r="C22" s="28">
        <v>45626</v>
      </c>
      <c r="D22" s="104">
        <v>1186260.0000000002</v>
      </c>
      <c r="E22" s="104">
        <v>1080.0000000000036</v>
      </c>
      <c r="F22" s="105">
        <f t="shared" si="5"/>
        <v>1185180.0000000002</v>
      </c>
      <c r="G22" s="106"/>
      <c r="H22" s="104">
        <v>1141537.4999999995</v>
      </c>
      <c r="I22" s="104">
        <v>884.99999999999977</v>
      </c>
      <c r="J22" s="105">
        <f t="shared" si="6"/>
        <v>1140652.4999999995</v>
      </c>
      <c r="K22" s="106"/>
      <c r="L22" s="104">
        <v>1993166.9999999993</v>
      </c>
      <c r="M22" s="104">
        <v>711.00000000000568</v>
      </c>
      <c r="N22" s="105">
        <f t="shared" si="7"/>
        <v>1992455.9999999993</v>
      </c>
      <c r="O22" s="107"/>
      <c r="P22" s="104">
        <v>2077406.9999999995</v>
      </c>
      <c r="Q22" s="104">
        <v>1061.9999999999998</v>
      </c>
      <c r="R22" s="105">
        <f t="shared" si="8"/>
        <v>2076344.9999999995</v>
      </c>
      <c r="T22" s="108">
        <v>0</v>
      </c>
      <c r="U22" s="108">
        <v>0</v>
      </c>
      <c r="V22" s="109">
        <f t="shared" si="4"/>
        <v>0</v>
      </c>
      <c r="W22" s="109">
        <v>0</v>
      </c>
      <c r="X22" s="109">
        <v>0</v>
      </c>
      <c r="Y22" s="110"/>
      <c r="Z22" s="111">
        <f t="shared" si="10"/>
        <v>6398371.4999999981</v>
      </c>
      <c r="AA22" s="112">
        <f t="shared" si="11"/>
        <v>3738.0000000000091</v>
      </c>
      <c r="AB22" s="112">
        <f t="shared" si="12"/>
        <v>6394633.4999999981</v>
      </c>
      <c r="AC22" s="112">
        <f t="shared" si="13"/>
        <v>0</v>
      </c>
      <c r="AD22" s="112">
        <f t="shared" si="14"/>
        <v>0</v>
      </c>
      <c r="BJ22" s="56"/>
    </row>
    <row r="23" spans="2:62" x14ac:dyDescent="0.25">
      <c r="B23" s="28">
        <v>45627</v>
      </c>
      <c r="C23" s="28">
        <v>45657</v>
      </c>
      <c r="D23" s="104">
        <v>834277.50000000058</v>
      </c>
      <c r="E23" s="104">
        <v>2377.4999999999959</v>
      </c>
      <c r="F23" s="105">
        <f t="shared" si="5"/>
        <v>831900.00000000058</v>
      </c>
      <c r="G23" s="106"/>
      <c r="H23" s="104">
        <v>837247.5</v>
      </c>
      <c r="I23" s="104">
        <v>2040.0000000000045</v>
      </c>
      <c r="J23" s="105">
        <f t="shared" si="6"/>
        <v>835207.5</v>
      </c>
      <c r="K23" s="106"/>
      <c r="L23" s="104">
        <v>1327050</v>
      </c>
      <c r="M23" s="104">
        <v>2582.9999999999977</v>
      </c>
      <c r="N23" s="105">
        <f t="shared" si="7"/>
        <v>1324467</v>
      </c>
      <c r="O23" s="107"/>
      <c r="P23" s="104">
        <v>516825.9</v>
      </c>
      <c r="Q23" s="104">
        <v>1315.35</v>
      </c>
      <c r="R23" s="105">
        <f t="shared" si="8"/>
        <v>515510.55000000005</v>
      </c>
      <c r="T23" s="108">
        <v>0</v>
      </c>
      <c r="U23" s="108">
        <v>0</v>
      </c>
      <c r="V23" s="109">
        <f t="shared" si="4"/>
        <v>0</v>
      </c>
      <c r="W23" s="109">
        <v>0</v>
      </c>
      <c r="X23" s="109">
        <v>0</v>
      </c>
      <c r="Y23" s="110"/>
      <c r="Z23" s="111">
        <f t="shared" si="10"/>
        <v>3515400.9000000004</v>
      </c>
      <c r="AA23" s="112">
        <f>E23+I23+M23+Q23+U23</f>
        <v>8315.8499999999985</v>
      </c>
      <c r="AB23" s="112">
        <f t="shared" si="12"/>
        <v>3507085.0500000003</v>
      </c>
      <c r="AC23" s="112">
        <f t="shared" si="13"/>
        <v>0</v>
      </c>
      <c r="AD23" s="112">
        <f t="shared" si="14"/>
        <v>0</v>
      </c>
      <c r="BJ23" s="56"/>
    </row>
    <row r="24" spans="2:62" s="83" customFormat="1" ht="27.75" customHeight="1" thickBot="1" x14ac:dyDescent="0.4">
      <c r="B24" s="120" t="s">
        <v>2</v>
      </c>
      <c r="C24" s="121"/>
      <c r="D24" s="122">
        <f>SUM(D12:D23)</f>
        <v>17414874.249999981</v>
      </c>
      <c r="E24" s="123">
        <f>SUM(E12:E23)</f>
        <v>18271.874999999989</v>
      </c>
      <c r="F24" s="124">
        <f>SUM(F12:F23)</f>
        <v>17396602.374999981</v>
      </c>
      <c r="H24" s="122">
        <f>SUM(H12:H23)</f>
        <v>19301060.875</v>
      </c>
      <c r="I24" s="123">
        <f>SUM(I12:I23)</f>
        <v>12188.250000000018</v>
      </c>
      <c r="J24" s="124">
        <f>SUM(J12:J23)</f>
        <v>19288872.625</v>
      </c>
      <c r="K24" s="56"/>
      <c r="L24" s="125">
        <f>SUM(L12:L23)</f>
        <v>30212332.000000045</v>
      </c>
      <c r="M24" s="126">
        <f>SUM(M12:M23)</f>
        <v>21878.749999999989</v>
      </c>
      <c r="N24" s="127">
        <f>SUM(N12:N23)</f>
        <v>30190453.250000045</v>
      </c>
      <c r="O24" s="107"/>
      <c r="P24" s="125">
        <f>SUM(P12:P23)</f>
        <v>27890132.149999976</v>
      </c>
      <c r="Q24" s="126">
        <f>SUM(Q12:Q23)</f>
        <v>15890.850000000008</v>
      </c>
      <c r="R24" s="127">
        <f>SUM(R12:R23)</f>
        <v>27874241.299999978</v>
      </c>
      <c r="T24" s="128">
        <f>SUM(T12:T23)</f>
        <v>2190795.6540899999</v>
      </c>
      <c r="U24" s="128">
        <f>SUM(U12:U23)</f>
        <v>1496.2891599999998</v>
      </c>
      <c r="V24" s="128">
        <f>SUM(V12:V23)</f>
        <v>2189299.3649300002</v>
      </c>
      <c r="W24" s="128">
        <f>SUM(W12:W23)</f>
        <v>2251877.6122596599</v>
      </c>
      <c r="X24" s="128">
        <f>SUM(X12:X23)</f>
        <v>17723536.841588099</v>
      </c>
      <c r="Y24" s="129"/>
      <c r="Z24" s="130">
        <f>SUM(Z12:Z23)</f>
        <v>97009194.929090008</v>
      </c>
      <c r="AA24" s="131">
        <f>SUM(AA12:AA23)</f>
        <v>69726.014160000006</v>
      </c>
      <c r="AB24" s="132">
        <f>SUM(AB12:AB23)</f>
        <v>96939468.914930001</v>
      </c>
      <c r="AC24" s="132">
        <f t="shared" si="13"/>
        <v>2251877.6122596599</v>
      </c>
      <c r="AD24" s="132">
        <f t="shared" si="14"/>
        <v>17723536.841588099</v>
      </c>
      <c r="AE24" s="110"/>
      <c r="AF24" s="110"/>
    </row>
    <row r="25" spans="2:62" ht="12.5" customHeight="1" x14ac:dyDescent="0.35">
      <c r="F25" s="133"/>
      <c r="J25" s="99"/>
      <c r="O25" s="106"/>
      <c r="R25" s="106"/>
      <c r="T25" s="139" t="s">
        <v>69</v>
      </c>
      <c r="U25" s="139"/>
      <c r="V25" s="139"/>
      <c r="W25" s="139"/>
      <c r="X25" s="139"/>
      <c r="Y25" s="106"/>
      <c r="AE25" s="110"/>
      <c r="AF25" s="110"/>
      <c r="AL25" s="106"/>
      <c r="AR25" s="106"/>
      <c r="AX25" s="106"/>
      <c r="BB25" s="133"/>
      <c r="BC25" s="133"/>
      <c r="BF25" s="106"/>
      <c r="BJ25" s="134"/>
    </row>
    <row r="26" spans="2:62" x14ac:dyDescent="0.35">
      <c r="B26" s="83"/>
      <c r="C26" s="135"/>
      <c r="F26" s="133"/>
      <c r="J26" s="99"/>
      <c r="O26" s="106"/>
      <c r="R26" s="106"/>
      <c r="T26" s="139"/>
      <c r="U26" s="139"/>
      <c r="V26" s="139"/>
      <c r="W26" s="139"/>
      <c r="X26" s="139"/>
      <c r="Y26" s="106"/>
      <c r="Z26" s="56" t="s">
        <v>49</v>
      </c>
      <c r="AE26" s="110"/>
      <c r="AF26" s="110"/>
      <c r="AL26" s="106"/>
      <c r="AR26" s="106"/>
      <c r="AX26" s="106"/>
      <c r="BB26" s="133"/>
      <c r="BC26" s="133"/>
      <c r="BF26" s="106"/>
      <c r="BJ26" s="134"/>
    </row>
    <row r="27" spans="2:62" x14ac:dyDescent="0.35">
      <c r="T27" s="139"/>
      <c r="U27" s="139"/>
      <c r="V27" s="139"/>
      <c r="W27" s="139"/>
      <c r="X27" s="139"/>
    </row>
    <row r="28" spans="2:62" x14ac:dyDescent="0.35">
      <c r="T28" s="139"/>
      <c r="U28" s="139"/>
      <c r="V28" s="139"/>
      <c r="W28" s="139"/>
      <c r="X28" s="139"/>
    </row>
    <row r="46" spans="20:21" x14ac:dyDescent="0.35">
      <c r="T46" s="136"/>
      <c r="U46" s="136"/>
    </row>
    <row r="47" spans="20:21" x14ac:dyDescent="0.35">
      <c r="T47" s="136"/>
      <c r="U47" s="136"/>
    </row>
    <row r="48" spans="20:21" x14ac:dyDescent="0.35">
      <c r="T48" s="136"/>
      <c r="U48" s="136"/>
    </row>
    <row r="49" spans="20:21" x14ac:dyDescent="0.35">
      <c r="T49" s="136"/>
      <c r="U49" s="136"/>
    </row>
    <row r="50" spans="20:21" x14ac:dyDescent="0.35">
      <c r="T50" s="136"/>
      <c r="U50" s="136"/>
    </row>
    <row r="51" spans="20:21" x14ac:dyDescent="0.35">
      <c r="T51" s="136"/>
      <c r="U51" s="136"/>
    </row>
    <row r="52" spans="20:21" x14ac:dyDescent="0.35">
      <c r="T52" s="136"/>
      <c r="U52" s="136"/>
    </row>
    <row r="53" spans="20:21" x14ac:dyDescent="0.35">
      <c r="T53" s="136"/>
      <c r="U53" s="136"/>
    </row>
    <row r="54" spans="20:21" x14ac:dyDescent="0.35">
      <c r="T54" s="136"/>
      <c r="U54" s="136"/>
    </row>
  </sheetData>
  <mergeCells count="24">
    <mergeCell ref="D7:F7"/>
    <mergeCell ref="H7:J7"/>
    <mergeCell ref="L7:N7"/>
    <mergeCell ref="T9:X9"/>
    <mergeCell ref="T8:X8"/>
    <mergeCell ref="T7:X7"/>
    <mergeCell ref="T25:X28"/>
    <mergeCell ref="B1:K1"/>
    <mergeCell ref="B2:K2"/>
    <mergeCell ref="B3:K3"/>
    <mergeCell ref="B4:K4"/>
    <mergeCell ref="B5:K5"/>
    <mergeCell ref="B24:C24"/>
    <mergeCell ref="Z9:AB9"/>
    <mergeCell ref="H8:J8"/>
    <mergeCell ref="D8:F8"/>
    <mergeCell ref="B7:C10"/>
    <mergeCell ref="P8:R8"/>
    <mergeCell ref="P9:R9"/>
    <mergeCell ref="L8:N8"/>
    <mergeCell ref="P7:R7"/>
    <mergeCell ref="L9:N9"/>
    <mergeCell ref="H9:J9"/>
    <mergeCell ref="D9:F9"/>
  </mergeCells>
  <conditionalFormatting sqref="Y12:Y23">
    <cfRule type="cellIs" dxfId="0" priority="1" operator="lessThan">
      <formula>0</formula>
    </cfRule>
  </conditionalFormatting>
  <pageMargins left="0.7" right="0.7" top="0.75" bottom="0.75" header="0.3" footer="0.3"/>
  <pageSetup paperSize="9" orientation="portrait" verticalDpi="300" r:id="rId1"/>
  <ignoredErrors>
    <ignoredError sqref="S24 O24 K24 G2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5"/>
  <sheetViews>
    <sheetView zoomScale="71" zoomScaleNormal="145" workbookViewId="0">
      <selection activeCell="A10" sqref="A10"/>
    </sheetView>
  </sheetViews>
  <sheetFormatPr defaultRowHeight="11.5" x14ac:dyDescent="0.25"/>
  <cols>
    <col min="1" max="2" width="8.7265625" style="16"/>
    <col min="3" max="3" width="14.453125" style="16" bestFit="1" customWidth="1"/>
    <col min="4" max="4" width="9.1796875" style="16" bestFit="1" customWidth="1"/>
    <col min="5" max="16384" width="8.7265625" style="16"/>
  </cols>
  <sheetData>
    <row r="1" spans="1:5" ht="41.15" customHeight="1" x14ac:dyDescent="0.25">
      <c r="A1" s="7" t="s">
        <v>50</v>
      </c>
      <c r="B1" s="9" t="s">
        <v>51</v>
      </c>
      <c r="C1" s="11" t="s">
        <v>52</v>
      </c>
      <c r="D1" s="11" t="s">
        <v>53</v>
      </c>
      <c r="E1" s="11" t="s">
        <v>54</v>
      </c>
    </row>
    <row r="2" spans="1:5" ht="12" thickBot="1" x14ac:dyDescent="0.3">
      <c r="A2" s="8"/>
      <c r="B2" s="10"/>
      <c r="C2" s="11"/>
      <c r="D2" s="11"/>
      <c r="E2" s="11"/>
    </row>
    <row r="3" spans="1:5" ht="12" thickBot="1" x14ac:dyDescent="0.3">
      <c r="A3" s="1">
        <v>1</v>
      </c>
      <c r="B3" s="2">
        <v>19</v>
      </c>
      <c r="C3" s="3">
        <v>40915</v>
      </c>
      <c r="D3" s="4">
        <v>45663</v>
      </c>
      <c r="E3" s="5">
        <v>3</v>
      </c>
    </row>
    <row r="4" spans="1:5" ht="12" thickBot="1" x14ac:dyDescent="0.3">
      <c r="A4" s="1">
        <v>2</v>
      </c>
      <c r="B4" s="2">
        <v>20</v>
      </c>
      <c r="C4" s="3">
        <v>40915</v>
      </c>
      <c r="D4" s="4">
        <v>45663</v>
      </c>
      <c r="E4" s="5"/>
    </row>
    <row r="5" spans="1:5" ht="12" thickBot="1" x14ac:dyDescent="0.3">
      <c r="A5" s="1">
        <v>3</v>
      </c>
      <c r="B5" s="2">
        <v>21</v>
      </c>
      <c r="C5" s="3">
        <v>40915</v>
      </c>
      <c r="D5" s="4">
        <v>45663</v>
      </c>
      <c r="E5" s="5"/>
    </row>
    <row r="6" spans="1:5" ht="12" thickBot="1" x14ac:dyDescent="0.3">
      <c r="A6" s="1">
        <v>4</v>
      </c>
      <c r="B6" s="2">
        <v>22</v>
      </c>
      <c r="C6" s="3">
        <v>40915</v>
      </c>
      <c r="D6" s="4">
        <v>45663</v>
      </c>
      <c r="E6" s="5"/>
    </row>
    <row r="7" spans="1:5" ht="12" thickBot="1" x14ac:dyDescent="0.3">
      <c r="A7" s="1">
        <v>5</v>
      </c>
      <c r="B7" s="2">
        <v>23</v>
      </c>
      <c r="C7" s="3">
        <v>40915</v>
      </c>
      <c r="D7" s="4">
        <v>45663</v>
      </c>
      <c r="E7" s="5"/>
    </row>
    <row r="8" spans="1:5" ht="12" thickBot="1" x14ac:dyDescent="0.3">
      <c r="A8" s="1">
        <v>6</v>
      </c>
      <c r="B8" s="2">
        <v>24</v>
      </c>
      <c r="C8" s="3">
        <v>40915</v>
      </c>
      <c r="D8" s="4">
        <v>45663</v>
      </c>
      <c r="E8" s="5"/>
    </row>
    <row r="9" spans="1:5" ht="12" thickBot="1" x14ac:dyDescent="0.3">
      <c r="A9" s="1">
        <v>7</v>
      </c>
      <c r="B9" s="2">
        <v>25</v>
      </c>
      <c r="C9" s="3">
        <v>40915</v>
      </c>
      <c r="D9" s="4">
        <v>45663</v>
      </c>
      <c r="E9" s="5"/>
    </row>
    <row r="10" spans="1:5" ht="12" thickBot="1" x14ac:dyDescent="0.3">
      <c r="A10" s="1">
        <v>8</v>
      </c>
      <c r="B10" s="2">
        <v>26</v>
      </c>
      <c r="C10" s="3">
        <v>40915</v>
      </c>
      <c r="D10" s="4">
        <v>45663</v>
      </c>
      <c r="E10" s="5"/>
    </row>
    <row r="11" spans="1:5" ht="12" thickBot="1" x14ac:dyDescent="0.3">
      <c r="A11" s="1">
        <v>9</v>
      </c>
      <c r="B11" s="2">
        <v>27</v>
      </c>
      <c r="C11" s="3">
        <v>40915</v>
      </c>
      <c r="D11" s="4">
        <v>45663</v>
      </c>
      <c r="E11" s="5"/>
    </row>
    <row r="12" spans="1:5" ht="12" thickBot="1" x14ac:dyDescent="0.3">
      <c r="A12" s="1">
        <v>10</v>
      </c>
      <c r="B12" s="2">
        <v>28</v>
      </c>
      <c r="C12" s="3">
        <v>40915</v>
      </c>
      <c r="D12" s="4">
        <v>45663</v>
      </c>
      <c r="E12" s="5"/>
    </row>
    <row r="13" spans="1:5" ht="12" thickBot="1" x14ac:dyDescent="0.3">
      <c r="A13" s="1">
        <v>11</v>
      </c>
      <c r="B13" s="2">
        <v>29</v>
      </c>
      <c r="C13" s="3">
        <v>40915</v>
      </c>
      <c r="D13" s="4">
        <v>45663</v>
      </c>
      <c r="E13" s="5"/>
    </row>
    <row r="14" spans="1:5" ht="12" thickBot="1" x14ac:dyDescent="0.3">
      <c r="A14" s="1">
        <v>12</v>
      </c>
      <c r="B14" s="2">
        <v>30</v>
      </c>
      <c r="C14" s="3">
        <v>40915</v>
      </c>
      <c r="D14" s="4">
        <v>45663</v>
      </c>
      <c r="E14" s="5"/>
    </row>
    <row r="15" spans="1:5" ht="12" thickBot="1" x14ac:dyDescent="0.3">
      <c r="A15" s="1">
        <v>13</v>
      </c>
      <c r="B15" s="2">
        <v>31</v>
      </c>
      <c r="C15" s="3">
        <v>40915</v>
      </c>
      <c r="D15" s="4">
        <v>45663</v>
      </c>
      <c r="E15" s="5"/>
    </row>
    <row r="16" spans="1:5" ht="12" thickBot="1" x14ac:dyDescent="0.3">
      <c r="A16" s="1">
        <v>14</v>
      </c>
      <c r="B16" s="2">
        <v>32</v>
      </c>
      <c r="C16" s="3">
        <v>40915</v>
      </c>
      <c r="D16" s="4">
        <v>45663</v>
      </c>
      <c r="E16" s="5"/>
    </row>
    <row r="17" spans="1:5" ht="12" thickBot="1" x14ac:dyDescent="0.3">
      <c r="A17" s="1">
        <v>15</v>
      </c>
      <c r="B17" s="2">
        <v>33</v>
      </c>
      <c r="C17" s="3">
        <v>40915</v>
      </c>
      <c r="D17" s="4">
        <v>45663</v>
      </c>
      <c r="E17" s="5"/>
    </row>
    <row r="18" spans="1:5" ht="12" thickBot="1" x14ac:dyDescent="0.3">
      <c r="A18" s="1">
        <v>16</v>
      </c>
      <c r="B18" s="2">
        <v>34</v>
      </c>
      <c r="C18" s="3">
        <v>40915</v>
      </c>
      <c r="D18" s="4">
        <v>45663</v>
      </c>
      <c r="E18" s="5"/>
    </row>
    <row r="19" spans="1:5" ht="12" thickBot="1" x14ac:dyDescent="0.3">
      <c r="A19" s="1">
        <v>17</v>
      </c>
      <c r="B19" s="2">
        <v>35</v>
      </c>
      <c r="C19" s="3">
        <v>40948</v>
      </c>
      <c r="D19" s="3">
        <v>45696</v>
      </c>
      <c r="E19" s="5"/>
    </row>
    <row r="20" spans="1:5" ht="12" thickBot="1" x14ac:dyDescent="0.3">
      <c r="A20" s="1">
        <v>18</v>
      </c>
      <c r="B20" s="2">
        <v>36</v>
      </c>
      <c r="C20" s="3">
        <v>40948</v>
      </c>
      <c r="D20" s="3">
        <v>45696</v>
      </c>
      <c r="E20" s="5"/>
    </row>
    <row r="21" spans="1:5" ht="12" thickBot="1" x14ac:dyDescent="0.3">
      <c r="A21" s="1">
        <v>19</v>
      </c>
      <c r="B21" s="2">
        <v>500</v>
      </c>
      <c r="C21" s="3">
        <v>40915</v>
      </c>
      <c r="D21" s="3">
        <v>45663</v>
      </c>
      <c r="E21" s="5"/>
    </row>
    <row r="22" spans="1:5" ht="12" thickBot="1" x14ac:dyDescent="0.3">
      <c r="A22" s="1">
        <v>20</v>
      </c>
      <c r="B22" s="2">
        <v>96</v>
      </c>
      <c r="C22" s="3">
        <v>40774</v>
      </c>
      <c r="D22" s="3">
        <v>45522</v>
      </c>
      <c r="E22" s="5">
        <v>8</v>
      </c>
    </row>
    <row r="23" spans="1:5" ht="12" thickBot="1" x14ac:dyDescent="0.3">
      <c r="A23" s="1">
        <v>21</v>
      </c>
      <c r="B23" s="2">
        <v>97</v>
      </c>
      <c r="C23" s="3">
        <v>40774</v>
      </c>
      <c r="D23" s="3">
        <v>45522</v>
      </c>
      <c r="E23" s="5"/>
    </row>
    <row r="24" spans="1:5" ht="12" thickBot="1" x14ac:dyDescent="0.3">
      <c r="A24" s="1">
        <v>22</v>
      </c>
      <c r="B24" s="2">
        <v>107</v>
      </c>
      <c r="C24" s="3">
        <v>40915</v>
      </c>
      <c r="D24" s="4">
        <v>45663</v>
      </c>
      <c r="E24" s="5">
        <v>5</v>
      </c>
    </row>
    <row r="25" spans="1:5" ht="12" thickBot="1" x14ac:dyDescent="0.3">
      <c r="A25" s="1">
        <v>23</v>
      </c>
      <c r="B25" s="2">
        <v>108</v>
      </c>
      <c r="C25" s="3">
        <v>40915</v>
      </c>
      <c r="D25" s="4">
        <v>45663</v>
      </c>
      <c r="E25" s="5"/>
    </row>
    <row r="26" spans="1:5" ht="12" thickBot="1" x14ac:dyDescent="0.3">
      <c r="A26" s="1">
        <v>24</v>
      </c>
      <c r="B26" s="2">
        <v>109</v>
      </c>
      <c r="C26" s="3">
        <v>40915</v>
      </c>
      <c r="D26" s="4">
        <v>45663</v>
      </c>
      <c r="E26" s="5"/>
    </row>
    <row r="27" spans="1:5" ht="12" thickBot="1" x14ac:dyDescent="0.3">
      <c r="A27" s="1">
        <v>25</v>
      </c>
      <c r="B27" s="2">
        <v>110</v>
      </c>
      <c r="C27" s="3">
        <v>40915</v>
      </c>
      <c r="D27" s="4">
        <v>45663</v>
      </c>
      <c r="E27" s="5"/>
    </row>
    <row r="28" spans="1:5" ht="12" thickBot="1" x14ac:dyDescent="0.3">
      <c r="A28" s="1">
        <v>26</v>
      </c>
      <c r="B28" s="2">
        <v>111</v>
      </c>
      <c r="C28" s="3">
        <v>40915</v>
      </c>
      <c r="D28" s="4">
        <v>45663</v>
      </c>
      <c r="E28" s="5"/>
    </row>
    <row r="29" spans="1:5" ht="12" thickBot="1" x14ac:dyDescent="0.3">
      <c r="A29" s="1">
        <v>27</v>
      </c>
      <c r="B29" s="2">
        <v>112</v>
      </c>
      <c r="C29" s="3">
        <v>40915</v>
      </c>
      <c r="D29" s="4">
        <v>45663</v>
      </c>
      <c r="E29" s="5"/>
    </row>
    <row r="30" spans="1:5" ht="12" thickBot="1" x14ac:dyDescent="0.3">
      <c r="A30" s="1">
        <v>28</v>
      </c>
      <c r="B30" s="2">
        <v>113</v>
      </c>
      <c r="C30" s="3">
        <v>40915</v>
      </c>
      <c r="D30" s="4">
        <v>45663</v>
      </c>
      <c r="E30" s="5"/>
    </row>
    <row r="31" spans="1:5" ht="12" thickBot="1" x14ac:dyDescent="0.3">
      <c r="A31" s="1">
        <v>29</v>
      </c>
      <c r="B31" s="2">
        <v>115</v>
      </c>
      <c r="C31" s="3">
        <v>40915</v>
      </c>
      <c r="D31" s="4">
        <v>45663</v>
      </c>
      <c r="E31" s="5"/>
    </row>
    <row r="32" spans="1:5" ht="12" thickBot="1" x14ac:dyDescent="0.3">
      <c r="A32" s="1">
        <v>30</v>
      </c>
      <c r="B32" s="2">
        <v>116</v>
      </c>
      <c r="C32" s="3">
        <v>40915</v>
      </c>
      <c r="D32" s="4">
        <v>45663</v>
      </c>
      <c r="E32" s="5"/>
    </row>
    <row r="33" spans="1:5" ht="12" thickBot="1" x14ac:dyDescent="0.3">
      <c r="A33" s="1">
        <v>31</v>
      </c>
      <c r="B33" s="2">
        <v>117</v>
      </c>
      <c r="C33" s="3">
        <v>40915</v>
      </c>
      <c r="D33" s="4">
        <v>45663</v>
      </c>
      <c r="E33" s="5"/>
    </row>
    <row r="34" spans="1:5" ht="12" thickBot="1" x14ac:dyDescent="0.3">
      <c r="A34" s="1">
        <v>32</v>
      </c>
      <c r="B34" s="2">
        <v>118</v>
      </c>
      <c r="C34" s="3">
        <v>40915</v>
      </c>
      <c r="D34" s="4">
        <v>45663</v>
      </c>
      <c r="E34" s="5"/>
    </row>
    <row r="35" spans="1:5" ht="12" thickBot="1" x14ac:dyDescent="0.3">
      <c r="A35" s="1">
        <v>33</v>
      </c>
      <c r="B35" s="2">
        <v>119</v>
      </c>
      <c r="C35" s="3">
        <v>40915</v>
      </c>
      <c r="D35" s="4">
        <v>45663</v>
      </c>
      <c r="E35" s="5"/>
    </row>
    <row r="36" spans="1:5" ht="12" thickBot="1" x14ac:dyDescent="0.3">
      <c r="A36" s="1">
        <v>34</v>
      </c>
      <c r="B36" s="2">
        <v>120</v>
      </c>
      <c r="C36" s="3">
        <v>40915</v>
      </c>
      <c r="D36" s="4">
        <v>45663</v>
      </c>
      <c r="E36" s="5"/>
    </row>
    <row r="37" spans="1:5" ht="12" thickBot="1" x14ac:dyDescent="0.3">
      <c r="A37" s="1">
        <v>35</v>
      </c>
      <c r="B37" s="2">
        <v>121</v>
      </c>
      <c r="C37" s="3">
        <v>40915</v>
      </c>
      <c r="D37" s="4">
        <v>45663</v>
      </c>
      <c r="E37" s="5"/>
    </row>
    <row r="38" spans="1:5" ht="12" thickBot="1" x14ac:dyDescent="0.3">
      <c r="A38" s="1">
        <v>36</v>
      </c>
      <c r="B38" s="2">
        <v>122</v>
      </c>
      <c r="C38" s="3">
        <v>40915</v>
      </c>
      <c r="D38" s="4">
        <v>45663</v>
      </c>
      <c r="E38" s="5"/>
    </row>
    <row r="39" spans="1:5" ht="12" thickBot="1" x14ac:dyDescent="0.3">
      <c r="A39" s="1">
        <v>37</v>
      </c>
      <c r="B39" s="2">
        <v>123</v>
      </c>
      <c r="C39" s="3">
        <v>40948</v>
      </c>
      <c r="D39" s="3">
        <v>45696</v>
      </c>
      <c r="E39" s="5"/>
    </row>
    <row r="40" spans="1:5" ht="12" thickBot="1" x14ac:dyDescent="0.3">
      <c r="A40" s="1">
        <v>38</v>
      </c>
      <c r="B40" s="2">
        <v>124</v>
      </c>
      <c r="C40" s="3">
        <v>40948</v>
      </c>
      <c r="D40" s="3">
        <v>45696</v>
      </c>
      <c r="E40" s="5"/>
    </row>
    <row r="41" spans="1:5" ht="12" thickBot="1" x14ac:dyDescent="0.3">
      <c r="A41" s="1">
        <v>39</v>
      </c>
      <c r="B41" s="2">
        <v>511</v>
      </c>
      <c r="C41" s="3">
        <v>40889</v>
      </c>
      <c r="D41" s="4">
        <v>45637</v>
      </c>
      <c r="E41" s="5"/>
    </row>
    <row r="42" spans="1:5" ht="12" thickBot="1" x14ac:dyDescent="0.3">
      <c r="A42" s="1">
        <v>40</v>
      </c>
      <c r="B42" s="2">
        <v>190</v>
      </c>
      <c r="C42" s="3">
        <v>40952</v>
      </c>
      <c r="D42" s="3">
        <v>45700</v>
      </c>
      <c r="E42" s="6">
        <v>1</v>
      </c>
    </row>
    <row r="43" spans="1:5" ht="12" thickBot="1" x14ac:dyDescent="0.3">
      <c r="A43" s="1">
        <v>41</v>
      </c>
      <c r="B43" s="2">
        <v>191</v>
      </c>
      <c r="C43" s="3">
        <v>40952</v>
      </c>
      <c r="D43" s="3">
        <v>45700</v>
      </c>
      <c r="E43" s="6"/>
    </row>
    <row r="44" spans="1:5" ht="12" thickBot="1" x14ac:dyDescent="0.3">
      <c r="A44" s="1">
        <v>42</v>
      </c>
      <c r="B44" s="2">
        <v>193</v>
      </c>
      <c r="C44" s="3">
        <v>40952</v>
      </c>
      <c r="D44" s="3">
        <v>45700</v>
      </c>
      <c r="E44" s="6"/>
    </row>
    <row r="45" spans="1:5" ht="12" thickBot="1" x14ac:dyDescent="0.3">
      <c r="A45" s="1">
        <v>43</v>
      </c>
      <c r="B45" s="2">
        <v>194</v>
      </c>
      <c r="C45" s="3">
        <v>40952</v>
      </c>
      <c r="D45" s="3">
        <v>45700</v>
      </c>
      <c r="E45" s="6"/>
    </row>
    <row r="46" spans="1:5" ht="12" thickBot="1" x14ac:dyDescent="0.3">
      <c r="A46" s="1">
        <v>44</v>
      </c>
      <c r="B46" s="2">
        <v>195</v>
      </c>
      <c r="C46" s="3">
        <v>40952</v>
      </c>
      <c r="D46" s="3">
        <v>45700</v>
      </c>
      <c r="E46" s="6"/>
    </row>
    <row r="47" spans="1:5" ht="12" thickBot="1" x14ac:dyDescent="0.3">
      <c r="A47" s="1">
        <v>45</v>
      </c>
      <c r="B47" s="2">
        <v>196</v>
      </c>
      <c r="C47" s="3">
        <v>40952</v>
      </c>
      <c r="D47" s="3">
        <v>45700</v>
      </c>
      <c r="E47" s="6"/>
    </row>
    <row r="48" spans="1:5" ht="12" thickBot="1" x14ac:dyDescent="0.3">
      <c r="A48" s="1">
        <v>46</v>
      </c>
      <c r="B48" s="2">
        <v>197</v>
      </c>
      <c r="C48" s="3">
        <v>40952</v>
      </c>
      <c r="D48" s="3">
        <v>45700</v>
      </c>
      <c r="E48" s="6"/>
    </row>
    <row r="49" spans="1:5" ht="12" thickBot="1" x14ac:dyDescent="0.3">
      <c r="A49" s="1">
        <v>47</v>
      </c>
      <c r="B49" s="2">
        <v>198</v>
      </c>
      <c r="C49" s="3">
        <v>40952</v>
      </c>
      <c r="D49" s="3">
        <v>45700</v>
      </c>
      <c r="E49" s="6"/>
    </row>
    <row r="50" spans="1:5" ht="12" thickBot="1" x14ac:dyDescent="0.3">
      <c r="A50" s="1">
        <v>48</v>
      </c>
      <c r="B50" s="2">
        <v>199</v>
      </c>
      <c r="C50" s="3">
        <v>40990</v>
      </c>
      <c r="D50" s="3">
        <v>45737</v>
      </c>
      <c r="E50" s="6"/>
    </row>
    <row r="51" spans="1:5" ht="12" thickBot="1" x14ac:dyDescent="0.3">
      <c r="A51" s="1">
        <v>49</v>
      </c>
      <c r="B51" s="2">
        <v>200</v>
      </c>
      <c r="C51" s="3">
        <v>40990</v>
      </c>
      <c r="D51" s="3">
        <v>45737</v>
      </c>
      <c r="E51" s="6"/>
    </row>
    <row r="52" spans="1:5" ht="12" thickBot="1" x14ac:dyDescent="0.3">
      <c r="A52" s="1">
        <v>50</v>
      </c>
      <c r="B52" s="2">
        <v>201</v>
      </c>
      <c r="C52" s="3">
        <v>40971</v>
      </c>
      <c r="D52" s="3">
        <v>45718</v>
      </c>
      <c r="E52" s="6"/>
    </row>
    <row r="53" spans="1:5" ht="12" thickBot="1" x14ac:dyDescent="0.3">
      <c r="A53" s="1">
        <v>51</v>
      </c>
      <c r="B53" s="2">
        <v>202</v>
      </c>
      <c r="C53" s="3">
        <v>40990</v>
      </c>
      <c r="D53" s="3">
        <v>45737</v>
      </c>
      <c r="E53" s="6">
        <v>2</v>
      </c>
    </row>
    <row r="54" spans="1:5" ht="12" thickBot="1" x14ac:dyDescent="0.3">
      <c r="A54" s="1">
        <v>52</v>
      </c>
      <c r="B54" s="2">
        <v>203</v>
      </c>
      <c r="C54" s="3">
        <v>40990</v>
      </c>
      <c r="D54" s="3">
        <v>45737</v>
      </c>
      <c r="E54" s="6"/>
    </row>
    <row r="55" spans="1:5" ht="12" thickBot="1" x14ac:dyDescent="0.3">
      <c r="A55" s="1">
        <v>53</v>
      </c>
      <c r="B55" s="2">
        <v>204</v>
      </c>
      <c r="C55" s="3">
        <v>40971</v>
      </c>
      <c r="D55" s="3">
        <v>45718</v>
      </c>
      <c r="E55" s="6"/>
    </row>
    <row r="56" spans="1:5" ht="12" thickBot="1" x14ac:dyDescent="0.3">
      <c r="A56" s="1">
        <v>54</v>
      </c>
      <c r="B56" s="2">
        <v>205</v>
      </c>
      <c r="C56" s="3">
        <v>40971</v>
      </c>
      <c r="D56" s="3">
        <v>45718</v>
      </c>
      <c r="E56" s="6"/>
    </row>
    <row r="57" spans="1:5" ht="12" thickBot="1" x14ac:dyDescent="0.3">
      <c r="A57" s="1">
        <v>55</v>
      </c>
      <c r="B57" s="2">
        <v>206</v>
      </c>
      <c r="C57" s="3">
        <v>40971</v>
      </c>
      <c r="D57" s="3">
        <v>45718</v>
      </c>
      <c r="E57" s="6"/>
    </row>
    <row r="58" spans="1:5" ht="12" thickBot="1" x14ac:dyDescent="0.3">
      <c r="A58" s="1">
        <v>56</v>
      </c>
      <c r="B58" s="2">
        <v>207</v>
      </c>
      <c r="C58" s="3">
        <v>40971</v>
      </c>
      <c r="D58" s="3">
        <v>45718</v>
      </c>
      <c r="E58" s="6"/>
    </row>
    <row r="59" spans="1:5" ht="12" thickBot="1" x14ac:dyDescent="0.3">
      <c r="A59" s="1">
        <v>57</v>
      </c>
      <c r="B59" s="2">
        <v>208</v>
      </c>
      <c r="C59" s="3">
        <v>40971</v>
      </c>
      <c r="D59" s="3">
        <v>45718</v>
      </c>
      <c r="E59" s="6"/>
    </row>
    <row r="60" spans="1:5" ht="12" thickBot="1" x14ac:dyDescent="0.3">
      <c r="A60" s="1">
        <v>58</v>
      </c>
      <c r="B60" s="2">
        <v>209</v>
      </c>
      <c r="C60" s="3">
        <v>40971</v>
      </c>
      <c r="D60" s="3">
        <v>45718</v>
      </c>
      <c r="E60" s="6"/>
    </row>
    <row r="61" spans="1:5" ht="12" thickBot="1" x14ac:dyDescent="0.3">
      <c r="A61" s="1">
        <v>59</v>
      </c>
      <c r="B61" s="2">
        <v>210</v>
      </c>
      <c r="C61" s="3">
        <v>40990</v>
      </c>
      <c r="D61" s="3">
        <v>45737</v>
      </c>
      <c r="E61" s="6"/>
    </row>
    <row r="62" spans="1:5" ht="12" thickBot="1" x14ac:dyDescent="0.3">
      <c r="A62" s="1">
        <v>60</v>
      </c>
      <c r="B62" s="2">
        <v>211</v>
      </c>
      <c r="C62" s="3">
        <v>40990</v>
      </c>
      <c r="D62" s="3">
        <v>45737</v>
      </c>
      <c r="E62" s="6"/>
    </row>
    <row r="63" spans="1:5" ht="12" thickBot="1" x14ac:dyDescent="0.3">
      <c r="A63" s="1">
        <v>61</v>
      </c>
      <c r="B63" s="2">
        <v>212</v>
      </c>
      <c r="C63" s="3">
        <v>40990</v>
      </c>
      <c r="D63" s="3">
        <v>45737</v>
      </c>
      <c r="E63" s="6"/>
    </row>
    <row r="64" spans="1:5" ht="12" thickBot="1" x14ac:dyDescent="0.3">
      <c r="A64" s="1">
        <v>62</v>
      </c>
      <c r="B64" s="2">
        <v>213</v>
      </c>
      <c r="C64" s="3">
        <v>40990</v>
      </c>
      <c r="D64" s="3">
        <v>45737</v>
      </c>
      <c r="E64" s="6"/>
    </row>
    <row r="65" spans="1:5" ht="12" thickBot="1" x14ac:dyDescent="0.3">
      <c r="A65" s="1">
        <v>63</v>
      </c>
      <c r="B65" s="2">
        <v>214</v>
      </c>
      <c r="C65" s="3">
        <v>40990</v>
      </c>
      <c r="D65" s="3">
        <v>45737</v>
      </c>
      <c r="E65" s="6"/>
    </row>
  </sheetData>
  <mergeCells count="10">
    <mergeCell ref="E24:E41"/>
    <mergeCell ref="E53:E65"/>
    <mergeCell ref="E42:E52"/>
    <mergeCell ref="A1:A2"/>
    <mergeCell ref="B1:B2"/>
    <mergeCell ref="C1:C2"/>
    <mergeCell ref="D1:D2"/>
    <mergeCell ref="E1:E2"/>
    <mergeCell ref="E3:E21"/>
    <mergeCell ref="E22:E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 Estimation</vt:lpstr>
      <vt:lpstr>Generation Data</vt:lpstr>
      <vt:lpstr>PPA Expiry Details</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Carbon CDM</cp:lastModifiedBy>
  <dcterms:created xsi:type="dcterms:W3CDTF">2013-11-21T07:17:25Z</dcterms:created>
  <dcterms:modified xsi:type="dcterms:W3CDTF">2025-11-04T06:02:19Z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fac9a77-4a4c-40e6-919e-f4b7b0f5e3f7_Enabled">
    <vt:lpwstr>true</vt:lpwstr>
  </property>
  <property fmtid="{D5CDD505-2E9C-101B-9397-08002B2CF9AE}" pid="5" name="MSIP_Label_bfac9a77-4a4c-40e6-919e-f4b7b0f5e3f7_SetDate">
    <vt:lpwstr>2023-01-13T04:51:42Z</vt:lpwstr>
  </property>
  <property fmtid="{D5CDD505-2E9C-101B-9397-08002B2CF9AE}" pid="6" name="MSIP_Label_bfac9a77-4a4c-40e6-919e-f4b7b0f5e3f7_Method">
    <vt:lpwstr>Privileged</vt:lpwstr>
  </property>
  <property fmtid="{D5CDD505-2E9C-101B-9397-08002B2CF9AE}" pid="7" name="MSIP_Label_bfac9a77-4a4c-40e6-919e-f4b7b0f5e3f7_Name">
    <vt:lpwstr>bfac9a77-4a4c-40e6-919e-f4b7b0f5e3f7</vt:lpwstr>
  </property>
  <property fmtid="{D5CDD505-2E9C-101B-9397-08002B2CF9AE}" pid="8" name="MSIP_Label_bfac9a77-4a4c-40e6-919e-f4b7b0f5e3f7_SiteId">
    <vt:lpwstr>45910e2a-86b0-41e7-8051-c4b8b63b25b7</vt:lpwstr>
  </property>
  <property fmtid="{D5CDD505-2E9C-101B-9397-08002B2CF9AE}" pid="9" name="MSIP_Label_bfac9a77-4a4c-40e6-919e-f4b7b0f5e3f7_ActionId">
    <vt:lpwstr>64467085-0c73-44b7-986e-50ff58ff6e62</vt:lpwstr>
  </property>
  <property fmtid="{D5CDD505-2E9C-101B-9397-08002B2CF9AE}" pid="10" name="MSIP_Label_bfac9a77-4a4c-40e6-919e-f4b7b0f5e3f7_ContentBits">
    <vt:lpwstr>0</vt:lpwstr>
  </property>
</Properties>
</file>