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defaultThemeVersion="166925"/>
  <mc:AlternateContent xmlns:mc="http://schemas.openxmlformats.org/markup-compatibility/2006">
    <mc:Choice Requires="x15">
      <x15ac:absPath xmlns:x15ac="http://schemas.microsoft.com/office/spreadsheetml/2010/11/ac" url="D:\6004_GS\"/>
    </mc:Choice>
  </mc:AlternateContent>
  <xr:revisionPtr revIDLastSave="0" documentId="13_ncr:1_{691E4D45-284D-4C67-B45A-09D36CCD3D5A}" xr6:coauthVersionLast="47" xr6:coauthVersionMax="47" xr10:uidLastSave="{00000000-0000-0000-0000-000000000000}"/>
  <bookViews>
    <workbookView xWindow="-110" yWindow="-110" windowWidth="19420" windowHeight="10560" firstSheet="2" activeTab="3" xr2:uid="{E3407682-C06B-4540-A345-7058A6DCEA68}"/>
  </bookViews>
  <sheets>
    <sheet name="Brief Intro" sheetId="1" r:id="rId1"/>
    <sheet name="Meter Details" sheetId="2" r:id="rId2"/>
    <sheet name="Combined Margin Calculation" sheetId="3" r:id="rId3"/>
    <sheet name="Apportioning Calculation" sheetId="4" r:id="rId4"/>
    <sheet name="EGcontroller,i" sheetId="5" r:id="rId5"/>
    <sheet name="CER Calculation" sheetId="6"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B13" i="1" l="1"/>
  <c r="L7" i="6"/>
  <c r="C16" i="6" s="1"/>
  <c r="C17" i="6" s="1"/>
  <c r="J7" i="6"/>
  <c r="C7" i="6"/>
  <c r="D7" i="6"/>
  <c r="E7" i="6"/>
  <c r="F7" i="6"/>
  <c r="G7" i="6"/>
  <c r="B5" i="6"/>
  <c r="C15" i="6"/>
  <c r="C14" i="6"/>
  <c r="C11" i="6"/>
  <c r="H6" i="6"/>
  <c r="J6" i="6" s="1"/>
  <c r="H5" i="6"/>
  <c r="G6" i="6"/>
  <c r="G5" i="6"/>
  <c r="F6" i="6"/>
  <c r="F5" i="6"/>
  <c r="E6" i="6"/>
  <c r="E5" i="6"/>
  <c r="D6" i="6"/>
  <c r="D5" i="6"/>
  <c r="C6" i="6"/>
  <c r="C5" i="6"/>
  <c r="B6" i="6"/>
  <c r="T4" i="4"/>
  <c r="T5" i="4"/>
  <c r="T6" i="4"/>
  <c r="T7" i="4"/>
  <c r="T8" i="4"/>
  <c r="T9" i="4"/>
  <c r="T10" i="4"/>
  <c r="T11" i="4"/>
  <c r="T12" i="4"/>
  <c r="T13" i="4"/>
  <c r="T14" i="4"/>
  <c r="T15" i="4"/>
  <c r="T16" i="4"/>
  <c r="T17" i="4"/>
  <c r="T18" i="4"/>
  <c r="T19" i="4"/>
  <c r="T20" i="4"/>
  <c r="T21" i="4"/>
  <c r="T3" i="4"/>
  <c r="S4" i="4"/>
  <c r="S5" i="4"/>
  <c r="S6" i="4"/>
  <c r="S7" i="4"/>
  <c r="S8" i="4"/>
  <c r="S9" i="4"/>
  <c r="S10" i="4"/>
  <c r="S11" i="4"/>
  <c r="S12" i="4"/>
  <c r="S13" i="4"/>
  <c r="S14" i="4"/>
  <c r="S15" i="4"/>
  <c r="S16" i="4"/>
  <c r="S17" i="4"/>
  <c r="S18" i="4"/>
  <c r="S19" i="4"/>
  <c r="S20" i="4"/>
  <c r="S21" i="4"/>
  <c r="S3" i="4"/>
  <c r="R21" i="4"/>
  <c r="R4" i="4"/>
  <c r="R5" i="4"/>
  <c r="R6" i="4"/>
  <c r="R7" i="4"/>
  <c r="R8" i="4"/>
  <c r="R9" i="4"/>
  <c r="R10" i="4"/>
  <c r="R11" i="4"/>
  <c r="R12" i="4"/>
  <c r="R13" i="4"/>
  <c r="R14" i="4"/>
  <c r="R15" i="4"/>
  <c r="R16" i="4"/>
  <c r="R17" i="4"/>
  <c r="R18" i="4"/>
  <c r="R19" i="4"/>
  <c r="R20" i="4"/>
  <c r="R3" i="4"/>
  <c r="Q4" i="4"/>
  <c r="Q5" i="4"/>
  <c r="Q6" i="4"/>
  <c r="Q7" i="4"/>
  <c r="Q8" i="4"/>
  <c r="Q9" i="4"/>
  <c r="Q10" i="4"/>
  <c r="Q11" i="4"/>
  <c r="Q12" i="4"/>
  <c r="Q13" i="4"/>
  <c r="Q14" i="4"/>
  <c r="Q15" i="4"/>
  <c r="Q16" i="4"/>
  <c r="Q17" i="4"/>
  <c r="Q18" i="4"/>
  <c r="Q19" i="4"/>
  <c r="Q20" i="4"/>
  <c r="Q21" i="4"/>
  <c r="Q3" i="4"/>
  <c r="P15" i="4"/>
  <c r="P6" i="4"/>
  <c r="P7" i="4"/>
  <c r="P8" i="4"/>
  <c r="P9" i="4"/>
  <c r="P10" i="4"/>
  <c r="P11" i="4"/>
  <c r="P12" i="4"/>
  <c r="P13" i="4"/>
  <c r="P14" i="4"/>
  <c r="P5" i="4"/>
  <c r="P4" i="4"/>
  <c r="P16" i="4"/>
  <c r="P17" i="4"/>
  <c r="P18" i="4"/>
  <c r="P19" i="4"/>
  <c r="P20" i="4"/>
  <c r="P21" i="4"/>
  <c r="P3" i="4"/>
  <c r="O4" i="4"/>
  <c r="O5" i="4"/>
  <c r="O6" i="4"/>
  <c r="O7" i="4"/>
  <c r="O8" i="4"/>
  <c r="O9" i="4"/>
  <c r="O10" i="4"/>
  <c r="O11" i="4"/>
  <c r="O12" i="4"/>
  <c r="O13" i="4"/>
  <c r="O14" i="4"/>
  <c r="O15" i="4"/>
  <c r="O16" i="4"/>
  <c r="O17" i="4"/>
  <c r="O18" i="4"/>
  <c r="O19" i="4"/>
  <c r="O20" i="4"/>
  <c r="O21" i="4"/>
  <c r="O3" i="4"/>
  <c r="G21" i="4"/>
  <c r="M21" i="4" s="1"/>
  <c r="G20" i="4"/>
  <c r="M20" i="4" s="1"/>
  <c r="G19" i="4"/>
  <c r="M19" i="4" s="1"/>
  <c r="G18" i="4"/>
  <c r="G17" i="4"/>
  <c r="G16" i="4"/>
  <c r="M16" i="4" s="1"/>
  <c r="G15" i="4"/>
  <c r="M15" i="4" s="1"/>
  <c r="G14" i="4"/>
  <c r="G13" i="4"/>
  <c r="M13" i="4" s="1"/>
  <c r="G12" i="4"/>
  <c r="M12" i="4" s="1"/>
  <c r="G11" i="4"/>
  <c r="G10" i="4"/>
  <c r="M10" i="4" s="1"/>
  <c r="G9" i="4"/>
  <c r="M9" i="4" s="1"/>
  <c r="G8" i="4"/>
  <c r="M8" i="4" s="1"/>
  <c r="M4" i="4"/>
  <c r="M5" i="4"/>
  <c r="M6" i="4"/>
  <c r="M7" i="4"/>
  <c r="M11" i="4"/>
  <c r="M14" i="4"/>
  <c r="M17" i="4"/>
  <c r="M18" i="4"/>
  <c r="M3" i="4"/>
  <c r="L6" i="4"/>
  <c r="L7" i="4"/>
  <c r="L5" i="4"/>
  <c r="L4" i="4"/>
  <c r="L3" i="4"/>
  <c r="L6" i="6" l="1"/>
  <c r="B7" i="6"/>
  <c r="J5" i="6"/>
  <c r="H3" i="4" a="1"/>
  <c r="H3" i="4" s="1"/>
  <c r="G7" i="4"/>
  <c r="G6" i="4"/>
  <c r="G5" i="4"/>
  <c r="G4" i="4"/>
  <c r="G3" i="4"/>
  <c r="I3" i="4" s="1"/>
  <c r="K3" i="4" s="1"/>
  <c r="W25" i="5"/>
  <c r="V25" i="5"/>
  <c r="U25" i="5"/>
  <c r="T25" i="5"/>
  <c r="S25" i="5"/>
  <c r="R25" i="5"/>
  <c r="Q25" i="5"/>
  <c r="P25" i="5"/>
  <c r="O25" i="5"/>
  <c r="N25" i="5"/>
  <c r="M25" i="5"/>
  <c r="L25" i="5"/>
  <c r="K25" i="5"/>
  <c r="J25" i="5"/>
  <c r="I25" i="5"/>
  <c r="H25" i="5"/>
  <c r="G25" i="5"/>
  <c r="F25" i="5"/>
  <c r="E25" i="5"/>
  <c r="X24" i="5"/>
  <c r="D25" i="5"/>
  <c r="C25" i="5"/>
  <c r="D24" i="5"/>
  <c r="X23" i="5"/>
  <c r="X22" i="5"/>
  <c r="X21" i="5"/>
  <c r="D21" i="5"/>
  <c r="X20" i="5"/>
  <c r="X19" i="5"/>
  <c r="X18" i="5"/>
  <c r="X17" i="5"/>
  <c r="X16" i="5"/>
  <c r="X15" i="5"/>
  <c r="X12" i="5"/>
  <c r="X11" i="5"/>
  <c r="X10" i="5"/>
  <c r="X9" i="5"/>
  <c r="X8" i="5"/>
  <c r="X7" i="5"/>
  <c r="X6" i="5"/>
  <c r="X5" i="5"/>
  <c r="X4" i="5"/>
  <c r="K17" i="3"/>
  <c r="K16" i="3"/>
  <c r="K18" i="3" s="1"/>
  <c r="J12" i="3"/>
  <c r="K7" i="3"/>
  <c r="K6" i="3"/>
  <c r="J6" i="3"/>
  <c r="K5" i="3"/>
  <c r="J5" i="3"/>
  <c r="K4" i="3"/>
  <c r="J4" i="3"/>
  <c r="B12" i="1"/>
  <c r="L5" i="6" l="1"/>
  <c r="I20" i="4"/>
  <c r="K20" i="4" s="1"/>
  <c r="L20" i="4" s="1"/>
  <c r="I12" i="4"/>
  <c r="K12" i="4" s="1"/>
  <c r="L12" i="4" s="1"/>
  <c r="I13" i="4"/>
  <c r="K13" i="4" s="1"/>
  <c r="L13" i="4" s="1"/>
  <c r="H20" i="4"/>
  <c r="H16" i="4"/>
  <c r="I16" i="4" s="1"/>
  <c r="K16" i="4" s="1"/>
  <c r="L16" i="4" s="1"/>
  <c r="H12" i="4"/>
  <c r="H8" i="4"/>
  <c r="I8" i="4" s="1"/>
  <c r="K8" i="4" s="1"/>
  <c r="L8" i="4" s="1"/>
  <c r="H19" i="4"/>
  <c r="I19" i="4" s="1"/>
  <c r="K19" i="4" s="1"/>
  <c r="L19" i="4" s="1"/>
  <c r="H15" i="4"/>
  <c r="I15" i="4" s="1"/>
  <c r="K15" i="4" s="1"/>
  <c r="L15" i="4" s="1"/>
  <c r="H11" i="4"/>
  <c r="I11" i="4" s="1"/>
  <c r="K11" i="4" s="1"/>
  <c r="L11" i="4" s="1"/>
  <c r="H7" i="4"/>
  <c r="I7" i="4" s="1"/>
  <c r="K7" i="4" s="1"/>
  <c r="H18" i="4"/>
  <c r="I18" i="4" s="1"/>
  <c r="K18" i="4" s="1"/>
  <c r="L18" i="4" s="1"/>
  <c r="H14" i="4"/>
  <c r="I14" i="4" s="1"/>
  <c r="K14" i="4" s="1"/>
  <c r="L14" i="4" s="1"/>
  <c r="H10" i="4"/>
  <c r="I10" i="4" s="1"/>
  <c r="K10" i="4" s="1"/>
  <c r="L10" i="4" s="1"/>
  <c r="H6" i="4"/>
  <c r="I6" i="4" s="1"/>
  <c r="K6" i="4" s="1"/>
  <c r="H21" i="4"/>
  <c r="I21" i="4" s="1"/>
  <c r="K21" i="4" s="1"/>
  <c r="L21" i="4" s="1"/>
  <c r="H17" i="4"/>
  <c r="I17" i="4" s="1"/>
  <c r="K17" i="4" s="1"/>
  <c r="L17" i="4" s="1"/>
  <c r="H13" i="4"/>
  <c r="H9" i="4"/>
  <c r="I9" i="4" s="1"/>
  <c r="K9" i="4" s="1"/>
  <c r="L9" i="4" s="1"/>
  <c r="H5" i="4"/>
  <c r="I5" i="4" s="1"/>
  <c r="K5" i="4" s="1"/>
  <c r="H4" i="4"/>
  <c r="I4" i="4" s="1"/>
  <c r="K4" i="4" s="1"/>
  <c r="X14" i="5"/>
  <c r="X13" i="5"/>
  <c r="X25" i="5" l="1"/>
</calcChain>
</file>

<file path=xl/sharedStrings.xml><?xml version="1.0" encoding="utf-8"?>
<sst xmlns="http://schemas.openxmlformats.org/spreadsheetml/2006/main" count="242" uniqueCount="164">
  <si>
    <t>ER Sheet</t>
  </si>
  <si>
    <t>Version 1</t>
  </si>
  <si>
    <t>Date</t>
  </si>
  <si>
    <t>Title</t>
  </si>
  <si>
    <t>Wind Power Project in Tinwari, Rajasthan</t>
  </si>
  <si>
    <t>UNFCCC Ref No</t>
  </si>
  <si>
    <t>Registration Date</t>
  </si>
  <si>
    <t>Monitoring Period No</t>
  </si>
  <si>
    <t xml:space="preserve">3rd </t>
  </si>
  <si>
    <t>Monitoring Period</t>
  </si>
  <si>
    <t>to</t>
  </si>
  <si>
    <t>days</t>
  </si>
  <si>
    <t>Actual ER achieved</t>
  </si>
  <si>
    <r>
      <t>tCO</t>
    </r>
    <r>
      <rPr>
        <vertAlign val="subscript"/>
        <sz val="10"/>
        <color indexed="8"/>
        <rFont val="Arial"/>
        <family val="2"/>
      </rPr>
      <t>2e</t>
    </r>
  </si>
  <si>
    <t>Wind World(India) Private Limited</t>
  </si>
  <si>
    <t>ACT Commodities B.V. (Netherland)</t>
  </si>
  <si>
    <t>First Climate Markets A.G. ( Germany)</t>
  </si>
  <si>
    <t>Project Participants</t>
  </si>
  <si>
    <t>Location of meter</t>
  </si>
  <si>
    <t>PS-8 Sub-station (Electricity Board)                                   (Billing metering point)</t>
  </si>
  <si>
    <t>Salodi Sub-station (WWIL)                                                  (Back metering point)</t>
  </si>
  <si>
    <t>Type of meter</t>
  </si>
  <si>
    <t>Main Meter</t>
  </si>
  <si>
    <t>Check Meter</t>
  </si>
  <si>
    <t>Meter Sr. No.</t>
  </si>
  <si>
    <t>RJB 00354</t>
  </si>
  <si>
    <t>RJB 00356</t>
  </si>
  <si>
    <t>RJB 00358</t>
  </si>
  <si>
    <t>RJB 00357</t>
  </si>
  <si>
    <t>Meter Make</t>
  </si>
  <si>
    <t>Secure</t>
  </si>
  <si>
    <t>Accuracy class</t>
  </si>
  <si>
    <t>Type</t>
  </si>
  <si>
    <t xml:space="preserve">All the meters are two-way Tri-vector meters capable of recording import and export of electricity. </t>
  </si>
  <si>
    <t>Calibration Details</t>
  </si>
  <si>
    <t>Calibration Years</t>
  </si>
  <si>
    <t>Meter Details</t>
  </si>
  <si>
    <t>Remark</t>
  </si>
  <si>
    <t>Calibration Due date</t>
  </si>
  <si>
    <r>
      <rPr>
        <sz val="9"/>
        <color indexed="8"/>
        <rFont val="Arial"/>
        <family val="2"/>
      </rPr>
      <t xml:space="preserve">The main and check meters are tested for accuracy on annual basis by state utility and in case of error; meters are calibrated by state utility. Further during the annual meter testing, all the meters were under the permissible limit of error and accordingly none of the meter was replaced during the current monitoring period.
</t>
    </r>
    <r>
      <rPr>
        <b/>
        <sz val="9"/>
        <color indexed="56"/>
        <rFont val="Arial"/>
        <family val="2"/>
      </rPr>
      <t xml:space="preserve">However, delay in calibration has been observed in the year 2020 and 2021. Therefore, as per guideline VVS (CDM-EB93-A05-STAN) para 366 (a) &amp; VVS APPENDIX – CALIBRATION, para 2 Table 1, PP has applied maximum permissible error for all measured values of “Electricity Export” &amp; “Electricity Import” taken during the period between the scheduled date of calibration and the actual date of calibration conservatively. Please refer Sheet "Apportioning calculation </t>
    </r>
  </si>
  <si>
    <t>CENTRAL ELECTRICITY AUTHORITY: CO2 BASELINE DATABASE</t>
  </si>
  <si>
    <t>Simple Operating Margin</t>
  </si>
  <si>
    <t xml:space="preserve">VERSION </t>
  </si>
  <si>
    <t>6.0</t>
  </si>
  <si>
    <t>NEWNE Grid
(tCO2e/MWh)</t>
  </si>
  <si>
    <t>Net Generation Total (MWh)</t>
  </si>
  <si>
    <t>DATE</t>
  </si>
  <si>
    <t>Simple Operating Margin – 2013-14</t>
  </si>
  <si>
    <t>BASELINE METHODOLOGY</t>
  </si>
  <si>
    <t>ACM0002</t>
  </si>
  <si>
    <t>Simple Operating Margin – 2014-15</t>
  </si>
  <si>
    <t>Simple Operating Margin – 2015-16</t>
  </si>
  <si>
    <t xml:space="preserve">Simple Operating Margin (tCO2/MWh) (incl. Imports) </t>
  </si>
  <si>
    <t>Weighted Average Operating Margin *</t>
  </si>
  <si>
    <t>2007-08</t>
  </si>
  <si>
    <t>2008-09</t>
  </si>
  <si>
    <t>2009-10</t>
  </si>
  <si>
    <t>* Calculated as per Option A, i.e. generation weighted average CO2 emissions per unit electricity generation has been used</t>
  </si>
  <si>
    <t>NEWNE</t>
  </si>
  <si>
    <t>Build Margin</t>
  </si>
  <si>
    <t>Indian Grid
(tCO2e/MWh)</t>
  </si>
  <si>
    <t>Build Margin (tCO2/MWh) (not adjusted for imports)</t>
  </si>
  <si>
    <t>2015-16</t>
  </si>
  <si>
    <t>Build Margin- 2009-10</t>
  </si>
  <si>
    <t>Combined Margin Calculations</t>
  </si>
  <si>
    <t>Net Generation Total (GWh)</t>
  </si>
  <si>
    <t>Weights</t>
  </si>
  <si>
    <t xml:space="preserve">Weighted Average Operating Margin </t>
  </si>
  <si>
    <t>Combined Margin</t>
  </si>
  <si>
    <t>Year</t>
  </si>
  <si>
    <t>Month*</t>
  </si>
  <si>
    <t>No. of WEGs</t>
  </si>
  <si>
    <t>Capacity</t>
  </si>
  <si>
    <r>
      <rPr>
        <b/>
        <sz val="10"/>
        <rFont val="Arial"/>
        <family val="2"/>
      </rPr>
      <t>EG</t>
    </r>
    <r>
      <rPr>
        <b/>
        <sz val="8"/>
        <rFont val="Arial"/>
        <family val="2"/>
      </rPr>
      <t>JMR, Export</t>
    </r>
  </si>
  <si>
    <r>
      <rPr>
        <b/>
        <sz val="10"/>
        <rFont val="Arial"/>
        <family val="2"/>
      </rPr>
      <t>EG</t>
    </r>
    <r>
      <rPr>
        <b/>
        <sz val="8"/>
        <rFont val="Arial"/>
        <family val="2"/>
      </rPr>
      <t>JMR, Import</t>
    </r>
  </si>
  <si>
    <r>
      <t>∑EG</t>
    </r>
    <r>
      <rPr>
        <b/>
        <sz val="8"/>
        <rFont val="Arial"/>
        <family val="2"/>
      </rPr>
      <t>Controller,j</t>
    </r>
  </si>
  <si>
    <r>
      <t>∑EG</t>
    </r>
    <r>
      <rPr>
        <b/>
        <sz val="8"/>
        <rFont val="Arial"/>
        <family val="2"/>
      </rPr>
      <t>Controller,i</t>
    </r>
  </si>
  <si>
    <t>EGExport,y         ( Calcualted as per apportioning procedure from  JMR)</t>
  </si>
  <si>
    <t>EGExport,y         ( Value as per Invoice)</t>
  </si>
  <si>
    <t>EGExport,y        ( Cross-check Value between JMR and  Invoice)</t>
  </si>
  <si>
    <t>EGExport,y         ( With Error factor)</t>
  </si>
  <si>
    <r>
      <rPr>
        <b/>
        <sz val="10"/>
        <rFont val="Arial"/>
        <family val="2"/>
      </rPr>
      <t>EG</t>
    </r>
    <r>
      <rPr>
        <b/>
        <sz val="8"/>
        <rFont val="Arial"/>
        <family val="2"/>
      </rPr>
      <t>Import,y        ( Calcualted as per apportioning procedure from  JMR)</t>
    </r>
  </si>
  <si>
    <t>EGImport,y         ( Value as per Invoice)</t>
  </si>
  <si>
    <t>EGImport,y          ( Cross-check Value between JMR and  Invoice)</t>
  </si>
  <si>
    <t>EGImport,y         ( With Error Factor)</t>
  </si>
  <si>
    <r>
      <rPr>
        <b/>
        <sz val="10"/>
        <rFont val="Arial"/>
        <family val="2"/>
      </rPr>
      <t>EG</t>
    </r>
    <r>
      <rPr>
        <b/>
        <sz val="8"/>
        <rFont val="Arial"/>
        <family val="2"/>
      </rPr>
      <t>facitlity,y                        ( Value as per JMR)</t>
    </r>
  </si>
  <si>
    <r>
      <rPr>
        <b/>
        <sz val="10"/>
        <rFont val="Arial"/>
        <family val="2"/>
      </rPr>
      <t>EG</t>
    </r>
    <r>
      <rPr>
        <b/>
        <sz val="8"/>
        <rFont val="Arial"/>
        <family val="2"/>
      </rPr>
      <t>facitlity,y                        ( Value as per Invoice)</t>
    </r>
  </si>
  <si>
    <r>
      <rPr>
        <b/>
        <sz val="10"/>
        <rFont val="Arial"/>
        <family val="2"/>
      </rPr>
      <t>EG</t>
    </r>
    <r>
      <rPr>
        <b/>
        <sz val="8"/>
        <rFont val="Arial"/>
        <family val="2"/>
      </rPr>
      <t>facitlity,y                        ( Cross-check Value between JMR and  Invoice)</t>
    </r>
  </si>
  <si>
    <r>
      <rPr>
        <b/>
        <sz val="10"/>
        <rFont val="Arial"/>
        <family val="2"/>
      </rPr>
      <t>EG</t>
    </r>
    <r>
      <rPr>
        <b/>
        <sz val="8"/>
        <rFont val="Arial"/>
        <family val="2"/>
      </rPr>
      <t>facitlity,y                        ( With Error Factor)</t>
    </r>
  </si>
  <si>
    <t>(kWh)</t>
  </si>
  <si>
    <t>MW</t>
  </si>
  <si>
    <t>Total                      (kWh)</t>
  </si>
  <si>
    <t>S.  Nos.</t>
  </si>
  <si>
    <t>Investors Name</t>
  </si>
  <si>
    <t xml:space="preserve">No. of M/c </t>
  </si>
  <si>
    <t>Total capacity (MW)</t>
  </si>
  <si>
    <r>
      <rPr>
        <b/>
        <sz val="10"/>
        <rFont val="Arial"/>
        <family val="2"/>
      </rPr>
      <t>EG</t>
    </r>
    <r>
      <rPr>
        <b/>
        <sz val="8"/>
        <rFont val="Arial"/>
        <family val="2"/>
      </rPr>
      <t>Controller,i</t>
    </r>
  </si>
  <si>
    <t>KWH</t>
  </si>
  <si>
    <t>SANGHVI FOODS PRIVATE LIMITED</t>
  </si>
  <si>
    <t xml:space="preserve">INFRASTRUCTURE DEVELOPMENT FINANCE COMPANY LIMITED (COMMISSIONED ON 1st APRIL-2008)  </t>
  </si>
  <si>
    <t xml:space="preserve">INFRASTRUCTURE DEVELOPMENT FINANCE COMPANY LIMITED (COMMISSIONED ON 13th APRIL-2008)  </t>
  </si>
  <si>
    <t xml:space="preserve">INFRASTRUCTURE DEVELOPMENT FINANCE COMPANY LIMITED (COMMISSIONED ON 25th MAY-2008)  </t>
  </si>
  <si>
    <t>K. S. OILS LIMITED</t>
  </si>
  <si>
    <t>MAGMA FINCORP LIMITED</t>
  </si>
  <si>
    <t>KISHCO LIMITED</t>
  </si>
  <si>
    <t xml:space="preserve">RAMGAD MINERALS &amp; MINING PVT. LTD. </t>
  </si>
  <si>
    <t>PARANJAPE AUTOCAST PVT. LTD.  - I</t>
  </si>
  <si>
    <t xml:space="preserve">TEXONIC INSTRUMENTS </t>
  </si>
  <si>
    <t xml:space="preserve">RAMGAD MINERALS &amp; MINING LTD. </t>
  </si>
  <si>
    <t>PARANJAPE AUTOCAST PVT. LTD.  - II</t>
  </si>
  <si>
    <t>PROTECTRON ELECTROMECH PVT. LTD. - I</t>
  </si>
  <si>
    <t xml:space="preserve">PROTECTRON ELECTROMECH PVT. LTD. - II                                               </t>
  </si>
  <si>
    <t xml:space="preserve">BLACK ROSE INDUSTRIES LTD.                                                                      </t>
  </si>
  <si>
    <t xml:space="preserve">MANGAT ENERVENT PVT. LTD.                                                                </t>
  </si>
  <si>
    <t xml:space="preserve">CEPCO INDUSTRIES PVT. LTD.                                                                       </t>
  </si>
  <si>
    <t>Vish Wind Infrastructure LLP</t>
  </si>
  <si>
    <t>Wind World (India) Ltd (Previous Name - Enercon (India) Ltd)</t>
  </si>
  <si>
    <t>* Billing meter has the locking function, which can store the reading on 00:00 Hrs. For the project activity JMR value is recorded on at 00:00 Hrs in the presence of both State utility officials and PP representative.</t>
  </si>
  <si>
    <t>Delay in Meter Calibration</t>
  </si>
  <si>
    <t>Applied maximum permissible error</t>
  </si>
  <si>
    <t>Jan 2021 to Feb 2021</t>
  </si>
  <si>
    <t>2 Months</t>
  </si>
  <si>
    <t>Feb 2022 to July 2022</t>
  </si>
  <si>
    <t>6 Months</t>
  </si>
  <si>
    <t>Emission reduction calculation for project activity</t>
  </si>
  <si>
    <t>Electricity export by project activity &amp; non project activity recorded by main meter installed at DISCOM sub-stations</t>
  </si>
  <si>
    <t>Electricity import by project activity &amp; non project activity  recorded by main meter installed at DISCOM sub-station</t>
  </si>
  <si>
    <t>Summation of Panel Generation by project activity &amp; non project activity recorded at the controller (LCS meter) at project site</t>
  </si>
  <si>
    <t>Summation of Panel Generation by project activity recorded at the controller (LCS meter) at project site</t>
  </si>
  <si>
    <t xml:space="preserve"> Electricity export to the grid by the Project activity</t>
  </si>
  <si>
    <t xml:space="preserve"> Electricity import  from the grid  to the Project activity</t>
  </si>
  <si>
    <t xml:space="preserve"> Net electricity generation supplied to the grid by the Project activity</t>
  </si>
  <si>
    <t xml:space="preserve">Baseline Emission Factor </t>
  </si>
  <si>
    <t>Baseline Emissions</t>
  </si>
  <si>
    <t>Project Emissions</t>
  </si>
  <si>
    <t xml:space="preserve">Emission Reductions </t>
  </si>
  <si>
    <t>(MWh)</t>
  </si>
  <si>
    <t>(tCO2e/MWh)</t>
  </si>
  <si>
    <t>(tCO2e)</t>
  </si>
  <si>
    <t>[EGJMR, Export ]</t>
  </si>
  <si>
    <t>[EGJMR, Import ]</t>
  </si>
  <si>
    <t>[∑EGController,i ]</t>
  </si>
  <si>
    <t>[∑EGController,j ]</t>
  </si>
  <si>
    <t xml:space="preserve">[EGExport,y] </t>
  </si>
  <si>
    <t xml:space="preserve">[EGImport,y] </t>
  </si>
  <si>
    <t xml:space="preserve">[EGfacitlity,y] </t>
  </si>
  <si>
    <t>[EFy]</t>
  </si>
  <si>
    <t>[BEy] = [EGfacitlity,y] * [EFy]</t>
  </si>
  <si>
    <t>[PEy]</t>
  </si>
  <si>
    <t>[ERy] = [BEy]- [PEy]</t>
  </si>
  <si>
    <t>Total</t>
  </si>
  <si>
    <t>01/01/2021 to 31/12/2021</t>
  </si>
  <si>
    <t>01/01/2022 to 31/07/2022</t>
  </si>
  <si>
    <t>As per Reg PDD</t>
  </si>
  <si>
    <t>Annual GHG ER</t>
  </si>
  <si>
    <t>tCO2e/annum</t>
  </si>
  <si>
    <t xml:space="preserve">Per day </t>
  </si>
  <si>
    <t>tCO2e/day</t>
  </si>
  <si>
    <t>Monitring Period</t>
  </si>
  <si>
    <t>Total no. of days</t>
  </si>
  <si>
    <t>Estimated ER as per reg PDD</t>
  </si>
  <si>
    <t>tCO2e</t>
  </si>
  <si>
    <t>Actual ER</t>
  </si>
  <si>
    <t>% Change in actual ER generation as compared to Reg PDD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</si>
</sst>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 #,##0.00_ ;_ * \-#,##0.00_ ;_ * &quot;-&quot;??_ ;_ @_ "/>
    <numFmt numFmtId="164" formatCode="[$-F800]dddd\,\ mmmm\ dd\,\ yyyy"/>
    <numFmt numFmtId="165" formatCode="dd/mm/yyyy;@"/>
    <numFmt numFmtId="166" formatCode="_(* #,##0_);_(* \(#,##0\);_(* &quot;-&quot;??_);_(@_)"/>
    <numFmt numFmtId="167" formatCode="#,##0.00000"/>
    <numFmt numFmtId="168" formatCode="0.00000"/>
    <numFmt numFmtId="169" formatCode="0.0%"/>
    <numFmt numFmtId="170" formatCode="_(* #,##0.00_);_(* \(#,##0.00\);_(* &quot;-&quot;??_);_(@_)"/>
    <numFmt numFmtId="171" formatCode="0.0"/>
  </numFmts>
  <fonts count="24"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family val="2"/>
    </font>
    <font>
      <sz val="10"/>
      <color theme="1"/>
      <name val="Arial"/>
      <family val="2"/>
    </font>
    <font>
      <vertAlign val="subscript"/>
      <sz val="10"/>
      <color indexed="8"/>
      <name val="Arial"/>
      <family val="2"/>
    </font>
    <font>
      <sz val="9"/>
      <color rgb="FF000000"/>
      <name val="Arial"/>
      <family val="2"/>
    </font>
    <font>
      <b/>
      <sz val="9"/>
      <color theme="1"/>
      <name val="Arial"/>
      <family val="2"/>
    </font>
    <font>
      <sz val="9"/>
      <color indexed="8"/>
      <name val="Arial"/>
      <family val="2"/>
    </font>
    <font>
      <b/>
      <sz val="9"/>
      <color indexed="56"/>
      <name val="Arial"/>
      <family val="2"/>
    </font>
    <font>
      <b/>
      <sz val="9"/>
      <color rgb="FF000000"/>
      <name val="Arial"/>
      <family val="2"/>
    </font>
    <font>
      <sz val="10"/>
      <color rgb="FF000000"/>
      <name val="Arial"/>
      <family val="2"/>
    </font>
    <font>
      <b/>
      <sz val="9"/>
      <name val="Arial"/>
      <family val="2"/>
    </font>
    <font>
      <sz val="9"/>
      <name val="Arial"/>
      <family val="2"/>
    </font>
    <font>
      <sz val="10"/>
      <name val="Arial"/>
      <family val="2"/>
    </font>
    <font>
      <sz val="9"/>
      <color theme="1"/>
      <name val="Arial"/>
      <family val="2"/>
    </font>
    <font>
      <i/>
      <sz val="9"/>
      <color theme="1"/>
      <name val="Arial"/>
      <family val="2"/>
    </font>
    <font>
      <b/>
      <sz val="8"/>
      <name val="Arial"/>
      <family val="2"/>
    </font>
    <font>
      <sz val="10"/>
      <name val="Verdana"/>
      <family val="2"/>
    </font>
    <font>
      <b/>
      <sz val="10"/>
      <name val="Arial"/>
      <family val="2"/>
    </font>
    <font>
      <b/>
      <i/>
      <sz val="10"/>
      <color rgb="FF002060"/>
      <name val="Arial"/>
      <family val="2"/>
    </font>
    <font>
      <b/>
      <sz val="10"/>
      <color indexed="8"/>
      <name val="Arial"/>
      <family val="2"/>
    </font>
    <font>
      <i/>
      <sz val="11"/>
      <color theme="1"/>
      <name val="Calibri"/>
      <family val="2"/>
      <scheme val="minor"/>
    </font>
    <font>
      <b/>
      <i/>
      <sz val="12"/>
      <color rgb="FF0070C0"/>
      <name val="Arial"/>
      <family val="2"/>
    </font>
  </fonts>
  <fills count="8">
    <fill>
      <patternFill patternType="none"/>
    </fill>
    <fill>
      <patternFill patternType="gray125"/>
    </fill>
    <fill>
      <patternFill patternType="solid">
        <fgColor theme="0"/>
        <bgColor indexed="64"/>
      </patternFill>
    </fill>
    <fill>
      <patternFill patternType="solid">
        <fgColor rgb="FFC5D9F1"/>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theme="4" tint="0.79998168889431442"/>
        <bgColor indexed="64"/>
      </patternFill>
    </fill>
    <fill>
      <patternFill patternType="solid">
        <fgColor theme="9" tint="0.79998168889431442"/>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
    <xf numFmtId="0" fontId="0" fillId="0" borderId="0"/>
    <xf numFmtId="43" fontId="1" fillId="0" borderId="0" applyFont="0" applyFill="0" applyBorder="0" applyAlignment="0" applyProtection="0"/>
    <xf numFmtId="0" fontId="1" fillId="0" borderId="0"/>
    <xf numFmtId="0" fontId="4" fillId="0" borderId="0"/>
    <xf numFmtId="0" fontId="18" fillId="0" borderId="0"/>
    <xf numFmtId="9" fontId="1" fillId="0" borderId="0" applyFont="0" applyFill="0" applyBorder="0" applyAlignment="0" applyProtection="0"/>
  </cellStyleXfs>
  <cellXfs count="185">
    <xf numFmtId="0" fontId="0" fillId="0" borderId="0" xfId="0"/>
    <xf numFmtId="0" fontId="3" fillId="2" borderId="1" xfId="0" applyFont="1" applyFill="1" applyBorder="1" applyAlignment="1">
      <alignment horizontal="center"/>
    </xf>
    <xf numFmtId="0" fontId="3" fillId="2" borderId="2" xfId="0" applyFont="1" applyFill="1" applyBorder="1" applyAlignment="1">
      <alignment horizontal="center"/>
    </xf>
    <xf numFmtId="0" fontId="3" fillId="2" borderId="3" xfId="0" applyFont="1" applyFill="1" applyBorder="1" applyAlignment="1">
      <alignment horizontal="center"/>
    </xf>
    <xf numFmtId="164" fontId="3" fillId="2" borderId="4" xfId="0" applyNumberFormat="1" applyFont="1" applyFill="1" applyBorder="1" applyAlignment="1">
      <alignment horizontal="center" vertical="center"/>
    </xf>
    <xf numFmtId="0" fontId="0" fillId="2" borderId="1" xfId="0" applyFill="1" applyBorder="1" applyAlignment="1">
      <alignment horizontal="center"/>
    </xf>
    <xf numFmtId="165" fontId="0" fillId="0" borderId="3" xfId="0" applyNumberFormat="1" applyBorder="1" applyAlignment="1">
      <alignment horizontal="center" vertical="center"/>
    </xf>
    <xf numFmtId="0" fontId="0" fillId="2" borderId="5" xfId="0" applyFill="1" applyBorder="1" applyAlignment="1">
      <alignment horizontal="center" vertical="center"/>
    </xf>
    <xf numFmtId="0" fontId="0" fillId="2" borderId="6" xfId="0" applyFill="1" applyBorder="1" applyAlignment="1">
      <alignment horizontal="center" vertical="center"/>
    </xf>
    <xf numFmtId="0" fontId="3" fillId="2" borderId="1" xfId="0" applyFont="1" applyFill="1" applyBorder="1" applyAlignment="1">
      <alignment horizontal="center" vertical="center"/>
    </xf>
    <xf numFmtId="0" fontId="0" fillId="2" borderId="3" xfId="0" applyFill="1" applyBorder="1" applyAlignment="1">
      <alignment horizontal="center" vertical="center"/>
    </xf>
    <xf numFmtId="0" fontId="0" fillId="2" borderId="2" xfId="0" applyFill="1" applyBorder="1" applyAlignment="1">
      <alignment horizontal="center" vertical="center"/>
    </xf>
    <xf numFmtId="0" fontId="0" fillId="2" borderId="0" xfId="0" applyFill="1" applyAlignment="1">
      <alignment horizontal="center" vertical="center"/>
    </xf>
    <xf numFmtId="0" fontId="0" fillId="2" borderId="7" xfId="0" applyFill="1" applyBorder="1" applyAlignment="1">
      <alignment horizontal="center" vertical="center"/>
    </xf>
    <xf numFmtId="165" fontId="0" fillId="2" borderId="3" xfId="0" applyNumberFormat="1" applyFill="1" applyBorder="1" applyAlignment="1">
      <alignment horizontal="center" vertical="center"/>
    </xf>
    <xf numFmtId="2" fontId="0" fillId="2" borderId="0" xfId="0" applyNumberFormat="1" applyFill="1" applyAlignment="1">
      <alignment horizontal="center" vertical="center"/>
    </xf>
    <xf numFmtId="166" fontId="4" fillId="2" borderId="3" xfId="1" applyNumberFormat="1" applyFont="1" applyFill="1" applyBorder="1" applyAlignment="1">
      <alignment horizontal="center" vertical="center"/>
    </xf>
    <xf numFmtId="14" fontId="0" fillId="0" borderId="0" xfId="0" applyNumberFormat="1"/>
    <xf numFmtId="0" fontId="6" fillId="0" borderId="1" xfId="0" applyFont="1" applyBorder="1" applyAlignment="1">
      <alignment horizontal="center" vertical="center"/>
    </xf>
    <xf numFmtId="0" fontId="6" fillId="0" borderId="4" xfId="0" applyFont="1" applyBorder="1" applyAlignment="1">
      <alignment horizontal="center" vertical="center"/>
    </xf>
    <xf numFmtId="10" fontId="6" fillId="0" borderId="1" xfId="0" applyNumberFormat="1" applyFont="1" applyBorder="1" applyAlignment="1">
      <alignment horizontal="center" vertical="center"/>
    </xf>
    <xf numFmtId="10" fontId="6" fillId="0" borderId="4" xfId="0" applyNumberFormat="1" applyFont="1" applyBorder="1" applyAlignment="1">
      <alignment horizontal="center" vertical="center"/>
    </xf>
    <xf numFmtId="15" fontId="11" fillId="0" borderId="12" xfId="0" applyNumberFormat="1" applyFont="1" applyBorder="1" applyAlignment="1">
      <alignment horizontal="center" vertical="center"/>
    </xf>
    <xf numFmtId="0" fontId="2" fillId="4" borderId="0" xfId="0" applyFont="1" applyFill="1" applyAlignment="1">
      <alignment horizontal="center"/>
    </xf>
    <xf numFmtId="15" fontId="11" fillId="0" borderId="19" xfId="0" applyNumberFormat="1" applyFont="1" applyBorder="1" applyAlignment="1">
      <alignment horizontal="center" vertical="center"/>
    </xf>
    <xf numFmtId="15" fontId="11" fillId="0" borderId="20" xfId="0" applyNumberFormat="1" applyFont="1" applyBorder="1" applyAlignment="1">
      <alignment horizontal="center" vertical="center"/>
    </xf>
    <xf numFmtId="15" fontId="11" fillId="0" borderId="21" xfId="0" applyNumberFormat="1" applyFont="1" applyBorder="1" applyAlignment="1">
      <alignment horizontal="center" vertical="center"/>
    </xf>
    <xf numFmtId="15" fontId="11" fillId="0" borderId="23" xfId="0" applyNumberFormat="1" applyFont="1" applyBorder="1" applyAlignment="1">
      <alignment horizontal="center" vertical="center"/>
    </xf>
    <xf numFmtId="15" fontId="11" fillId="0" borderId="24" xfId="0" applyNumberFormat="1" applyFont="1" applyBorder="1" applyAlignment="1">
      <alignment horizontal="center" vertical="center"/>
    </xf>
    <xf numFmtId="15" fontId="11" fillId="5" borderId="8" xfId="0" applyNumberFormat="1" applyFont="1" applyFill="1" applyBorder="1" applyAlignment="1">
      <alignment horizontal="center" vertical="center"/>
    </xf>
    <xf numFmtId="15" fontId="11" fillId="5" borderId="12" xfId="0" applyNumberFormat="1" applyFont="1" applyFill="1" applyBorder="1" applyAlignment="1">
      <alignment horizontal="center" vertical="center"/>
    </xf>
    <xf numFmtId="0" fontId="10" fillId="3" borderId="18" xfId="0" applyFont="1" applyFill="1" applyBorder="1" applyAlignment="1">
      <alignment horizontal="center" vertical="center"/>
    </xf>
    <xf numFmtId="0" fontId="10" fillId="5" borderId="7" xfId="0" applyFont="1" applyFill="1" applyBorder="1" applyAlignment="1">
      <alignment horizontal="center" vertical="center" wrapText="1"/>
    </xf>
    <xf numFmtId="0" fontId="10" fillId="3" borderId="6" xfId="0" applyFont="1" applyFill="1" applyBorder="1" applyAlignment="1">
      <alignment horizontal="center" vertical="center"/>
    </xf>
    <xf numFmtId="0" fontId="10" fillId="5" borderId="6" xfId="0" applyFont="1" applyFill="1" applyBorder="1" applyAlignment="1">
      <alignment horizontal="center" vertical="center" wrapText="1"/>
    </xf>
    <xf numFmtId="0" fontId="10" fillId="3" borderId="22" xfId="0" applyFont="1" applyFill="1" applyBorder="1" applyAlignment="1">
      <alignment horizontal="center" vertical="center"/>
    </xf>
    <xf numFmtId="0" fontId="1" fillId="2" borderId="0" xfId="2" applyFill="1"/>
    <xf numFmtId="0" fontId="12" fillId="2" borderId="3" xfId="2" applyFont="1" applyFill="1" applyBorder="1" applyAlignment="1">
      <alignment vertical="center"/>
    </xf>
    <xf numFmtId="0" fontId="13" fillId="2" borderId="3" xfId="2" applyFont="1" applyFill="1" applyBorder="1" applyAlignment="1">
      <alignment horizontal="right" vertical="center"/>
    </xf>
    <xf numFmtId="0" fontId="14" fillId="2" borderId="0" xfId="2" applyFont="1" applyFill="1" applyAlignment="1">
      <alignment horizontal="right" vertical="center"/>
    </xf>
    <xf numFmtId="0" fontId="14" fillId="2" borderId="0" xfId="2" applyFont="1" applyFill="1" applyAlignment="1">
      <alignment horizontal="right"/>
    </xf>
    <xf numFmtId="0" fontId="15" fillId="2" borderId="0" xfId="2" applyFont="1" applyFill="1" applyAlignment="1">
      <alignment vertical="center"/>
    </xf>
    <xf numFmtId="0" fontId="4" fillId="2" borderId="0" xfId="2" applyFont="1" applyFill="1" applyAlignment="1">
      <alignment vertical="center"/>
    </xf>
    <xf numFmtId="0" fontId="7" fillId="2" borderId="1" xfId="2" applyFont="1" applyFill="1" applyBorder="1" applyAlignment="1">
      <alignment horizontal="justify" vertical="center"/>
    </xf>
    <xf numFmtId="0" fontId="13" fillId="2" borderId="0" xfId="2" applyFont="1" applyFill="1" applyAlignment="1">
      <alignment horizontal="right" vertical="center"/>
    </xf>
    <xf numFmtId="0" fontId="12" fillId="2" borderId="0" xfId="2" applyFont="1" applyFill="1" applyAlignment="1">
      <alignment vertical="center"/>
    </xf>
    <xf numFmtId="49" fontId="12" fillId="2" borderId="0" xfId="2" applyNumberFormat="1" applyFont="1" applyFill="1" applyAlignment="1">
      <alignment horizontal="right" vertical="center"/>
    </xf>
    <xf numFmtId="0" fontId="15" fillId="2" borderId="1" xfId="2" applyFont="1" applyFill="1" applyBorder="1" applyAlignment="1">
      <alignment vertical="center"/>
    </xf>
    <xf numFmtId="0" fontId="7" fillId="2" borderId="1" xfId="2" applyFont="1" applyFill="1" applyBorder="1" applyAlignment="1">
      <alignment horizontal="center" vertical="center" wrapText="1"/>
    </xf>
    <xf numFmtId="17" fontId="12" fillId="2" borderId="0" xfId="2" quotePrefix="1" applyNumberFormat="1" applyFont="1" applyFill="1" applyAlignment="1">
      <alignment horizontal="right" vertical="center"/>
    </xf>
    <xf numFmtId="0" fontId="15" fillId="2" borderId="1" xfId="2" applyFont="1" applyFill="1" applyBorder="1" applyAlignment="1">
      <alignment horizontal="justify" vertical="center"/>
    </xf>
    <xf numFmtId="167" fontId="15" fillId="2" borderId="1" xfId="2" applyNumberFormat="1" applyFont="1" applyFill="1" applyBorder="1" applyAlignment="1">
      <alignment horizontal="right" vertical="center"/>
    </xf>
    <xf numFmtId="0" fontId="12" fillId="2" borderId="0" xfId="2" applyFont="1" applyFill="1" applyAlignment="1">
      <alignment horizontal="right" vertical="center"/>
    </xf>
    <xf numFmtId="0" fontId="13" fillId="2" borderId="17" xfId="2" applyFont="1" applyFill="1" applyBorder="1" applyAlignment="1">
      <alignment vertical="center"/>
    </xf>
    <xf numFmtId="0" fontId="13" fillId="2" borderId="17" xfId="2" applyFont="1" applyFill="1" applyBorder="1" applyAlignment="1">
      <alignment horizontal="right" vertical="center"/>
    </xf>
    <xf numFmtId="0" fontId="15" fillId="2" borderId="17" xfId="2" applyFont="1" applyFill="1" applyBorder="1" applyAlignment="1">
      <alignment vertical="center"/>
    </xf>
    <xf numFmtId="0" fontId="12" fillId="2" borderId="17" xfId="2" applyFont="1" applyFill="1" applyBorder="1" applyAlignment="1">
      <alignment vertical="center"/>
    </xf>
    <xf numFmtId="3" fontId="13" fillId="2" borderId="17" xfId="2" applyNumberFormat="1" applyFont="1" applyFill="1" applyBorder="1" applyAlignment="1">
      <alignment horizontal="right" vertical="center"/>
    </xf>
    <xf numFmtId="3" fontId="14" fillId="2" borderId="0" xfId="2" applyNumberFormat="1" applyFont="1" applyFill="1" applyAlignment="1">
      <alignment horizontal="right" vertical="center"/>
    </xf>
    <xf numFmtId="3" fontId="14" fillId="2" borderId="0" xfId="2" applyNumberFormat="1" applyFont="1" applyFill="1" applyAlignment="1">
      <alignment horizontal="right"/>
    </xf>
    <xf numFmtId="168" fontId="15" fillId="2" borderId="1" xfId="2" applyNumberFormat="1" applyFont="1" applyFill="1" applyBorder="1" applyAlignment="1">
      <alignment vertical="center"/>
    </xf>
    <xf numFmtId="4" fontId="12" fillId="2" borderId="17" xfId="2" applyNumberFormat="1" applyFont="1" applyFill="1" applyBorder="1" applyAlignment="1">
      <alignment horizontal="right" vertical="center"/>
    </xf>
    <xf numFmtId="0" fontId="16" fillId="2" borderId="0" xfId="2" applyFont="1" applyFill="1" applyAlignment="1">
      <alignment vertical="center"/>
    </xf>
    <xf numFmtId="167" fontId="13" fillId="2" borderId="17" xfId="2" applyNumberFormat="1" applyFont="1" applyFill="1" applyBorder="1" applyAlignment="1">
      <alignment horizontal="right" vertical="center"/>
    </xf>
    <xf numFmtId="0" fontId="13" fillId="2" borderId="3" xfId="2" applyFont="1" applyFill="1" applyBorder="1" applyAlignment="1">
      <alignment vertical="center"/>
    </xf>
    <xf numFmtId="3" fontId="13" fillId="2" borderId="3" xfId="2" applyNumberFormat="1" applyFont="1" applyFill="1" applyBorder="1" applyAlignment="1">
      <alignment horizontal="right" vertical="center"/>
    </xf>
    <xf numFmtId="0" fontId="17" fillId="2" borderId="1" xfId="0" applyFont="1" applyFill="1" applyBorder="1" applyAlignment="1">
      <alignment horizontal="right"/>
    </xf>
    <xf numFmtId="4" fontId="12" fillId="2" borderId="3" xfId="2" applyNumberFormat="1" applyFont="1" applyFill="1" applyBorder="1" applyAlignment="1">
      <alignment horizontal="right" vertical="center"/>
    </xf>
    <xf numFmtId="0" fontId="17" fillId="2" borderId="3" xfId="0" applyFont="1" applyFill="1" applyBorder="1" applyAlignment="1">
      <alignment horizontal="right"/>
    </xf>
    <xf numFmtId="0" fontId="4" fillId="2" borderId="0" xfId="2" applyFont="1" applyFill="1"/>
    <xf numFmtId="0" fontId="7" fillId="2" borderId="12" xfId="2" applyFont="1" applyFill="1" applyBorder="1" applyAlignment="1">
      <alignment horizontal="justify" vertical="center"/>
    </xf>
    <xf numFmtId="0" fontId="7" fillId="2" borderId="1" xfId="2" applyFont="1" applyFill="1" applyBorder="1" applyAlignment="1">
      <alignment vertical="center"/>
    </xf>
    <xf numFmtId="168" fontId="15" fillId="2" borderId="1" xfId="2" applyNumberFormat="1" applyFont="1" applyFill="1" applyBorder="1" applyAlignment="1">
      <alignment horizontal="right" vertical="center"/>
    </xf>
    <xf numFmtId="0" fontId="4" fillId="2" borderId="3" xfId="2" applyFont="1" applyFill="1" applyBorder="1" applyAlignment="1">
      <alignment vertical="center"/>
    </xf>
    <xf numFmtId="168" fontId="7" fillId="2" borderId="1" xfId="2" applyNumberFormat="1" applyFont="1" applyFill="1" applyBorder="1" applyAlignment="1">
      <alignment horizontal="right" vertical="center"/>
    </xf>
    <xf numFmtId="0" fontId="1" fillId="2" borderId="0" xfId="2" applyFill="1" applyAlignment="1">
      <alignment vertical="center"/>
    </xf>
    <xf numFmtId="0" fontId="15" fillId="2" borderId="1" xfId="2" applyFont="1" applyFill="1" applyBorder="1" applyAlignment="1">
      <alignment vertical="center" wrapText="1"/>
    </xf>
    <xf numFmtId="0" fontId="15" fillId="2" borderId="1" xfId="2" applyFont="1" applyFill="1" applyBorder="1" applyAlignment="1">
      <alignment horizontal="justify" vertical="center" wrapText="1"/>
    </xf>
    <xf numFmtId="0" fontId="12" fillId="0" borderId="26" xfId="3" applyFont="1" applyBorder="1" applyAlignment="1">
      <alignment horizontal="center" vertical="center" wrapText="1"/>
    </xf>
    <xf numFmtId="0" fontId="12" fillId="0" borderId="26" xfId="4" applyFont="1" applyBorder="1" applyAlignment="1">
      <alignment horizontal="center" vertical="center" wrapText="1"/>
    </xf>
    <xf numFmtId="0" fontId="12" fillId="0" borderId="26" xfId="4" applyFont="1" applyBorder="1" applyAlignment="1">
      <alignment horizontal="right" vertical="center" wrapText="1"/>
    </xf>
    <xf numFmtId="17" fontId="12" fillId="0" borderId="26" xfId="4" applyNumberFormat="1" applyFont="1" applyBorder="1" applyAlignment="1">
      <alignment horizontal="center" vertical="center" wrapText="1"/>
    </xf>
    <xf numFmtId="17" fontId="12" fillId="0" borderId="27" xfId="4" applyNumberFormat="1" applyFont="1" applyBorder="1" applyAlignment="1">
      <alignment horizontal="center" vertical="center" wrapText="1"/>
    </xf>
    <xf numFmtId="0" fontId="12" fillId="0" borderId="30" xfId="3" applyFont="1" applyBorder="1" applyAlignment="1">
      <alignment horizontal="center" vertical="center" wrapText="1"/>
    </xf>
    <xf numFmtId="0" fontId="12" fillId="0" borderId="31" xfId="4" applyFont="1" applyBorder="1" applyAlignment="1">
      <alignment horizontal="center" vertical="center" wrapText="1"/>
    </xf>
    <xf numFmtId="0" fontId="12" fillId="0" borderId="32" xfId="4" applyFont="1" applyBorder="1" applyAlignment="1">
      <alignment horizontal="center" vertical="center" wrapText="1"/>
    </xf>
    <xf numFmtId="17" fontId="0" fillId="0" borderId="0" xfId="0" applyNumberFormat="1"/>
    <xf numFmtId="17" fontId="7" fillId="4" borderId="13" xfId="0" applyNumberFormat="1" applyFont="1" applyFill="1" applyBorder="1"/>
    <xf numFmtId="0" fontId="7" fillId="4" borderId="14" xfId="0" applyFont="1" applyFill="1" applyBorder="1"/>
    <xf numFmtId="0" fontId="7" fillId="4" borderId="14" xfId="0" applyFont="1" applyFill="1" applyBorder="1" applyAlignment="1">
      <alignment horizontal="center"/>
    </xf>
    <xf numFmtId="17" fontId="7" fillId="4" borderId="1" xfId="0" applyNumberFormat="1" applyFont="1" applyFill="1" applyBorder="1" applyAlignment="1">
      <alignment horizontal="center"/>
    </xf>
    <xf numFmtId="0" fontId="12" fillId="4" borderId="35" xfId="0" applyFont="1" applyFill="1" applyBorder="1" applyAlignment="1">
      <alignment horizontal="center" vertical="center" wrapText="1"/>
    </xf>
    <xf numFmtId="0" fontId="12" fillId="4" borderId="37" xfId="0" applyFont="1" applyFill="1" applyBorder="1" applyAlignment="1">
      <alignment horizontal="center" vertical="center" wrapText="1"/>
    </xf>
    <xf numFmtId="0" fontId="12" fillId="4" borderId="1"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2" fillId="4" borderId="2" xfId="0" applyFont="1" applyFill="1" applyBorder="1" applyAlignment="1">
      <alignment horizontal="center" vertical="center" wrapText="1"/>
    </xf>
    <xf numFmtId="0" fontId="13" fillId="4" borderId="39" xfId="0" applyFont="1" applyFill="1" applyBorder="1" applyAlignment="1">
      <alignment horizontal="left" vertical="center"/>
    </xf>
    <xf numFmtId="0" fontId="13" fillId="4" borderId="1" xfId="0" applyFont="1" applyFill="1" applyBorder="1" applyAlignment="1">
      <alignment horizontal="left" vertical="center"/>
    </xf>
    <xf numFmtId="0" fontId="13" fillId="4" borderId="1" xfId="0" applyFont="1" applyFill="1" applyBorder="1" applyAlignment="1">
      <alignment horizontal="center" vertical="center"/>
    </xf>
    <xf numFmtId="0" fontId="13" fillId="4" borderId="40" xfId="0" applyFont="1" applyFill="1" applyBorder="1" applyAlignment="1">
      <alignment horizontal="center" vertical="center"/>
    </xf>
    <xf numFmtId="0" fontId="15" fillId="2" borderId="1" xfId="0" applyFont="1" applyFill="1" applyBorder="1" applyAlignment="1">
      <alignment horizontal="center" vertical="center"/>
    </xf>
    <xf numFmtId="0" fontId="15" fillId="2" borderId="4" xfId="0" applyFont="1" applyFill="1" applyBorder="1" applyAlignment="1">
      <alignment horizontal="center" vertical="center"/>
    </xf>
    <xf numFmtId="1" fontId="15" fillId="2" borderId="41" xfId="0" applyNumberFormat="1" applyFont="1" applyFill="1" applyBorder="1" applyAlignment="1">
      <alignment horizontal="left" vertical="center"/>
    </xf>
    <xf numFmtId="0" fontId="13" fillId="4" borderId="1" xfId="0" applyFont="1" applyFill="1" applyBorder="1" applyAlignment="1">
      <alignment horizontal="left" vertical="center" wrapText="1"/>
    </xf>
    <xf numFmtId="0" fontId="15" fillId="0" borderId="1" xfId="0" applyFont="1" applyBorder="1" applyAlignment="1">
      <alignment horizontal="center" vertical="center"/>
    </xf>
    <xf numFmtId="0" fontId="15" fillId="0" borderId="4" xfId="0" applyFont="1" applyBorder="1" applyAlignment="1">
      <alignment horizontal="center" vertical="center"/>
    </xf>
    <xf numFmtId="0" fontId="15" fillId="4" borderId="42" xfId="0" applyFont="1" applyFill="1" applyBorder="1" applyAlignment="1">
      <alignment horizontal="center"/>
    </xf>
    <xf numFmtId="0" fontId="15" fillId="4" borderId="43" xfId="0" applyFont="1" applyFill="1" applyBorder="1"/>
    <xf numFmtId="0" fontId="15" fillId="4" borderId="23" xfId="0" applyFont="1" applyFill="1" applyBorder="1" applyAlignment="1">
      <alignment horizontal="center"/>
    </xf>
    <xf numFmtId="0" fontId="13" fillId="4" borderId="24" xfId="0" applyFont="1" applyFill="1" applyBorder="1" applyAlignment="1">
      <alignment horizontal="center"/>
    </xf>
    <xf numFmtId="1" fontId="13" fillId="2" borderId="23" xfId="0" applyNumberFormat="1" applyFont="1" applyFill="1" applyBorder="1" applyAlignment="1">
      <alignment horizontal="center"/>
    </xf>
    <xf numFmtId="1" fontId="13" fillId="2" borderId="29" xfId="0" applyNumberFormat="1" applyFont="1" applyFill="1" applyBorder="1" applyAlignment="1">
      <alignment horizontal="center"/>
    </xf>
    <xf numFmtId="1" fontId="13" fillId="2" borderId="1" xfId="0" applyNumberFormat="1" applyFont="1" applyFill="1" applyBorder="1" applyAlignment="1">
      <alignment horizontal="center"/>
    </xf>
    <xf numFmtId="1" fontId="15" fillId="2" borderId="44" xfId="0" applyNumberFormat="1" applyFont="1" applyFill="1" applyBorder="1" applyAlignment="1">
      <alignment horizontal="left" vertical="center"/>
    </xf>
    <xf numFmtId="0" fontId="13" fillId="4" borderId="1" xfId="0" applyFont="1" applyFill="1" applyBorder="1" applyAlignment="1">
      <alignment horizontal="left" vertical="top" wrapText="1"/>
    </xf>
    <xf numFmtId="1" fontId="0" fillId="0" borderId="0" xfId="0" applyNumberFormat="1"/>
    <xf numFmtId="0" fontId="0" fillId="0" borderId="0" xfId="0" applyAlignment="1">
      <alignment horizontal="center" vertical="center"/>
    </xf>
    <xf numFmtId="0" fontId="15" fillId="0" borderId="0" xfId="0" applyFont="1" applyAlignment="1">
      <alignment horizontal="center" vertical="center"/>
    </xf>
    <xf numFmtId="0" fontId="0" fillId="6" borderId="0" xfId="0" applyFill="1"/>
    <xf numFmtId="0" fontId="19" fillId="7" borderId="1" xfId="2" applyFont="1" applyFill="1" applyBorder="1" applyAlignment="1">
      <alignment horizontal="center" vertical="top" wrapText="1"/>
    </xf>
    <xf numFmtId="0" fontId="0" fillId="0" borderId="1" xfId="0" applyBorder="1"/>
    <xf numFmtId="0" fontId="2" fillId="0" borderId="1" xfId="0" applyFont="1" applyBorder="1"/>
    <xf numFmtId="0" fontId="0" fillId="0" borderId="1" xfId="0" applyBorder="1" applyAlignment="1">
      <alignment vertical="center" wrapText="1"/>
    </xf>
    <xf numFmtId="0" fontId="3" fillId="0" borderId="1" xfId="2" applyFont="1" applyBorder="1"/>
    <xf numFmtId="15" fontId="4" fillId="0" borderId="1" xfId="2" applyNumberFormat="1" applyFont="1" applyBorder="1"/>
    <xf numFmtId="0" fontId="4" fillId="0" borderId="1" xfId="2" applyFont="1" applyBorder="1"/>
    <xf numFmtId="2" fontId="4" fillId="0" borderId="1" xfId="2" applyNumberFormat="1" applyFont="1" applyBorder="1"/>
    <xf numFmtId="14" fontId="4" fillId="0" borderId="1" xfId="2" applyNumberFormat="1" applyFont="1" applyBorder="1"/>
    <xf numFmtId="170" fontId="4" fillId="0" borderId="1" xfId="2" applyNumberFormat="1" applyFont="1" applyBorder="1"/>
    <xf numFmtId="0" fontId="4" fillId="0" borderId="1" xfId="2" applyFont="1" applyBorder="1" applyAlignment="1">
      <alignment wrapText="1"/>
    </xf>
    <xf numFmtId="171" fontId="0" fillId="0" borderId="1" xfId="0" applyNumberFormat="1" applyBorder="1"/>
    <xf numFmtId="1" fontId="0" fillId="0" borderId="1" xfId="0" applyNumberFormat="1" applyBorder="1"/>
    <xf numFmtId="10" fontId="4" fillId="0" borderId="1" xfId="5" applyNumberFormat="1" applyFont="1" applyBorder="1"/>
    <xf numFmtId="0" fontId="2" fillId="6" borderId="1" xfId="0" applyFont="1" applyFill="1" applyBorder="1"/>
    <xf numFmtId="0" fontId="2"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169" fontId="2" fillId="6" borderId="1" xfId="0" applyNumberFormat="1" applyFont="1" applyFill="1" applyBorder="1" applyAlignment="1">
      <alignment horizontal="left"/>
    </xf>
    <xf numFmtId="0" fontId="23" fillId="6" borderId="1" xfId="0" applyFont="1" applyFill="1" applyBorder="1"/>
    <xf numFmtId="0" fontId="22" fillId="6" borderId="1" xfId="0" applyFont="1" applyFill="1" applyBorder="1"/>
    <xf numFmtId="0" fontId="3" fillId="0" borderId="4" xfId="0" applyFont="1" applyBorder="1" applyAlignment="1">
      <alignment horizontal="left" vertical="center"/>
    </xf>
    <xf numFmtId="0" fontId="3" fillId="0" borderId="3" xfId="0" applyFont="1" applyBorder="1" applyAlignment="1">
      <alignment horizontal="left" vertical="center"/>
    </xf>
    <xf numFmtId="0" fontId="3" fillId="0" borderId="2" xfId="0" applyFont="1" applyBorder="1" applyAlignment="1">
      <alignment horizontal="left" vertical="center"/>
    </xf>
    <xf numFmtId="0" fontId="0" fillId="2" borderId="1" xfId="0" applyFill="1" applyBorder="1" applyAlignment="1">
      <alignment horizontal="center"/>
    </xf>
    <xf numFmtId="0" fontId="0" fillId="0" borderId="1" xfId="0" applyBorder="1" applyAlignment="1">
      <alignment horizontal="center"/>
    </xf>
    <xf numFmtId="0" fontId="2" fillId="2" borderId="1" xfId="0" applyFont="1" applyFill="1" applyBorder="1" applyAlignment="1">
      <alignment horizontal="center" vertical="center"/>
    </xf>
    <xf numFmtId="0" fontId="10" fillId="3" borderId="13" xfId="0" applyFont="1" applyFill="1" applyBorder="1" applyAlignment="1">
      <alignment horizontal="center" vertical="center" wrapText="1"/>
    </xf>
    <xf numFmtId="0" fontId="10" fillId="3" borderId="14" xfId="0" applyFont="1" applyFill="1" applyBorder="1" applyAlignment="1">
      <alignment horizontal="center" vertical="center" wrapText="1"/>
    </xf>
    <xf numFmtId="0" fontId="10" fillId="3" borderId="15"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3" borderId="16" xfId="0" applyFont="1" applyFill="1" applyBorder="1" applyAlignment="1">
      <alignment horizontal="center" vertical="center" wrapText="1"/>
    </xf>
    <xf numFmtId="0" fontId="2" fillId="4" borderId="17" xfId="0" applyFont="1" applyFill="1" applyBorder="1" applyAlignment="1">
      <alignment horizontal="center"/>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6" xfId="0" applyFont="1" applyBorder="1" applyAlignment="1">
      <alignment horizontal="center" vertical="center" wrapText="1"/>
    </xf>
    <xf numFmtId="0" fontId="6" fillId="3" borderId="1" xfId="0" applyFont="1" applyFill="1" applyBorder="1" applyAlignment="1">
      <alignment vertical="center"/>
    </xf>
    <xf numFmtId="0" fontId="6" fillId="0" borderId="1"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wrapText="1"/>
    </xf>
    <xf numFmtId="0" fontId="6" fillId="3" borderId="12" xfId="0" applyFont="1" applyFill="1" applyBorder="1" applyAlignment="1">
      <alignment vertical="center"/>
    </xf>
    <xf numFmtId="0" fontId="6" fillId="0" borderId="9" xfId="0" applyFont="1" applyBorder="1" applyAlignment="1">
      <alignment horizontal="center" vertical="center" wrapText="1"/>
    </xf>
    <xf numFmtId="0" fontId="6" fillId="0" borderId="5" xfId="0" applyFont="1" applyBorder="1" applyAlignment="1">
      <alignment horizontal="center" vertical="center" wrapText="1"/>
    </xf>
    <xf numFmtId="0" fontId="20" fillId="0" borderId="0" xfId="0" applyFont="1" applyAlignment="1">
      <alignment horizontal="left" vertical="top" wrapText="1"/>
    </xf>
    <xf numFmtId="0" fontId="12" fillId="0" borderId="25" xfId="3" applyFont="1" applyBorder="1" applyAlignment="1">
      <alignment horizontal="center" vertical="center" wrapText="1"/>
    </xf>
    <xf numFmtId="0" fontId="12" fillId="0" borderId="28" xfId="3" applyFont="1" applyBorder="1" applyAlignment="1">
      <alignment horizontal="center" vertical="center" wrapText="1"/>
    </xf>
    <xf numFmtId="0" fontId="12" fillId="0" borderId="19" xfId="3" applyFont="1" applyBorder="1" applyAlignment="1">
      <alignment horizontal="center" vertical="center" wrapText="1"/>
    </xf>
    <xf numFmtId="0" fontId="12" fillId="0" borderId="23" xfId="3" applyFont="1" applyBorder="1" applyAlignment="1">
      <alignment horizontal="center" vertical="center" wrapText="1"/>
    </xf>
    <xf numFmtId="0" fontId="12" fillId="0" borderId="29" xfId="3" applyFont="1" applyBorder="1" applyAlignment="1">
      <alignment horizontal="center" vertical="center" wrapText="1"/>
    </xf>
    <xf numFmtId="0" fontId="2" fillId="0" borderId="11" xfId="0" applyFont="1" applyBorder="1" applyAlignment="1">
      <alignment horizontal="center" vertical="center"/>
    </xf>
    <xf numFmtId="0" fontId="2" fillId="0" borderId="16" xfId="0" applyFont="1" applyBorder="1" applyAlignment="1">
      <alignment horizontal="center" vertical="center"/>
    </xf>
    <xf numFmtId="0" fontId="2" fillId="0" borderId="10" xfId="0" applyFont="1" applyBorder="1" applyAlignment="1">
      <alignment horizontal="center" vertical="center"/>
    </xf>
    <xf numFmtId="0" fontId="13" fillId="4" borderId="39" xfId="0" applyFont="1" applyFill="1" applyBorder="1" applyAlignment="1">
      <alignment horizontal="left" vertical="center"/>
    </xf>
    <xf numFmtId="0" fontId="7" fillId="2" borderId="33" xfId="0" applyFont="1" applyFill="1" applyBorder="1" applyAlignment="1">
      <alignment horizontal="center" vertical="center" wrapText="1"/>
    </xf>
    <xf numFmtId="0" fontId="7" fillId="2" borderId="38" xfId="0" applyFont="1" applyFill="1" applyBorder="1" applyAlignment="1">
      <alignment horizontal="center" vertical="center" wrapText="1"/>
    </xf>
    <xf numFmtId="0" fontId="12" fillId="4" borderId="34" xfId="0" applyFont="1" applyFill="1" applyBorder="1" applyAlignment="1">
      <alignment horizontal="center" vertical="center" wrapText="1"/>
    </xf>
    <xf numFmtId="0" fontId="13" fillId="4" borderId="39" xfId="0" applyFont="1" applyFill="1" applyBorder="1" applyAlignment="1">
      <alignment vertical="center" wrapText="1"/>
    </xf>
    <xf numFmtId="0" fontId="12" fillId="4" borderId="35" xfId="0" applyFont="1" applyFill="1" applyBorder="1" applyAlignment="1">
      <alignment horizontal="center" vertical="center" wrapText="1"/>
    </xf>
    <xf numFmtId="0" fontId="12" fillId="4" borderId="1"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2" fillId="4" borderId="36"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21" fillId="7" borderId="1" xfId="2" applyFont="1" applyFill="1" applyBorder="1" applyAlignment="1">
      <alignment horizontal="center" vertical="center"/>
    </xf>
    <xf numFmtId="0" fontId="19" fillId="7" borderId="1" xfId="2" applyFont="1" applyFill="1" applyBorder="1" applyAlignment="1">
      <alignment horizontal="left" vertical="top" wrapText="1"/>
    </xf>
    <xf numFmtId="0" fontId="4" fillId="0" borderId="4" xfId="2" applyFont="1" applyBorder="1" applyAlignment="1">
      <alignment horizontal="left" vertical="top" wrapText="1"/>
    </xf>
    <xf numFmtId="0" fontId="4" fillId="0" borderId="2" xfId="2" applyFont="1" applyBorder="1" applyAlignment="1">
      <alignment horizontal="left" vertical="top" wrapText="1"/>
    </xf>
  </cellXfs>
  <cellStyles count="6">
    <cellStyle name="Comma" xfId="1" builtinId="3"/>
    <cellStyle name="Normal" xfId="0" builtinId="0"/>
    <cellStyle name="Normal 2" xfId="2" xr:uid="{101955AF-0726-4273-9787-8BD08F377DE6}"/>
    <cellStyle name="Normal 4" xfId="3" xr:uid="{BBF09815-8EDE-4072-B329-63C78197D322}"/>
    <cellStyle name="Normal_Marketing Managers CDM status" xfId="4" xr:uid="{E4F8A874-50C0-4E37-9317-8307CFE45B95}"/>
    <cellStyle name="Percent" xfId="5"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F010C-E8B6-4804-BF28-9614C1897BEA}">
  <dimension ref="A1:I16"/>
  <sheetViews>
    <sheetView zoomScale="90" zoomScaleNormal="90" workbookViewId="0">
      <selection activeCell="B24" sqref="B24"/>
    </sheetView>
  </sheetViews>
  <sheetFormatPr defaultRowHeight="14.5" x14ac:dyDescent="0.35"/>
  <cols>
    <col min="1" max="1" width="21.54296875" customWidth="1"/>
    <col min="2" max="2" width="15.26953125" customWidth="1"/>
    <col min="4" max="4" width="15.6328125" customWidth="1"/>
    <col min="9" max="9" width="10.08984375" bestFit="1" customWidth="1"/>
  </cols>
  <sheetData>
    <row r="1" spans="1:9" x14ac:dyDescent="0.35">
      <c r="A1" s="1" t="s">
        <v>0</v>
      </c>
      <c r="B1" s="2" t="s">
        <v>1</v>
      </c>
      <c r="C1" s="3"/>
      <c r="D1" s="4"/>
      <c r="E1" s="2"/>
    </row>
    <row r="2" spans="1:9" x14ac:dyDescent="0.35">
      <c r="A2" s="5" t="s">
        <v>2</v>
      </c>
      <c r="B2" s="6">
        <v>44791</v>
      </c>
      <c r="C2" s="7"/>
      <c r="D2" s="7"/>
      <c r="E2" s="8"/>
    </row>
    <row r="3" spans="1:9" x14ac:dyDescent="0.35">
      <c r="A3" s="9" t="s">
        <v>3</v>
      </c>
      <c r="B3" s="139" t="s">
        <v>4</v>
      </c>
      <c r="C3" s="140"/>
      <c r="D3" s="140"/>
      <c r="E3" s="141"/>
    </row>
    <row r="4" spans="1:9" x14ac:dyDescent="0.35">
      <c r="A4" s="9"/>
      <c r="B4" s="7"/>
      <c r="C4" s="7"/>
      <c r="D4" s="7"/>
      <c r="E4" s="8"/>
    </row>
    <row r="5" spans="1:9" x14ac:dyDescent="0.35">
      <c r="A5" s="9" t="s">
        <v>5</v>
      </c>
      <c r="B5" s="10">
        <v>6004</v>
      </c>
      <c r="C5" s="10"/>
      <c r="D5" s="10"/>
      <c r="E5" s="11"/>
    </row>
    <row r="6" spans="1:9" x14ac:dyDescent="0.35">
      <c r="A6" s="9"/>
      <c r="B6" s="12"/>
      <c r="C6" s="12"/>
      <c r="D6" s="12"/>
      <c r="E6" s="13"/>
    </row>
    <row r="7" spans="1:9" x14ac:dyDescent="0.35">
      <c r="A7" s="9" t="s">
        <v>6</v>
      </c>
      <c r="B7" s="14">
        <v>41115</v>
      </c>
      <c r="C7" s="10"/>
      <c r="D7" s="10"/>
      <c r="E7" s="11"/>
    </row>
    <row r="8" spans="1:9" x14ac:dyDescent="0.35">
      <c r="A8" s="9"/>
      <c r="B8" s="12"/>
      <c r="C8" s="12"/>
      <c r="D8" s="12"/>
      <c r="E8" s="13"/>
    </row>
    <row r="9" spans="1:9" x14ac:dyDescent="0.35">
      <c r="A9" s="9" t="s">
        <v>7</v>
      </c>
      <c r="B9" s="10" t="s">
        <v>8</v>
      </c>
      <c r="C9" s="10"/>
      <c r="D9" s="10"/>
      <c r="E9" s="11"/>
    </row>
    <row r="10" spans="1:9" x14ac:dyDescent="0.35">
      <c r="A10" s="9"/>
      <c r="B10" s="12"/>
      <c r="C10" s="12"/>
      <c r="D10" s="12"/>
      <c r="E10" s="13"/>
    </row>
    <row r="11" spans="1:9" x14ac:dyDescent="0.35">
      <c r="A11" s="9" t="s">
        <v>9</v>
      </c>
      <c r="B11" s="14">
        <v>44197</v>
      </c>
      <c r="C11" s="10" t="s">
        <v>10</v>
      </c>
      <c r="D11" s="14">
        <v>44773</v>
      </c>
      <c r="E11" s="11"/>
    </row>
    <row r="12" spans="1:9" x14ac:dyDescent="0.35">
      <c r="A12" s="9"/>
      <c r="B12" s="12">
        <f>D11-B11+1</f>
        <v>577</v>
      </c>
      <c r="C12" s="12" t="s">
        <v>11</v>
      </c>
      <c r="D12" s="15"/>
      <c r="E12" s="13"/>
    </row>
    <row r="13" spans="1:9" ht="15.5" x14ac:dyDescent="0.35">
      <c r="A13" s="9" t="s">
        <v>12</v>
      </c>
      <c r="B13" s="16">
        <f>'CER Calculation'!C16</f>
        <v>47201</v>
      </c>
      <c r="C13" s="10"/>
      <c r="D13" s="10" t="s">
        <v>13</v>
      </c>
      <c r="E13" s="11"/>
      <c r="I13" s="17"/>
    </row>
    <row r="14" spans="1:9" x14ac:dyDescent="0.35">
      <c r="A14" s="144" t="s">
        <v>17</v>
      </c>
      <c r="B14" s="142" t="s">
        <v>14</v>
      </c>
      <c r="C14" s="142"/>
      <c r="D14" s="142"/>
      <c r="E14" s="142"/>
      <c r="I14" s="17"/>
    </row>
    <row r="15" spans="1:9" x14ac:dyDescent="0.35">
      <c r="A15" s="144"/>
      <c r="B15" s="143" t="s">
        <v>15</v>
      </c>
      <c r="C15" s="143"/>
      <c r="D15" s="143"/>
      <c r="E15" s="143"/>
    </row>
    <row r="16" spans="1:9" x14ac:dyDescent="0.35">
      <c r="A16" s="144"/>
      <c r="B16" s="143" t="s">
        <v>16</v>
      </c>
      <c r="C16" s="143"/>
      <c r="D16" s="143"/>
      <c r="E16" s="143"/>
    </row>
  </sheetData>
  <mergeCells count="5">
    <mergeCell ref="B3:E3"/>
    <mergeCell ref="B14:E14"/>
    <mergeCell ref="B15:E15"/>
    <mergeCell ref="B16:E16"/>
    <mergeCell ref="A14:A16"/>
  </mergeCells>
  <pageMargins left="0.7" right="0.7" top="0.75" bottom="0.75"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0F6409-5CCD-4604-BB06-59A885D2E5C9}">
  <dimension ref="B1:H13"/>
  <sheetViews>
    <sheetView topLeftCell="B7" workbookViewId="0">
      <selection activeCell="E13" sqref="E13"/>
    </sheetView>
  </sheetViews>
  <sheetFormatPr defaultRowHeight="14.5" x14ac:dyDescent="0.35"/>
  <cols>
    <col min="3" max="3" width="11.81640625" customWidth="1"/>
    <col min="4" max="4" width="14" customWidth="1"/>
    <col min="5" max="5" width="23.90625" customWidth="1"/>
    <col min="6" max="6" width="14.1796875" customWidth="1"/>
    <col min="7" max="7" width="23.36328125" customWidth="1"/>
    <col min="8" max="8" width="69.36328125" customWidth="1"/>
  </cols>
  <sheetData>
    <row r="1" spans="2:8" ht="15" thickBot="1" x14ac:dyDescent="0.4">
      <c r="B1" s="151" t="s">
        <v>36</v>
      </c>
      <c r="C1" s="151"/>
      <c r="D1" s="151"/>
      <c r="E1" s="151"/>
      <c r="F1" s="151"/>
      <c r="G1" s="151"/>
      <c r="H1" s="23" t="s">
        <v>37</v>
      </c>
    </row>
    <row r="2" spans="2:8" ht="39.5" customHeight="1" x14ac:dyDescent="0.35">
      <c r="B2" s="155" t="s">
        <v>18</v>
      </c>
      <c r="C2" s="155"/>
      <c r="D2" s="156" t="s">
        <v>19</v>
      </c>
      <c r="E2" s="156"/>
      <c r="F2" s="157" t="s">
        <v>20</v>
      </c>
      <c r="G2" s="158"/>
      <c r="H2" s="152" t="s">
        <v>39</v>
      </c>
    </row>
    <row r="3" spans="2:8" x14ac:dyDescent="0.35">
      <c r="B3" s="155" t="s">
        <v>21</v>
      </c>
      <c r="C3" s="155"/>
      <c r="D3" s="18" t="s">
        <v>22</v>
      </c>
      <c r="E3" s="18" t="s">
        <v>23</v>
      </c>
      <c r="F3" s="18" t="s">
        <v>22</v>
      </c>
      <c r="G3" s="19" t="s">
        <v>23</v>
      </c>
      <c r="H3" s="153"/>
    </row>
    <row r="4" spans="2:8" x14ac:dyDescent="0.35">
      <c r="B4" s="155" t="s">
        <v>24</v>
      </c>
      <c r="C4" s="155"/>
      <c r="D4" s="18" t="s">
        <v>25</v>
      </c>
      <c r="E4" s="18" t="s">
        <v>26</v>
      </c>
      <c r="F4" s="18" t="s">
        <v>27</v>
      </c>
      <c r="G4" s="19" t="s">
        <v>28</v>
      </c>
      <c r="H4" s="153"/>
    </row>
    <row r="5" spans="2:8" x14ac:dyDescent="0.35">
      <c r="B5" s="155" t="s">
        <v>29</v>
      </c>
      <c r="C5" s="155"/>
      <c r="D5" s="18" t="s">
        <v>30</v>
      </c>
      <c r="E5" s="18" t="s">
        <v>30</v>
      </c>
      <c r="F5" s="18" t="s">
        <v>30</v>
      </c>
      <c r="G5" s="19" t="s">
        <v>30</v>
      </c>
      <c r="H5" s="153"/>
    </row>
    <row r="6" spans="2:8" x14ac:dyDescent="0.35">
      <c r="B6" s="155" t="s">
        <v>31</v>
      </c>
      <c r="C6" s="155"/>
      <c r="D6" s="20">
        <v>2E-3</v>
      </c>
      <c r="E6" s="20">
        <v>2E-3</v>
      </c>
      <c r="F6" s="20">
        <v>2E-3</v>
      </c>
      <c r="G6" s="21">
        <v>2E-3</v>
      </c>
      <c r="H6" s="153"/>
    </row>
    <row r="7" spans="2:8" ht="50.5" customHeight="1" thickBot="1" x14ac:dyDescent="0.4">
      <c r="B7" s="159" t="s">
        <v>32</v>
      </c>
      <c r="C7" s="159"/>
      <c r="D7" s="160" t="s">
        <v>33</v>
      </c>
      <c r="E7" s="161"/>
      <c r="F7" s="161"/>
      <c r="G7" s="161"/>
      <c r="H7" s="153"/>
    </row>
    <row r="8" spans="2:8" ht="15" thickBot="1" x14ac:dyDescent="0.4">
      <c r="B8" s="145" t="s">
        <v>34</v>
      </c>
      <c r="C8" s="146"/>
      <c r="D8" s="146"/>
      <c r="E8" s="146"/>
      <c r="F8" s="146"/>
      <c r="G8" s="147"/>
      <c r="H8" s="153"/>
    </row>
    <row r="9" spans="2:8" x14ac:dyDescent="0.35">
      <c r="B9" s="148" t="s">
        <v>35</v>
      </c>
      <c r="C9" s="31">
        <v>2019</v>
      </c>
      <c r="D9" s="24">
        <v>43691</v>
      </c>
      <c r="E9" s="24">
        <v>43691</v>
      </c>
      <c r="F9" s="24">
        <v>43691</v>
      </c>
      <c r="G9" s="25">
        <v>43691</v>
      </c>
      <c r="H9" s="153"/>
    </row>
    <row r="10" spans="2:8" ht="23" customHeight="1" x14ac:dyDescent="0.35">
      <c r="B10" s="149"/>
      <c r="C10" s="32" t="s">
        <v>38</v>
      </c>
      <c r="D10" s="29">
        <v>44056</v>
      </c>
      <c r="E10" s="29">
        <v>44056</v>
      </c>
      <c r="F10" s="29">
        <v>44056</v>
      </c>
      <c r="G10" s="29">
        <v>44056</v>
      </c>
      <c r="H10" s="153"/>
    </row>
    <row r="11" spans="2:8" ht="25" customHeight="1" x14ac:dyDescent="0.35">
      <c r="B11" s="149"/>
      <c r="C11" s="33">
        <v>2021</v>
      </c>
      <c r="D11" s="22">
        <v>44236</v>
      </c>
      <c r="E11" s="22">
        <v>44236</v>
      </c>
      <c r="F11" s="22">
        <v>44236</v>
      </c>
      <c r="G11" s="26">
        <v>44236</v>
      </c>
      <c r="H11" s="153"/>
    </row>
    <row r="12" spans="2:8" ht="25" customHeight="1" x14ac:dyDescent="0.35">
      <c r="B12" s="149"/>
      <c r="C12" s="34" t="s">
        <v>38</v>
      </c>
      <c r="D12" s="30">
        <v>44235</v>
      </c>
      <c r="E12" s="30">
        <v>44235</v>
      </c>
      <c r="F12" s="30">
        <v>44235</v>
      </c>
      <c r="G12" s="30">
        <v>44235</v>
      </c>
      <c r="H12" s="153"/>
    </row>
    <row r="13" spans="2:8" ht="15" thickBot="1" x14ac:dyDescent="0.4">
      <c r="B13" s="150"/>
      <c r="C13" s="35">
        <v>2022</v>
      </c>
      <c r="D13" s="27">
        <v>44765</v>
      </c>
      <c r="E13" s="27">
        <v>44765</v>
      </c>
      <c r="F13" s="27">
        <v>44765</v>
      </c>
      <c r="G13" s="28">
        <v>44765</v>
      </c>
      <c r="H13" s="154"/>
    </row>
  </sheetData>
  <mergeCells count="13">
    <mergeCell ref="B8:G8"/>
    <mergeCell ref="B9:B13"/>
    <mergeCell ref="B1:G1"/>
    <mergeCell ref="H2:H13"/>
    <mergeCell ref="B2:C2"/>
    <mergeCell ref="D2:E2"/>
    <mergeCell ref="F2:G2"/>
    <mergeCell ref="B3:C3"/>
    <mergeCell ref="B4:C4"/>
    <mergeCell ref="B5:C5"/>
    <mergeCell ref="B6:C6"/>
    <mergeCell ref="B7:C7"/>
    <mergeCell ref="D7:G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A797C-8225-40FF-8376-3BFCF1240CA0}">
  <dimension ref="A1:N73"/>
  <sheetViews>
    <sheetView workbookViewId="0">
      <selection activeCell="D11" sqref="D11"/>
    </sheetView>
  </sheetViews>
  <sheetFormatPr defaultRowHeight="14.5" x14ac:dyDescent="0.35"/>
  <cols>
    <col min="9" max="9" width="21.6328125" customWidth="1"/>
    <col min="10" max="10" width="15.90625" customWidth="1"/>
    <col min="11" max="11" width="14.90625" customWidth="1"/>
  </cols>
  <sheetData>
    <row r="1" spans="1:14" x14ac:dyDescent="0.35">
      <c r="A1" s="36"/>
      <c r="B1" s="37" t="s">
        <v>40</v>
      </c>
      <c r="C1" s="38"/>
      <c r="D1" s="38"/>
      <c r="E1" s="38"/>
      <c r="F1" s="38"/>
      <c r="G1" s="39"/>
      <c r="H1" s="40"/>
      <c r="I1" s="40"/>
      <c r="J1" s="40"/>
      <c r="K1" s="40"/>
      <c r="L1" s="36"/>
      <c r="M1" s="36"/>
      <c r="N1" s="36"/>
    </row>
    <row r="2" spans="1:14" x14ac:dyDescent="0.35">
      <c r="A2" s="36"/>
      <c r="B2" s="41"/>
      <c r="C2" s="41"/>
      <c r="D2" s="41"/>
      <c r="E2" s="41"/>
      <c r="F2" s="41"/>
      <c r="G2" s="42"/>
      <c r="H2" s="40"/>
      <c r="I2" s="43" t="s">
        <v>41</v>
      </c>
      <c r="J2" s="44"/>
      <c r="K2" s="44"/>
      <c r="L2" s="36"/>
      <c r="M2" s="36"/>
      <c r="N2" s="36"/>
    </row>
    <row r="3" spans="1:14" ht="23" x14ac:dyDescent="0.35">
      <c r="A3" s="36"/>
      <c r="B3" s="45" t="s">
        <v>42</v>
      </c>
      <c r="C3" s="44"/>
      <c r="D3" s="44"/>
      <c r="E3" s="46" t="s">
        <v>43</v>
      </c>
      <c r="F3" s="44"/>
      <c r="G3" s="39"/>
      <c r="H3" s="40"/>
      <c r="I3" s="76"/>
      <c r="J3" s="48" t="s">
        <v>44</v>
      </c>
      <c r="K3" s="48" t="s">
        <v>45</v>
      </c>
      <c r="L3" s="36"/>
      <c r="M3" s="36"/>
      <c r="N3" s="36"/>
    </row>
    <row r="4" spans="1:14" ht="23" x14ac:dyDescent="0.35">
      <c r="A4" s="36"/>
      <c r="B4" s="45" t="s">
        <v>46</v>
      </c>
      <c r="C4" s="44"/>
      <c r="D4" s="44"/>
      <c r="E4" s="49">
        <v>40603</v>
      </c>
      <c r="F4" s="44"/>
      <c r="G4" s="39"/>
      <c r="H4" s="40"/>
      <c r="I4" s="77" t="s">
        <v>47</v>
      </c>
      <c r="J4" s="51">
        <f>C9</f>
        <v>0.99990355366071781</v>
      </c>
      <c r="K4" s="51">
        <f>C17/1000</f>
        <v>496.11903347449999</v>
      </c>
      <c r="L4" s="36"/>
      <c r="M4" s="36"/>
      <c r="N4" s="36"/>
    </row>
    <row r="5" spans="1:14" ht="23" x14ac:dyDescent="0.35">
      <c r="A5" s="36"/>
      <c r="B5" s="45" t="s">
        <v>48</v>
      </c>
      <c r="C5" s="44"/>
      <c r="D5" s="44"/>
      <c r="E5" s="52" t="s">
        <v>49</v>
      </c>
      <c r="F5" s="44"/>
      <c r="G5" s="39"/>
      <c r="H5" s="40"/>
      <c r="I5" s="77" t="s">
        <v>50</v>
      </c>
      <c r="J5" s="51">
        <f>D9</f>
        <v>1.0065529820573504</v>
      </c>
      <c r="K5" s="51">
        <f>D17/1000</f>
        <v>510.6927349900003</v>
      </c>
      <c r="L5" s="36"/>
      <c r="M5" s="36"/>
      <c r="N5" s="36"/>
    </row>
    <row r="6" spans="1:14" ht="23" x14ac:dyDescent="0.35">
      <c r="A6" s="36"/>
      <c r="B6" s="53"/>
      <c r="C6" s="54"/>
      <c r="D6" s="54"/>
      <c r="E6" s="54"/>
      <c r="F6" s="55"/>
      <c r="G6" s="42"/>
      <c r="H6" s="40"/>
      <c r="I6" s="77" t="s">
        <v>51</v>
      </c>
      <c r="J6" s="51">
        <f>E9</f>
        <v>0.97773624015686311</v>
      </c>
      <c r="K6" s="51">
        <f>E17/1000</f>
        <v>544.91516440736996</v>
      </c>
      <c r="L6" s="36"/>
      <c r="M6" s="36"/>
      <c r="N6" s="36"/>
    </row>
    <row r="7" spans="1:14" ht="23" x14ac:dyDescent="0.35">
      <c r="A7" s="36"/>
      <c r="B7" s="56" t="s">
        <v>52</v>
      </c>
      <c r="C7" s="57"/>
      <c r="D7" s="57"/>
      <c r="E7" s="57"/>
      <c r="F7" s="57"/>
      <c r="G7" s="58"/>
      <c r="H7" s="59"/>
      <c r="I7" s="77" t="s">
        <v>53</v>
      </c>
      <c r="J7" s="50"/>
      <c r="K7" s="60">
        <f>(J4*K4+J5*K5+J6*K6)/(K4+K5+K6)</f>
        <v>0.99430753652363346</v>
      </c>
      <c r="L7" s="36"/>
      <c r="M7" s="36"/>
      <c r="N7" s="36"/>
    </row>
    <row r="8" spans="1:14" x14ac:dyDescent="0.35">
      <c r="A8" s="36"/>
      <c r="B8" s="56"/>
      <c r="C8" s="61" t="s">
        <v>54</v>
      </c>
      <c r="D8" s="61" t="s">
        <v>55</v>
      </c>
      <c r="E8" s="61" t="s">
        <v>56</v>
      </c>
      <c r="F8" s="57"/>
      <c r="G8" s="58"/>
      <c r="H8" s="59"/>
      <c r="I8" s="62" t="s">
        <v>57</v>
      </c>
      <c r="J8" s="41"/>
      <c r="K8" s="41"/>
      <c r="L8" s="36"/>
      <c r="M8" s="36"/>
      <c r="N8" s="36"/>
    </row>
    <row r="9" spans="1:14" x14ac:dyDescent="0.35">
      <c r="A9" s="36"/>
      <c r="B9" s="53" t="s">
        <v>58</v>
      </c>
      <c r="C9" s="63">
        <v>0.99990355366071781</v>
      </c>
      <c r="D9" s="63">
        <v>1.0065529820573504</v>
      </c>
      <c r="E9" s="63">
        <v>0.97773624015686311</v>
      </c>
      <c r="F9" s="57"/>
      <c r="G9" s="58"/>
      <c r="H9" s="59"/>
      <c r="I9" s="41"/>
      <c r="J9" s="41"/>
      <c r="K9" s="41"/>
      <c r="L9" s="36"/>
      <c r="M9" s="36"/>
      <c r="N9" s="36"/>
    </row>
    <row r="10" spans="1:14" ht="23" x14ac:dyDescent="0.35">
      <c r="A10" s="36"/>
      <c r="B10" s="64"/>
      <c r="C10" s="38"/>
      <c r="D10" s="38"/>
      <c r="E10" s="38"/>
      <c r="F10" s="65"/>
      <c r="G10" s="58"/>
      <c r="H10" s="59"/>
      <c r="I10" s="43" t="s">
        <v>59</v>
      </c>
      <c r="J10" s="47"/>
      <c r="K10" s="48" t="s">
        <v>60</v>
      </c>
      <c r="L10" s="36"/>
      <c r="M10" s="36"/>
      <c r="N10" s="36"/>
    </row>
    <row r="11" spans="1:14" ht="23" x14ac:dyDescent="0.35">
      <c r="A11" s="36"/>
      <c r="B11" s="56" t="s">
        <v>61</v>
      </c>
      <c r="C11" s="57"/>
      <c r="D11" s="57"/>
      <c r="E11" s="57"/>
      <c r="F11" s="57"/>
      <c r="G11" s="58"/>
      <c r="H11" s="59"/>
      <c r="I11" s="47"/>
      <c r="J11" s="48" t="s">
        <v>44</v>
      </c>
      <c r="K11" s="66" t="s">
        <v>62</v>
      </c>
      <c r="L11" s="36"/>
      <c r="M11" s="36"/>
      <c r="N11" s="36"/>
    </row>
    <row r="12" spans="1:14" x14ac:dyDescent="0.35">
      <c r="A12" s="36"/>
      <c r="B12" s="37"/>
      <c r="C12" s="67" t="s">
        <v>56</v>
      </c>
      <c r="D12" s="65"/>
      <c r="E12" s="68"/>
      <c r="F12" s="65"/>
      <c r="G12" s="58"/>
      <c r="H12" s="59"/>
      <c r="I12" s="50" t="s">
        <v>63</v>
      </c>
      <c r="J12" s="51">
        <f>C13</f>
        <v>0.81230663129931258</v>
      </c>
      <c r="K12" s="51">
        <v>0.90829510243747302</v>
      </c>
      <c r="L12" s="36"/>
      <c r="M12" s="36"/>
      <c r="N12" s="36"/>
    </row>
    <row r="13" spans="1:14" x14ac:dyDescent="0.35">
      <c r="A13" s="36"/>
      <c r="B13" s="53" t="s">
        <v>58</v>
      </c>
      <c r="C13" s="63">
        <v>0.81230663129931258</v>
      </c>
      <c r="D13" s="63"/>
      <c r="E13" s="63"/>
      <c r="F13" s="57"/>
      <c r="G13" s="58"/>
      <c r="H13" s="69"/>
      <c r="I13" s="41"/>
      <c r="J13" s="41"/>
      <c r="K13" s="41"/>
      <c r="L13" s="36"/>
      <c r="M13" s="36"/>
      <c r="N13" s="36"/>
    </row>
    <row r="14" spans="1:14" ht="23" x14ac:dyDescent="0.35">
      <c r="A14" s="36"/>
      <c r="B14" s="64"/>
      <c r="C14" s="38"/>
      <c r="D14" s="38"/>
      <c r="E14" s="38"/>
      <c r="F14" s="65"/>
      <c r="G14" s="42"/>
      <c r="H14" s="69"/>
      <c r="I14" s="70" t="s">
        <v>64</v>
      </c>
      <c r="J14" s="41"/>
      <c r="K14" s="41"/>
      <c r="L14" s="36"/>
      <c r="M14" s="36"/>
      <c r="N14" s="36"/>
    </row>
    <row r="15" spans="1:14" ht="23" x14ac:dyDescent="0.35">
      <c r="A15" s="36"/>
      <c r="B15" s="56" t="s">
        <v>65</v>
      </c>
      <c r="C15" s="54"/>
      <c r="D15" s="54"/>
      <c r="E15" s="54"/>
      <c r="F15" s="54"/>
      <c r="G15" s="39"/>
      <c r="H15" s="40"/>
      <c r="I15" s="47"/>
      <c r="J15" s="71" t="s">
        <v>66</v>
      </c>
      <c r="K15" s="48" t="s">
        <v>44</v>
      </c>
      <c r="L15" s="36"/>
      <c r="M15" s="36"/>
      <c r="N15" s="36"/>
    </row>
    <row r="16" spans="1:14" ht="23" x14ac:dyDescent="0.35">
      <c r="A16" s="36"/>
      <c r="B16" s="56"/>
      <c r="C16" s="61" t="s">
        <v>54</v>
      </c>
      <c r="D16" s="61" t="s">
        <v>55</v>
      </c>
      <c r="E16" s="61" t="s">
        <v>56</v>
      </c>
      <c r="F16" s="55"/>
      <c r="G16" s="42"/>
      <c r="H16" s="69"/>
      <c r="I16" s="50" t="s">
        <v>67</v>
      </c>
      <c r="J16" s="50">
        <v>0.75</v>
      </c>
      <c r="K16" s="72">
        <f>K7</f>
        <v>0.99430753652363346</v>
      </c>
      <c r="L16" s="36"/>
      <c r="M16" s="36"/>
      <c r="N16" s="36"/>
    </row>
    <row r="17" spans="1:14" x14ac:dyDescent="0.35">
      <c r="A17" s="36"/>
      <c r="B17" s="53" t="s">
        <v>58</v>
      </c>
      <c r="C17" s="57">
        <v>496119.0334745</v>
      </c>
      <c r="D17" s="57">
        <v>510692.73499000032</v>
      </c>
      <c r="E17" s="57">
        <v>544915.16440736991</v>
      </c>
      <c r="F17" s="55"/>
      <c r="G17" s="42"/>
      <c r="H17" s="69"/>
      <c r="I17" s="50" t="s">
        <v>59</v>
      </c>
      <c r="J17" s="50">
        <v>0.25</v>
      </c>
      <c r="K17" s="51">
        <f>J12</f>
        <v>0.81230663129931258</v>
      </c>
      <c r="L17" s="36"/>
      <c r="M17" s="36"/>
      <c r="N17" s="36"/>
    </row>
    <row r="18" spans="1:14" x14ac:dyDescent="0.35">
      <c r="A18" s="36"/>
      <c r="B18" s="37"/>
      <c r="C18" s="73"/>
      <c r="D18" s="73"/>
      <c r="E18" s="73"/>
      <c r="F18" s="73"/>
      <c r="G18" s="42"/>
      <c r="H18" s="69"/>
      <c r="I18" s="43" t="s">
        <v>68</v>
      </c>
      <c r="J18" s="50"/>
      <c r="K18" s="74">
        <f>J16*K16+J17*K17</f>
        <v>0.94880731021755316</v>
      </c>
      <c r="L18" s="36"/>
      <c r="M18" s="36"/>
      <c r="N18" s="36"/>
    </row>
    <row r="19" spans="1:14" x14ac:dyDescent="0.35">
      <c r="A19" s="36"/>
      <c r="B19" s="75"/>
      <c r="C19" s="75"/>
      <c r="D19" s="75"/>
      <c r="E19" s="75"/>
      <c r="F19" s="75"/>
      <c r="G19" s="75"/>
      <c r="H19" s="36"/>
      <c r="I19" s="36"/>
      <c r="J19" s="36"/>
      <c r="K19" s="36"/>
      <c r="L19" s="36"/>
      <c r="M19" s="36"/>
      <c r="N19" s="36"/>
    </row>
    <row r="20" spans="1:14" x14ac:dyDescent="0.35">
      <c r="A20" s="36"/>
      <c r="B20" s="75"/>
      <c r="C20" s="75"/>
      <c r="D20" s="75"/>
      <c r="E20" s="75"/>
      <c r="F20" s="75"/>
      <c r="G20" s="75"/>
      <c r="H20" s="36"/>
      <c r="I20" s="36"/>
      <c r="J20" s="36"/>
      <c r="K20" s="36"/>
      <c r="L20" s="36"/>
      <c r="M20" s="36"/>
      <c r="N20" s="36"/>
    </row>
    <row r="21" spans="1:14" x14ac:dyDescent="0.35">
      <c r="A21" s="36"/>
      <c r="B21" s="75"/>
      <c r="C21" s="75"/>
      <c r="D21" s="75"/>
      <c r="E21" s="75"/>
      <c r="F21" s="75"/>
      <c r="G21" s="75"/>
      <c r="H21" s="36"/>
      <c r="I21" s="36"/>
      <c r="J21" s="36"/>
      <c r="K21" s="36"/>
      <c r="L21" s="36"/>
      <c r="M21" s="36"/>
      <c r="N21" s="36"/>
    </row>
    <row r="22" spans="1:14" x14ac:dyDescent="0.35">
      <c r="A22" s="36"/>
      <c r="B22" s="75"/>
      <c r="C22" s="75"/>
      <c r="D22" s="75"/>
      <c r="E22" s="75"/>
      <c r="F22" s="75"/>
      <c r="G22" s="75"/>
      <c r="H22" s="36"/>
      <c r="I22" s="36"/>
      <c r="J22" s="36"/>
      <c r="K22" s="36"/>
      <c r="L22" s="36"/>
      <c r="M22" s="36"/>
      <c r="N22" s="36"/>
    </row>
    <row r="23" spans="1:14" x14ac:dyDescent="0.35">
      <c r="A23" s="36"/>
      <c r="B23" s="75"/>
      <c r="C23" s="75"/>
      <c r="D23" s="75"/>
      <c r="E23" s="75"/>
      <c r="F23" s="75"/>
      <c r="G23" s="75"/>
      <c r="H23" s="36"/>
      <c r="I23" s="36"/>
      <c r="J23" s="36"/>
      <c r="K23" s="36"/>
      <c r="L23" s="36"/>
      <c r="M23" s="36"/>
      <c r="N23" s="36"/>
    </row>
    <row r="24" spans="1:14" x14ac:dyDescent="0.35">
      <c r="A24" s="36"/>
      <c r="B24" s="75"/>
      <c r="C24" s="75"/>
      <c r="D24" s="75"/>
      <c r="E24" s="75"/>
      <c r="F24" s="75"/>
      <c r="G24" s="75"/>
      <c r="H24" s="36"/>
      <c r="I24" s="36"/>
      <c r="J24" s="36"/>
      <c r="K24" s="36"/>
      <c r="L24" s="36"/>
      <c r="M24" s="36"/>
      <c r="N24" s="36"/>
    </row>
    <row r="25" spans="1:14" x14ac:dyDescent="0.35">
      <c r="A25" s="36"/>
      <c r="B25" s="75"/>
      <c r="C25" s="75"/>
      <c r="D25" s="75"/>
      <c r="E25" s="75"/>
      <c r="F25" s="75"/>
      <c r="G25" s="75"/>
      <c r="H25" s="36"/>
      <c r="I25" s="36"/>
      <c r="J25" s="36"/>
      <c r="K25" s="36"/>
      <c r="L25" s="36"/>
      <c r="M25" s="36"/>
      <c r="N25" s="36"/>
    </row>
    <row r="26" spans="1:14" x14ac:dyDescent="0.35">
      <c r="A26" s="36"/>
      <c r="B26" s="75"/>
      <c r="C26" s="75"/>
      <c r="D26" s="75"/>
      <c r="E26" s="75"/>
      <c r="F26" s="75"/>
      <c r="G26" s="75"/>
      <c r="H26" s="36"/>
      <c r="I26" s="36"/>
      <c r="J26" s="36"/>
      <c r="K26" s="36"/>
      <c r="L26" s="36"/>
      <c r="M26" s="36"/>
      <c r="N26" s="36"/>
    </row>
    <row r="27" spans="1:14" x14ac:dyDescent="0.35">
      <c r="A27" s="36"/>
      <c r="B27" s="75"/>
      <c r="C27" s="75"/>
      <c r="D27" s="75"/>
      <c r="E27" s="75"/>
      <c r="F27" s="75"/>
      <c r="G27" s="75"/>
      <c r="H27" s="36"/>
      <c r="I27" s="36"/>
      <c r="J27" s="36"/>
      <c r="K27" s="36"/>
      <c r="L27" s="36"/>
      <c r="M27" s="36"/>
      <c r="N27" s="36"/>
    </row>
    <row r="28" spans="1:14" x14ac:dyDescent="0.35">
      <c r="A28" s="36"/>
      <c r="B28" s="75"/>
      <c r="C28" s="75"/>
      <c r="D28" s="75"/>
      <c r="E28" s="75"/>
      <c r="F28" s="75"/>
      <c r="G28" s="75"/>
      <c r="H28" s="36"/>
      <c r="I28" s="36"/>
      <c r="J28" s="36"/>
      <c r="K28" s="36"/>
      <c r="L28" s="36"/>
      <c r="M28" s="36"/>
      <c r="N28" s="36"/>
    </row>
    <row r="29" spans="1:14" x14ac:dyDescent="0.35">
      <c r="A29" s="36"/>
      <c r="B29" s="75"/>
      <c r="C29" s="75"/>
      <c r="D29" s="75"/>
      <c r="E29" s="75"/>
      <c r="F29" s="75"/>
      <c r="G29" s="75"/>
      <c r="H29" s="36"/>
      <c r="I29" s="36"/>
      <c r="J29" s="36"/>
      <c r="K29" s="36"/>
      <c r="L29" s="36"/>
      <c r="M29" s="36"/>
      <c r="N29" s="36"/>
    </row>
    <row r="30" spans="1:14" x14ac:dyDescent="0.35">
      <c r="A30" s="36"/>
      <c r="B30" s="75"/>
      <c r="C30" s="75"/>
      <c r="D30" s="75"/>
      <c r="E30" s="75"/>
      <c r="F30" s="75"/>
      <c r="G30" s="75"/>
      <c r="H30" s="36"/>
      <c r="I30" s="36"/>
      <c r="J30" s="36"/>
      <c r="K30" s="36"/>
      <c r="L30" s="36"/>
      <c r="M30" s="36"/>
      <c r="N30" s="36"/>
    </row>
    <row r="31" spans="1:14" x14ac:dyDescent="0.35">
      <c r="A31" s="36"/>
      <c r="B31" s="75"/>
      <c r="C31" s="75"/>
      <c r="D31" s="75"/>
      <c r="E31" s="75"/>
      <c r="F31" s="75"/>
      <c r="G31" s="75"/>
      <c r="H31" s="36"/>
      <c r="I31" s="36"/>
      <c r="J31" s="36"/>
      <c r="K31" s="36"/>
      <c r="L31" s="36"/>
      <c r="M31" s="36"/>
      <c r="N31" s="36"/>
    </row>
    <row r="32" spans="1:14" x14ac:dyDescent="0.35">
      <c r="A32" s="36"/>
      <c r="B32" s="75"/>
      <c r="C32" s="75"/>
      <c r="D32" s="75"/>
      <c r="E32" s="75"/>
      <c r="F32" s="75"/>
      <c r="G32" s="75"/>
      <c r="H32" s="36"/>
      <c r="I32" s="36"/>
      <c r="J32" s="36"/>
      <c r="K32" s="36"/>
      <c r="L32" s="36"/>
      <c r="M32" s="36"/>
      <c r="N32" s="36"/>
    </row>
    <row r="33" spans="1:14" x14ac:dyDescent="0.35">
      <c r="A33" s="36"/>
      <c r="B33" s="75"/>
      <c r="C33" s="75"/>
      <c r="D33" s="75"/>
      <c r="E33" s="75"/>
      <c r="F33" s="75"/>
      <c r="G33" s="75"/>
      <c r="H33" s="36"/>
      <c r="I33" s="36"/>
      <c r="J33" s="36"/>
      <c r="K33" s="36"/>
      <c r="L33" s="36"/>
      <c r="M33" s="36"/>
      <c r="N33" s="36"/>
    </row>
    <row r="34" spans="1:14" x14ac:dyDescent="0.35">
      <c r="A34" s="36"/>
      <c r="B34" s="75"/>
      <c r="C34" s="75"/>
      <c r="D34" s="75"/>
      <c r="E34" s="75"/>
      <c r="F34" s="75"/>
      <c r="G34" s="75"/>
      <c r="H34" s="36"/>
      <c r="I34" s="36"/>
      <c r="J34" s="36"/>
      <c r="K34" s="36"/>
      <c r="L34" s="36"/>
      <c r="M34" s="36"/>
      <c r="N34" s="36"/>
    </row>
    <row r="35" spans="1:14" x14ac:dyDescent="0.35">
      <c r="A35" s="36"/>
      <c r="B35" s="75"/>
      <c r="C35" s="75"/>
      <c r="D35" s="75"/>
      <c r="E35" s="75"/>
      <c r="F35" s="75"/>
      <c r="G35" s="75"/>
      <c r="H35" s="36"/>
      <c r="I35" s="36"/>
      <c r="J35" s="36"/>
      <c r="K35" s="36"/>
      <c r="L35" s="36"/>
      <c r="M35" s="36"/>
      <c r="N35" s="36"/>
    </row>
    <row r="36" spans="1:14" x14ac:dyDescent="0.35">
      <c r="A36" s="36"/>
      <c r="B36" s="75"/>
      <c r="C36" s="75"/>
      <c r="D36" s="75"/>
      <c r="E36" s="75"/>
      <c r="F36" s="75"/>
      <c r="G36" s="75"/>
      <c r="H36" s="36"/>
      <c r="I36" s="36"/>
      <c r="J36" s="36"/>
      <c r="K36" s="36"/>
      <c r="L36" s="36"/>
      <c r="M36" s="36"/>
      <c r="N36" s="36"/>
    </row>
    <row r="37" spans="1:14" x14ac:dyDescent="0.35">
      <c r="A37" s="36"/>
      <c r="B37" s="75"/>
      <c r="C37" s="75"/>
      <c r="D37" s="75"/>
      <c r="E37" s="75"/>
      <c r="F37" s="75"/>
      <c r="G37" s="75"/>
      <c r="H37" s="36"/>
      <c r="I37" s="36"/>
      <c r="J37" s="36"/>
      <c r="K37" s="36"/>
      <c r="L37" s="36"/>
      <c r="M37" s="36"/>
      <c r="N37" s="36"/>
    </row>
    <row r="38" spans="1:14" x14ac:dyDescent="0.35">
      <c r="A38" s="36"/>
      <c r="B38" s="75"/>
      <c r="C38" s="75"/>
      <c r="D38" s="75"/>
      <c r="E38" s="75"/>
      <c r="F38" s="75"/>
      <c r="G38" s="75"/>
      <c r="H38" s="36"/>
      <c r="I38" s="36"/>
      <c r="J38" s="36"/>
      <c r="K38" s="36"/>
      <c r="L38" s="36"/>
      <c r="M38" s="36"/>
      <c r="N38" s="36"/>
    </row>
    <row r="39" spans="1:14" x14ac:dyDescent="0.35">
      <c r="A39" s="36"/>
      <c r="B39" s="75"/>
      <c r="C39" s="75"/>
      <c r="D39" s="75"/>
      <c r="E39" s="75"/>
      <c r="F39" s="75"/>
      <c r="G39" s="75"/>
      <c r="H39" s="36"/>
      <c r="I39" s="36"/>
      <c r="J39" s="36"/>
      <c r="K39" s="36"/>
      <c r="L39" s="36"/>
      <c r="M39" s="36"/>
      <c r="N39" s="36"/>
    </row>
    <row r="40" spans="1:14" x14ac:dyDescent="0.35">
      <c r="A40" s="36"/>
      <c r="B40" s="75"/>
      <c r="C40" s="75"/>
      <c r="D40" s="75"/>
      <c r="E40" s="75"/>
      <c r="F40" s="75"/>
      <c r="G40" s="75"/>
      <c r="H40" s="36"/>
      <c r="I40" s="36"/>
      <c r="J40" s="36"/>
      <c r="K40" s="36"/>
      <c r="L40" s="36"/>
      <c r="M40" s="36"/>
      <c r="N40" s="36"/>
    </row>
    <row r="41" spans="1:14" x14ac:dyDescent="0.35">
      <c r="A41" s="36"/>
      <c r="B41" s="75"/>
      <c r="C41" s="75"/>
      <c r="D41" s="75"/>
      <c r="E41" s="75"/>
      <c r="F41" s="75"/>
      <c r="G41" s="75"/>
      <c r="H41" s="36"/>
      <c r="I41" s="36"/>
      <c r="J41" s="36"/>
      <c r="K41" s="36"/>
      <c r="L41" s="36"/>
      <c r="M41" s="36"/>
      <c r="N41" s="36"/>
    </row>
    <row r="42" spans="1:14" x14ac:dyDescent="0.35">
      <c r="A42" s="36"/>
      <c r="B42" s="75"/>
      <c r="C42" s="75"/>
      <c r="D42" s="75"/>
      <c r="E42" s="75"/>
      <c r="F42" s="75"/>
      <c r="G42" s="75"/>
      <c r="H42" s="36"/>
      <c r="I42" s="36"/>
      <c r="J42" s="36"/>
      <c r="K42" s="36"/>
      <c r="L42" s="36"/>
      <c r="M42" s="36"/>
      <c r="N42" s="36"/>
    </row>
    <row r="43" spans="1:14" x14ac:dyDescent="0.35">
      <c r="A43" s="36"/>
      <c r="B43" s="75"/>
      <c r="C43" s="75"/>
      <c r="D43" s="75"/>
      <c r="E43" s="75"/>
      <c r="F43" s="75"/>
      <c r="G43" s="75"/>
      <c r="H43" s="36"/>
      <c r="I43" s="36"/>
      <c r="J43" s="36"/>
      <c r="K43" s="36"/>
      <c r="L43" s="36"/>
      <c r="M43" s="36"/>
      <c r="N43" s="36"/>
    </row>
    <row r="44" spans="1:14" x14ac:dyDescent="0.35">
      <c r="A44" s="36"/>
      <c r="B44" s="75"/>
      <c r="C44" s="75"/>
      <c r="D44" s="75"/>
      <c r="E44" s="75"/>
      <c r="F44" s="75"/>
      <c r="G44" s="75"/>
      <c r="H44" s="36"/>
      <c r="I44" s="36"/>
      <c r="J44" s="36"/>
      <c r="K44" s="36"/>
      <c r="L44" s="36"/>
      <c r="M44" s="36"/>
      <c r="N44" s="36"/>
    </row>
    <row r="45" spans="1:14" x14ac:dyDescent="0.35">
      <c r="A45" s="36"/>
      <c r="B45" s="75"/>
      <c r="C45" s="75"/>
      <c r="D45" s="75"/>
      <c r="E45" s="75"/>
      <c r="F45" s="75"/>
      <c r="G45" s="75"/>
      <c r="H45" s="36"/>
      <c r="I45" s="36"/>
      <c r="J45" s="36"/>
      <c r="K45" s="36"/>
      <c r="L45" s="36"/>
      <c r="M45" s="36"/>
      <c r="N45" s="36"/>
    </row>
    <row r="46" spans="1:14" x14ac:dyDescent="0.35">
      <c r="A46" s="36"/>
      <c r="B46" s="75"/>
      <c r="C46" s="75"/>
      <c r="D46" s="75"/>
      <c r="E46" s="75"/>
      <c r="F46" s="75"/>
      <c r="G46" s="75"/>
      <c r="H46" s="36"/>
      <c r="I46" s="36"/>
      <c r="J46" s="36"/>
      <c r="K46" s="36"/>
      <c r="L46" s="36"/>
      <c r="M46" s="36"/>
      <c r="N46" s="36"/>
    </row>
    <row r="47" spans="1:14" x14ac:dyDescent="0.35">
      <c r="A47" s="36"/>
      <c r="B47" s="75"/>
      <c r="C47" s="75"/>
      <c r="D47" s="75"/>
      <c r="E47" s="75"/>
      <c r="F47" s="75"/>
      <c r="G47" s="75"/>
      <c r="H47" s="36"/>
      <c r="I47" s="36"/>
      <c r="J47" s="36"/>
      <c r="K47" s="36"/>
      <c r="L47" s="36"/>
      <c r="M47" s="36"/>
      <c r="N47" s="36"/>
    </row>
    <row r="48" spans="1:14" x14ac:dyDescent="0.35">
      <c r="A48" s="36"/>
      <c r="B48" s="75"/>
      <c r="C48" s="75"/>
      <c r="D48" s="75"/>
      <c r="E48" s="75"/>
      <c r="F48" s="75"/>
      <c r="G48" s="75"/>
      <c r="H48" s="36"/>
      <c r="I48" s="36"/>
      <c r="J48" s="36"/>
      <c r="K48" s="36"/>
      <c r="L48" s="36"/>
      <c r="M48" s="36"/>
      <c r="N48" s="36"/>
    </row>
    <row r="49" spans="1:14" x14ac:dyDescent="0.35">
      <c r="A49" s="36"/>
      <c r="B49" s="75"/>
      <c r="C49" s="75"/>
      <c r="D49" s="75"/>
      <c r="E49" s="75"/>
      <c r="F49" s="75"/>
      <c r="G49" s="75"/>
      <c r="H49" s="36"/>
      <c r="I49" s="36"/>
      <c r="J49" s="36"/>
      <c r="K49" s="36"/>
      <c r="L49" s="36"/>
      <c r="M49" s="36"/>
      <c r="N49" s="36"/>
    </row>
    <row r="50" spans="1:14" x14ac:dyDescent="0.35">
      <c r="A50" s="36"/>
      <c r="B50" s="75"/>
      <c r="C50" s="75"/>
      <c r="D50" s="75"/>
      <c r="E50" s="75"/>
      <c r="F50" s="75"/>
      <c r="G50" s="75"/>
      <c r="H50" s="36"/>
      <c r="I50" s="36"/>
      <c r="J50" s="36"/>
      <c r="K50" s="36"/>
      <c r="L50" s="36"/>
      <c r="M50" s="36"/>
      <c r="N50" s="36"/>
    </row>
    <row r="51" spans="1:14" x14ac:dyDescent="0.35">
      <c r="A51" s="36"/>
      <c r="B51" s="75"/>
      <c r="C51" s="75"/>
      <c r="D51" s="75"/>
      <c r="E51" s="75"/>
      <c r="F51" s="75"/>
      <c r="G51" s="75"/>
      <c r="H51" s="36"/>
      <c r="I51" s="36"/>
      <c r="J51" s="36"/>
      <c r="K51" s="36"/>
      <c r="L51" s="36"/>
      <c r="M51" s="36"/>
      <c r="N51" s="36"/>
    </row>
    <row r="52" spans="1:14" x14ac:dyDescent="0.35">
      <c r="A52" s="36"/>
      <c r="B52" s="75"/>
      <c r="C52" s="75"/>
      <c r="D52" s="75"/>
      <c r="E52" s="75"/>
      <c r="F52" s="75"/>
      <c r="G52" s="75"/>
      <c r="H52" s="36"/>
      <c r="I52" s="36"/>
      <c r="J52" s="36"/>
      <c r="K52" s="36"/>
      <c r="L52" s="36"/>
      <c r="M52" s="36"/>
      <c r="N52" s="36"/>
    </row>
    <row r="53" spans="1:14" x14ac:dyDescent="0.35">
      <c r="A53" s="36"/>
      <c r="B53" s="75"/>
      <c r="C53" s="75"/>
      <c r="D53" s="75"/>
      <c r="E53" s="75"/>
      <c r="F53" s="75"/>
      <c r="G53" s="75"/>
      <c r="H53" s="36"/>
      <c r="I53" s="36"/>
      <c r="J53" s="36"/>
      <c r="K53" s="36"/>
      <c r="L53" s="36"/>
      <c r="M53" s="36"/>
      <c r="N53" s="36"/>
    </row>
    <row r="54" spans="1:14" x14ac:dyDescent="0.35">
      <c r="A54" s="36"/>
      <c r="B54" s="75"/>
      <c r="C54" s="75"/>
      <c r="D54" s="75"/>
      <c r="E54" s="75"/>
      <c r="F54" s="75"/>
      <c r="G54" s="75"/>
      <c r="H54" s="36"/>
      <c r="I54" s="36"/>
      <c r="J54" s="36"/>
      <c r="K54" s="36"/>
      <c r="L54" s="36"/>
      <c r="M54" s="36"/>
      <c r="N54" s="36"/>
    </row>
    <row r="55" spans="1:14" x14ac:dyDescent="0.35">
      <c r="A55" s="36"/>
      <c r="B55" s="75"/>
      <c r="C55" s="75"/>
      <c r="D55" s="75"/>
      <c r="E55" s="75"/>
      <c r="F55" s="75"/>
      <c r="G55" s="75"/>
      <c r="H55" s="36"/>
      <c r="I55" s="36"/>
      <c r="J55" s="36"/>
      <c r="K55" s="36"/>
      <c r="L55" s="36"/>
      <c r="M55" s="36"/>
      <c r="N55" s="36"/>
    </row>
    <row r="56" spans="1:14" x14ac:dyDescent="0.35">
      <c r="A56" s="36"/>
      <c r="B56" s="75"/>
      <c r="C56" s="75"/>
      <c r="D56" s="75"/>
      <c r="E56" s="75"/>
      <c r="F56" s="75"/>
      <c r="G56" s="75"/>
      <c r="H56" s="36"/>
      <c r="I56" s="36"/>
      <c r="J56" s="36"/>
      <c r="K56" s="36"/>
      <c r="L56" s="36"/>
      <c r="M56" s="36"/>
      <c r="N56" s="36"/>
    </row>
    <row r="57" spans="1:14" x14ac:dyDescent="0.35">
      <c r="A57" s="36"/>
      <c r="B57" s="75"/>
      <c r="C57" s="75"/>
      <c r="D57" s="75"/>
      <c r="E57" s="75"/>
      <c r="F57" s="75"/>
      <c r="G57" s="75"/>
      <c r="H57" s="36"/>
      <c r="I57" s="36"/>
      <c r="J57" s="36"/>
      <c r="K57" s="36"/>
      <c r="L57" s="36"/>
      <c r="M57" s="36"/>
      <c r="N57" s="36"/>
    </row>
    <row r="58" spans="1:14" x14ac:dyDescent="0.35">
      <c r="A58" s="36"/>
      <c r="B58" s="75"/>
      <c r="C58" s="75"/>
      <c r="D58" s="75"/>
      <c r="E58" s="75"/>
      <c r="F58" s="75"/>
      <c r="G58" s="75"/>
      <c r="H58" s="36"/>
      <c r="I58" s="36"/>
      <c r="J58" s="36"/>
      <c r="K58" s="36"/>
      <c r="L58" s="36"/>
      <c r="M58" s="36"/>
      <c r="N58" s="36"/>
    </row>
    <row r="59" spans="1:14" x14ac:dyDescent="0.35">
      <c r="A59" s="36"/>
      <c r="B59" s="75"/>
      <c r="C59" s="75"/>
      <c r="D59" s="75"/>
      <c r="E59" s="75"/>
      <c r="F59" s="75"/>
      <c r="G59" s="75"/>
      <c r="H59" s="36"/>
      <c r="I59" s="36"/>
      <c r="J59" s="36"/>
      <c r="K59" s="36"/>
      <c r="L59" s="36"/>
      <c r="M59" s="36"/>
      <c r="N59" s="36"/>
    </row>
    <row r="60" spans="1:14" x14ac:dyDescent="0.35">
      <c r="A60" s="36"/>
      <c r="B60" s="75"/>
      <c r="C60" s="75"/>
      <c r="D60" s="75"/>
      <c r="E60" s="75"/>
      <c r="F60" s="75"/>
      <c r="G60" s="75"/>
      <c r="H60" s="36"/>
      <c r="I60" s="36"/>
      <c r="J60" s="36"/>
      <c r="K60" s="36"/>
      <c r="L60" s="36"/>
      <c r="M60" s="36"/>
      <c r="N60" s="36"/>
    </row>
    <row r="61" spans="1:14" x14ac:dyDescent="0.35">
      <c r="A61" s="36"/>
      <c r="B61" s="75"/>
      <c r="C61" s="75"/>
      <c r="D61" s="75"/>
      <c r="E61" s="75"/>
      <c r="F61" s="75"/>
      <c r="G61" s="75"/>
      <c r="H61" s="36"/>
      <c r="I61" s="36"/>
      <c r="J61" s="36"/>
      <c r="K61" s="36"/>
      <c r="L61" s="36"/>
      <c r="M61" s="36"/>
      <c r="N61" s="36"/>
    </row>
    <row r="62" spans="1:14" x14ac:dyDescent="0.35">
      <c r="A62" s="36"/>
      <c r="B62" s="75"/>
      <c r="C62" s="75"/>
      <c r="D62" s="75"/>
      <c r="E62" s="75"/>
      <c r="F62" s="75"/>
      <c r="G62" s="75"/>
      <c r="H62" s="36"/>
      <c r="I62" s="36"/>
      <c r="J62" s="36"/>
      <c r="K62" s="36"/>
      <c r="L62" s="36"/>
      <c r="M62" s="36"/>
      <c r="N62" s="36"/>
    </row>
    <row r="63" spans="1:14" x14ac:dyDescent="0.35">
      <c r="A63" s="36"/>
      <c r="B63" s="75"/>
      <c r="C63" s="75"/>
      <c r="D63" s="75"/>
      <c r="E63" s="75"/>
      <c r="F63" s="75"/>
      <c r="G63" s="75"/>
      <c r="H63" s="36"/>
      <c r="I63" s="36"/>
      <c r="J63" s="36"/>
      <c r="K63" s="36"/>
      <c r="L63" s="36"/>
      <c r="M63" s="36"/>
      <c r="N63" s="36"/>
    </row>
    <row r="64" spans="1:14" x14ac:dyDescent="0.35">
      <c r="A64" s="36"/>
      <c r="B64" s="75"/>
      <c r="C64" s="75"/>
      <c r="D64" s="75"/>
      <c r="E64" s="75"/>
      <c r="F64" s="75"/>
      <c r="G64" s="75"/>
      <c r="H64" s="36"/>
      <c r="I64" s="36"/>
      <c r="J64" s="36"/>
      <c r="K64" s="36"/>
      <c r="L64" s="36"/>
      <c r="M64" s="36"/>
      <c r="N64" s="36"/>
    </row>
    <row r="65" spans="1:14" x14ac:dyDescent="0.35">
      <c r="A65" s="36"/>
      <c r="B65" s="75"/>
      <c r="C65" s="75"/>
      <c r="D65" s="75"/>
      <c r="E65" s="75"/>
      <c r="F65" s="75"/>
      <c r="G65" s="75"/>
      <c r="H65" s="36"/>
      <c r="I65" s="36"/>
      <c r="J65" s="36"/>
      <c r="K65" s="36"/>
      <c r="L65" s="36"/>
      <c r="M65" s="36"/>
      <c r="N65" s="36"/>
    </row>
    <row r="66" spans="1:14" x14ac:dyDescent="0.35">
      <c r="A66" s="36"/>
      <c r="B66" s="75"/>
      <c r="C66" s="75"/>
      <c r="D66" s="75"/>
      <c r="E66" s="75"/>
      <c r="F66" s="75"/>
      <c r="G66" s="75"/>
      <c r="H66" s="36"/>
      <c r="I66" s="36"/>
      <c r="J66" s="36"/>
      <c r="K66" s="36"/>
      <c r="L66" s="36"/>
      <c r="M66" s="36"/>
      <c r="N66" s="36"/>
    </row>
    <row r="67" spans="1:14" x14ac:dyDescent="0.35">
      <c r="A67" s="36"/>
      <c r="B67" s="75"/>
      <c r="C67" s="75"/>
      <c r="D67" s="75"/>
      <c r="E67" s="75"/>
      <c r="F67" s="75"/>
      <c r="G67" s="75"/>
      <c r="H67" s="36"/>
      <c r="I67" s="36"/>
      <c r="J67" s="36"/>
      <c r="K67" s="36"/>
      <c r="L67" s="36"/>
      <c r="M67" s="36"/>
      <c r="N67" s="36"/>
    </row>
    <row r="68" spans="1:14" x14ac:dyDescent="0.35">
      <c r="A68" s="36"/>
      <c r="B68" s="75"/>
      <c r="C68" s="75"/>
      <c r="D68" s="75"/>
      <c r="E68" s="75"/>
      <c r="F68" s="75"/>
      <c r="G68" s="75"/>
      <c r="H68" s="36"/>
      <c r="I68" s="36"/>
      <c r="J68" s="36"/>
      <c r="K68" s="36"/>
      <c r="L68" s="36"/>
      <c r="M68" s="36"/>
      <c r="N68" s="36"/>
    </row>
    <row r="69" spans="1:14" x14ac:dyDescent="0.35">
      <c r="A69" s="36"/>
      <c r="B69" s="75"/>
      <c r="C69" s="75"/>
      <c r="D69" s="75"/>
      <c r="E69" s="75"/>
      <c r="F69" s="75"/>
      <c r="G69" s="75"/>
      <c r="H69" s="36"/>
      <c r="I69" s="36"/>
      <c r="J69" s="36"/>
      <c r="K69" s="36"/>
      <c r="L69" s="36"/>
      <c r="M69" s="36"/>
      <c r="N69" s="36"/>
    </row>
    <row r="70" spans="1:14" x14ac:dyDescent="0.35">
      <c r="A70" s="36"/>
      <c r="B70" s="75"/>
      <c r="C70" s="75"/>
      <c r="D70" s="75"/>
      <c r="E70" s="75"/>
      <c r="F70" s="75"/>
      <c r="G70" s="75"/>
      <c r="H70" s="36"/>
      <c r="I70" s="36"/>
      <c r="J70" s="36"/>
      <c r="K70" s="36"/>
      <c r="L70" s="36"/>
      <c r="M70" s="36"/>
      <c r="N70" s="36"/>
    </row>
    <row r="71" spans="1:14" x14ac:dyDescent="0.35">
      <c r="A71" s="36"/>
      <c r="B71" s="75"/>
      <c r="C71" s="75"/>
      <c r="D71" s="75"/>
      <c r="E71" s="75"/>
      <c r="F71" s="75"/>
      <c r="G71" s="75"/>
      <c r="H71" s="36"/>
      <c r="I71" s="36"/>
      <c r="J71" s="36"/>
      <c r="K71" s="36"/>
      <c r="L71" s="36"/>
      <c r="M71" s="36"/>
      <c r="N71" s="36"/>
    </row>
    <row r="72" spans="1:14" x14ac:dyDescent="0.35">
      <c r="A72" s="36"/>
      <c r="B72" s="75"/>
      <c r="C72" s="75"/>
      <c r="D72" s="75"/>
      <c r="E72" s="75"/>
      <c r="F72" s="75"/>
      <c r="G72" s="75"/>
      <c r="H72" s="36"/>
      <c r="I72" s="36"/>
      <c r="J72" s="36"/>
      <c r="K72" s="36"/>
      <c r="L72" s="36"/>
      <c r="M72" s="36"/>
      <c r="N72" s="36"/>
    </row>
    <row r="73" spans="1:14" x14ac:dyDescent="0.35">
      <c r="A73" s="36"/>
      <c r="B73" s="75"/>
      <c r="C73" s="75"/>
      <c r="D73" s="75"/>
      <c r="E73" s="75"/>
      <c r="F73" s="75"/>
      <c r="G73" s="75"/>
      <c r="H73" s="36"/>
      <c r="I73" s="36"/>
      <c r="J73" s="36"/>
      <c r="K73" s="36"/>
      <c r="L73" s="36"/>
      <c r="M73" s="36"/>
      <c r="N73" s="36"/>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174D2-DE69-4450-AF4D-B7755902D0C9}">
  <dimension ref="A1:T28"/>
  <sheetViews>
    <sheetView tabSelected="1" zoomScaleNormal="100" workbookViewId="0">
      <selection activeCell="A29" sqref="A29"/>
    </sheetView>
  </sheetViews>
  <sheetFormatPr defaultRowHeight="14.5" x14ac:dyDescent="0.35"/>
  <cols>
    <col min="1" max="1" width="23.90625" customWidth="1"/>
    <col min="7" max="7" width="12.81640625" customWidth="1"/>
    <col min="8" max="8" width="14" customWidth="1"/>
    <col min="9" max="9" width="13.7265625" customWidth="1"/>
    <col min="10" max="10" width="14.54296875" customWidth="1"/>
    <col min="11" max="11" width="12.81640625" customWidth="1"/>
    <col min="12" max="12" width="10.08984375" customWidth="1"/>
    <col min="13" max="13" width="14.90625" customWidth="1"/>
    <col min="14" max="14" width="13.26953125" customWidth="1"/>
    <col min="15" max="15" width="13.1796875" customWidth="1"/>
    <col min="16" max="16" width="11.90625" customWidth="1"/>
    <col min="19" max="19" width="15" customWidth="1"/>
  </cols>
  <sheetData>
    <row r="1" spans="1:20" ht="69.5" thickBot="1" x14ac:dyDescent="0.4">
      <c r="A1" s="163" t="s">
        <v>69</v>
      </c>
      <c r="B1" s="165" t="s">
        <v>70</v>
      </c>
      <c r="C1" s="165" t="s">
        <v>71</v>
      </c>
      <c r="D1" s="78" t="s">
        <v>72</v>
      </c>
      <c r="E1" s="79" t="s">
        <v>73</v>
      </c>
      <c r="F1" s="79" t="s">
        <v>74</v>
      </c>
      <c r="G1" s="79" t="s">
        <v>75</v>
      </c>
      <c r="H1" s="80" t="s">
        <v>76</v>
      </c>
      <c r="I1" s="79" t="s">
        <v>77</v>
      </c>
      <c r="J1" s="79" t="s">
        <v>78</v>
      </c>
      <c r="K1" s="79" t="s">
        <v>79</v>
      </c>
      <c r="L1" s="79" t="s">
        <v>80</v>
      </c>
      <c r="M1" s="79" t="s">
        <v>81</v>
      </c>
      <c r="N1" s="79" t="s">
        <v>82</v>
      </c>
      <c r="O1" s="79" t="s">
        <v>83</v>
      </c>
      <c r="P1" s="79" t="s">
        <v>84</v>
      </c>
      <c r="Q1" s="81" t="s">
        <v>85</v>
      </c>
      <c r="R1" s="81" t="s">
        <v>86</v>
      </c>
      <c r="S1" s="82" t="s">
        <v>87</v>
      </c>
      <c r="T1" s="82" t="s">
        <v>88</v>
      </c>
    </row>
    <row r="2" spans="1:20" ht="15" thickBot="1" x14ac:dyDescent="0.4">
      <c r="A2" s="164"/>
      <c r="B2" s="166"/>
      <c r="C2" s="167"/>
      <c r="D2" s="83" t="s">
        <v>90</v>
      </c>
      <c r="E2" s="84" t="s">
        <v>89</v>
      </c>
      <c r="F2" s="84" t="s">
        <v>89</v>
      </c>
      <c r="G2" s="84" t="s">
        <v>89</v>
      </c>
      <c r="H2" s="84" t="s">
        <v>89</v>
      </c>
      <c r="I2" s="84" t="s">
        <v>89</v>
      </c>
      <c r="J2" s="84" t="s">
        <v>89</v>
      </c>
      <c r="K2" s="84" t="s">
        <v>89</v>
      </c>
      <c r="L2" s="84" t="s">
        <v>89</v>
      </c>
      <c r="M2" s="84" t="s">
        <v>89</v>
      </c>
      <c r="N2" s="84" t="s">
        <v>89</v>
      </c>
      <c r="O2" s="84" t="s">
        <v>89</v>
      </c>
      <c r="P2" s="84" t="s">
        <v>89</v>
      </c>
      <c r="Q2" s="84" t="s">
        <v>89</v>
      </c>
      <c r="R2" s="84" t="s">
        <v>89</v>
      </c>
      <c r="S2" s="85" t="s">
        <v>89</v>
      </c>
      <c r="T2" s="85" t="s">
        <v>89</v>
      </c>
    </row>
    <row r="3" spans="1:20" x14ac:dyDescent="0.35">
      <c r="A3" s="168">
        <v>2021</v>
      </c>
      <c r="B3" s="86">
        <v>44197</v>
      </c>
      <c r="C3">
        <v>25</v>
      </c>
      <c r="D3">
        <v>20</v>
      </c>
      <c r="E3" s="116">
        <v>10141200</v>
      </c>
      <c r="F3" s="116">
        <v>11340</v>
      </c>
      <c r="G3">
        <f>'EGcontroller,i'!E$24</f>
        <v>2280879</v>
      </c>
      <c r="H3">
        <f t="array" ref="H3:H21">TRANSPOSE('EGcontroller,i'!E25:W25)</f>
        <v>10399137</v>
      </c>
      <c r="I3">
        <f>ROUND(E3*G3/H3,0)</f>
        <v>2224305</v>
      </c>
      <c r="J3">
        <v>2224305</v>
      </c>
      <c r="K3">
        <f>MIN(I3,J3)</f>
        <v>2224305</v>
      </c>
      <c r="L3" s="118">
        <f>ROUNDDOWN(((1-0.2%)*K3),0)</f>
        <v>2219856</v>
      </c>
      <c r="M3" s="118">
        <f>ROUND(((F3*G3)/H3),0)</f>
        <v>2487</v>
      </c>
      <c r="N3" s="118">
        <v>2487</v>
      </c>
      <c r="O3" s="118">
        <f>MAX(M3,N3)</f>
        <v>2487</v>
      </c>
      <c r="P3" s="118">
        <f>ROUNDUP(((1+0.2%)*O3),0)</f>
        <v>2492</v>
      </c>
      <c r="Q3" s="118">
        <f>I3-M3</f>
        <v>2221818</v>
      </c>
      <c r="R3" s="118">
        <f>J3-N3</f>
        <v>2221818</v>
      </c>
      <c r="S3">
        <f>K3-P3</f>
        <v>2221813</v>
      </c>
      <c r="T3" s="118">
        <f>L3-P3</f>
        <v>2217364</v>
      </c>
    </row>
    <row r="4" spans="1:20" x14ac:dyDescent="0.35">
      <c r="A4" s="168"/>
      <c r="B4" s="86">
        <v>44228</v>
      </c>
      <c r="C4">
        <v>25</v>
      </c>
      <c r="D4">
        <v>20</v>
      </c>
      <c r="E4" s="116">
        <v>5809860</v>
      </c>
      <c r="F4" s="116">
        <v>21060</v>
      </c>
      <c r="G4">
        <f>'EGcontroller,i'!F$24</f>
        <v>1350495</v>
      </c>
      <c r="H4">
        <v>5992973</v>
      </c>
      <c r="I4">
        <f t="shared" ref="I4:I21" si="0">ROUND(E4*G4/H4,0)</f>
        <v>1309231</v>
      </c>
      <c r="J4">
        <v>1309231</v>
      </c>
      <c r="K4">
        <f t="shared" ref="K4:K21" si="1">MIN(I4,J4)</f>
        <v>1309231</v>
      </c>
      <c r="L4" s="118">
        <f t="shared" ref="L4:L21" si="2">ROUNDDOWN(((1-0.2%)*K4),0)</f>
        <v>1306612</v>
      </c>
      <c r="M4" s="118">
        <f t="shared" ref="M4:M21" si="3">ROUND(((F4*G4)/H4),0)</f>
        <v>4746</v>
      </c>
      <c r="N4" s="118">
        <v>4746</v>
      </c>
      <c r="O4" s="118">
        <f t="shared" ref="O4:O21" si="4">MAX(M4,N4)</f>
        <v>4746</v>
      </c>
      <c r="P4" s="118">
        <f t="shared" ref="P4:P21" si="5">ROUNDUP(((1+0.2%)*O4),0)</f>
        <v>4756</v>
      </c>
      <c r="Q4" s="118">
        <f t="shared" ref="Q4:Q21" si="6">I4-M4</f>
        <v>1304485</v>
      </c>
      <c r="R4" s="118">
        <f t="shared" ref="R4:R21" si="7">J4-N4</f>
        <v>1304485</v>
      </c>
      <c r="S4">
        <f t="shared" ref="S4:S21" si="8">K4-P4</f>
        <v>1304475</v>
      </c>
      <c r="T4" s="118">
        <f t="shared" ref="T4:T21" si="9">L4-P4</f>
        <v>1301856</v>
      </c>
    </row>
    <row r="5" spans="1:20" x14ac:dyDescent="0.35">
      <c r="A5" s="168"/>
      <c r="B5" s="86">
        <v>44256</v>
      </c>
      <c r="C5">
        <v>25</v>
      </c>
      <c r="D5">
        <v>20</v>
      </c>
      <c r="E5" s="116">
        <v>11808720</v>
      </c>
      <c r="F5" s="116">
        <v>15120</v>
      </c>
      <c r="G5">
        <f>'EGcontroller,i'!G$24</f>
        <v>2607035</v>
      </c>
      <c r="H5">
        <v>12129914</v>
      </c>
      <c r="I5">
        <f t="shared" si="0"/>
        <v>2538002</v>
      </c>
      <c r="J5">
        <v>2538002</v>
      </c>
      <c r="K5">
        <f t="shared" si="1"/>
        <v>2538002</v>
      </c>
      <c r="L5">
        <f>K5</f>
        <v>2538002</v>
      </c>
      <c r="M5">
        <f t="shared" si="3"/>
        <v>3250</v>
      </c>
      <c r="N5">
        <v>3250</v>
      </c>
      <c r="O5">
        <f t="shared" si="4"/>
        <v>3250</v>
      </c>
      <c r="P5">
        <f>O5</f>
        <v>3250</v>
      </c>
      <c r="Q5">
        <f t="shared" si="6"/>
        <v>2534752</v>
      </c>
      <c r="R5">
        <f t="shared" si="7"/>
        <v>2534752</v>
      </c>
      <c r="S5">
        <f t="shared" si="8"/>
        <v>2534752</v>
      </c>
      <c r="T5">
        <f t="shared" si="9"/>
        <v>2534752</v>
      </c>
    </row>
    <row r="6" spans="1:20" x14ac:dyDescent="0.35">
      <c r="A6" s="168"/>
      <c r="B6" s="86">
        <v>44287</v>
      </c>
      <c r="C6">
        <v>25</v>
      </c>
      <c r="D6">
        <v>20</v>
      </c>
      <c r="E6" s="116">
        <v>12441600</v>
      </c>
      <c r="F6" s="116">
        <v>9180</v>
      </c>
      <c r="G6">
        <f>'EGcontroller,i'!H$24</f>
        <v>2769686</v>
      </c>
      <c r="H6">
        <v>12792080</v>
      </c>
      <c r="I6">
        <f t="shared" si="0"/>
        <v>2693802</v>
      </c>
      <c r="J6">
        <v>2693802</v>
      </c>
      <c r="K6">
        <f t="shared" si="1"/>
        <v>2693802</v>
      </c>
      <c r="L6">
        <f t="shared" ref="L6:L15" si="10">K6</f>
        <v>2693802</v>
      </c>
      <c r="M6">
        <f t="shared" si="3"/>
        <v>1988</v>
      </c>
      <c r="N6">
        <v>1988</v>
      </c>
      <c r="O6">
        <f t="shared" si="4"/>
        <v>1988</v>
      </c>
      <c r="P6">
        <f t="shared" ref="P6:P15" si="11">O6</f>
        <v>1988</v>
      </c>
      <c r="Q6">
        <f t="shared" si="6"/>
        <v>2691814</v>
      </c>
      <c r="R6">
        <f t="shared" si="7"/>
        <v>2691814</v>
      </c>
      <c r="S6">
        <f t="shared" si="8"/>
        <v>2691814</v>
      </c>
      <c r="T6">
        <f t="shared" si="9"/>
        <v>2691814</v>
      </c>
    </row>
    <row r="7" spans="1:20" x14ac:dyDescent="0.35">
      <c r="A7" s="168"/>
      <c r="B7" s="86">
        <v>44317</v>
      </c>
      <c r="C7">
        <v>25</v>
      </c>
      <c r="D7">
        <v>20</v>
      </c>
      <c r="E7" s="116">
        <v>15877620</v>
      </c>
      <c r="F7" s="116">
        <v>8640</v>
      </c>
      <c r="G7" s="115">
        <f>'EGcontroller,i'!I$24</f>
        <v>3437477</v>
      </c>
      <c r="H7">
        <v>16308800</v>
      </c>
      <c r="I7">
        <f t="shared" si="0"/>
        <v>3346595</v>
      </c>
      <c r="J7">
        <v>3346595</v>
      </c>
      <c r="K7">
        <f t="shared" si="1"/>
        <v>3346595</v>
      </c>
      <c r="L7">
        <f t="shared" si="10"/>
        <v>3346595</v>
      </c>
      <c r="M7">
        <f t="shared" si="3"/>
        <v>1821</v>
      </c>
      <c r="N7">
        <v>1821</v>
      </c>
      <c r="O7">
        <f t="shared" si="4"/>
        <v>1821</v>
      </c>
      <c r="P7">
        <f t="shared" si="11"/>
        <v>1821</v>
      </c>
      <c r="Q7">
        <f t="shared" si="6"/>
        <v>3344774</v>
      </c>
      <c r="R7">
        <f t="shared" si="7"/>
        <v>3344774</v>
      </c>
      <c r="S7">
        <f t="shared" si="8"/>
        <v>3344774</v>
      </c>
      <c r="T7">
        <f t="shared" si="9"/>
        <v>3344774</v>
      </c>
    </row>
    <row r="8" spans="1:20" x14ac:dyDescent="0.35">
      <c r="A8" s="168"/>
      <c r="B8" s="86">
        <v>44348</v>
      </c>
      <c r="C8">
        <v>25</v>
      </c>
      <c r="D8">
        <v>20</v>
      </c>
      <c r="E8" s="116">
        <v>18154260</v>
      </c>
      <c r="F8" s="116">
        <v>8100</v>
      </c>
      <c r="G8" s="115">
        <f>'EGcontroller,i'!J$24</f>
        <v>3945384</v>
      </c>
      <c r="H8">
        <v>18643680</v>
      </c>
      <c r="I8">
        <f t="shared" si="0"/>
        <v>3841813</v>
      </c>
      <c r="J8">
        <v>3841813</v>
      </c>
      <c r="K8">
        <f t="shared" si="1"/>
        <v>3841813</v>
      </c>
      <c r="L8">
        <f t="shared" si="10"/>
        <v>3841813</v>
      </c>
      <c r="M8">
        <f t="shared" si="3"/>
        <v>1714</v>
      </c>
      <c r="N8">
        <v>1714</v>
      </c>
      <c r="O8">
        <f t="shared" si="4"/>
        <v>1714</v>
      </c>
      <c r="P8">
        <f t="shared" si="11"/>
        <v>1714</v>
      </c>
      <c r="Q8">
        <f t="shared" si="6"/>
        <v>3840099</v>
      </c>
      <c r="R8">
        <f t="shared" si="7"/>
        <v>3840099</v>
      </c>
      <c r="S8">
        <f t="shared" si="8"/>
        <v>3840099</v>
      </c>
      <c r="T8">
        <f t="shared" si="9"/>
        <v>3840099</v>
      </c>
    </row>
    <row r="9" spans="1:20" x14ac:dyDescent="0.35">
      <c r="A9" s="168"/>
      <c r="B9" s="86">
        <v>44378</v>
      </c>
      <c r="C9">
        <v>25</v>
      </c>
      <c r="D9">
        <v>20</v>
      </c>
      <c r="E9" s="116">
        <v>19010160</v>
      </c>
      <c r="F9" s="116">
        <v>6480</v>
      </c>
      <c r="G9" s="115">
        <f>'EGcontroller,i'!K$24</f>
        <v>3979907</v>
      </c>
      <c r="H9">
        <v>19492930</v>
      </c>
      <c r="I9">
        <f t="shared" si="0"/>
        <v>3881339</v>
      </c>
      <c r="J9">
        <v>3881339</v>
      </c>
      <c r="K9">
        <f t="shared" si="1"/>
        <v>3881339</v>
      </c>
      <c r="L9">
        <f t="shared" si="10"/>
        <v>3881339</v>
      </c>
      <c r="M9">
        <f t="shared" si="3"/>
        <v>1323</v>
      </c>
      <c r="N9">
        <v>1323</v>
      </c>
      <c r="O9">
        <f t="shared" si="4"/>
        <v>1323</v>
      </c>
      <c r="P9">
        <f t="shared" si="11"/>
        <v>1323</v>
      </c>
      <c r="Q9">
        <f t="shared" si="6"/>
        <v>3880016</v>
      </c>
      <c r="R9">
        <f t="shared" si="7"/>
        <v>3880016</v>
      </c>
      <c r="S9">
        <f t="shared" si="8"/>
        <v>3880016</v>
      </c>
      <c r="T9">
        <f t="shared" si="9"/>
        <v>3880016</v>
      </c>
    </row>
    <row r="10" spans="1:20" x14ac:dyDescent="0.35">
      <c r="A10" s="168"/>
      <c r="B10" s="86">
        <v>44409</v>
      </c>
      <c r="C10">
        <v>25</v>
      </c>
      <c r="D10">
        <v>20</v>
      </c>
      <c r="E10" s="116">
        <v>16825860</v>
      </c>
      <c r="F10" s="116">
        <v>2700</v>
      </c>
      <c r="G10" s="115">
        <f>'EGcontroller,i'!L$24</f>
        <v>3655617</v>
      </c>
      <c r="H10">
        <v>17298859</v>
      </c>
      <c r="I10">
        <f t="shared" si="0"/>
        <v>3555662</v>
      </c>
      <c r="J10">
        <v>3555662</v>
      </c>
      <c r="K10">
        <f t="shared" si="1"/>
        <v>3555662</v>
      </c>
      <c r="L10">
        <f t="shared" si="10"/>
        <v>3555662</v>
      </c>
      <c r="M10">
        <f t="shared" si="3"/>
        <v>571</v>
      </c>
      <c r="N10">
        <v>571</v>
      </c>
      <c r="O10">
        <f t="shared" si="4"/>
        <v>571</v>
      </c>
      <c r="P10">
        <f t="shared" si="11"/>
        <v>571</v>
      </c>
      <c r="Q10">
        <f t="shared" si="6"/>
        <v>3555091</v>
      </c>
      <c r="R10">
        <f t="shared" si="7"/>
        <v>3555091</v>
      </c>
      <c r="S10">
        <f t="shared" si="8"/>
        <v>3555091</v>
      </c>
      <c r="T10">
        <f t="shared" si="9"/>
        <v>3555091</v>
      </c>
    </row>
    <row r="11" spans="1:20" x14ac:dyDescent="0.35">
      <c r="A11" s="168"/>
      <c r="B11" s="86">
        <v>44440</v>
      </c>
      <c r="C11">
        <v>25</v>
      </c>
      <c r="D11">
        <v>20</v>
      </c>
      <c r="E11" s="116">
        <v>5839020</v>
      </c>
      <c r="F11" s="116">
        <v>24300</v>
      </c>
      <c r="G11" s="115">
        <f>'EGcontroller,i'!M$24</f>
        <v>1303529</v>
      </c>
      <c r="H11">
        <v>6057956</v>
      </c>
      <c r="I11">
        <f t="shared" si="0"/>
        <v>1256419</v>
      </c>
      <c r="J11">
        <v>1256419</v>
      </c>
      <c r="K11">
        <f t="shared" si="1"/>
        <v>1256419</v>
      </c>
      <c r="L11">
        <f t="shared" si="10"/>
        <v>1256419</v>
      </c>
      <c r="M11">
        <f t="shared" si="3"/>
        <v>5229</v>
      </c>
      <c r="N11">
        <v>5229</v>
      </c>
      <c r="O11">
        <f t="shared" si="4"/>
        <v>5229</v>
      </c>
      <c r="P11">
        <f t="shared" si="11"/>
        <v>5229</v>
      </c>
      <c r="Q11">
        <f t="shared" si="6"/>
        <v>1251190</v>
      </c>
      <c r="R11">
        <f t="shared" si="7"/>
        <v>1251190</v>
      </c>
      <c r="S11">
        <f t="shared" si="8"/>
        <v>1251190</v>
      </c>
      <c r="T11">
        <f t="shared" si="9"/>
        <v>1251190</v>
      </c>
    </row>
    <row r="12" spans="1:20" x14ac:dyDescent="0.35">
      <c r="A12" s="168"/>
      <c r="B12" s="86">
        <v>44470</v>
      </c>
      <c r="C12">
        <v>25</v>
      </c>
      <c r="D12">
        <v>20</v>
      </c>
      <c r="E12" s="116">
        <v>7468200</v>
      </c>
      <c r="F12" s="116">
        <v>18360</v>
      </c>
      <c r="G12" s="115">
        <f>'EGcontroller,i'!N$24</f>
        <v>1713630</v>
      </c>
      <c r="H12">
        <v>7699908</v>
      </c>
      <c r="I12">
        <f t="shared" si="0"/>
        <v>1662063</v>
      </c>
      <c r="J12">
        <v>1662063</v>
      </c>
      <c r="K12">
        <f t="shared" si="1"/>
        <v>1662063</v>
      </c>
      <c r="L12">
        <f t="shared" si="10"/>
        <v>1662063</v>
      </c>
      <c r="M12">
        <f t="shared" si="3"/>
        <v>4086</v>
      </c>
      <c r="N12">
        <v>4086</v>
      </c>
      <c r="O12">
        <f t="shared" si="4"/>
        <v>4086</v>
      </c>
      <c r="P12">
        <f t="shared" si="11"/>
        <v>4086</v>
      </c>
      <c r="Q12">
        <f t="shared" si="6"/>
        <v>1657977</v>
      </c>
      <c r="R12">
        <f t="shared" si="7"/>
        <v>1657977</v>
      </c>
      <c r="S12">
        <f t="shared" si="8"/>
        <v>1657977</v>
      </c>
      <c r="T12">
        <f t="shared" si="9"/>
        <v>1657977</v>
      </c>
    </row>
    <row r="13" spans="1:20" x14ac:dyDescent="0.35">
      <c r="A13" s="168"/>
      <c r="B13" s="86">
        <v>44501</v>
      </c>
      <c r="C13">
        <v>25</v>
      </c>
      <c r="D13">
        <v>20</v>
      </c>
      <c r="E13" s="116">
        <v>7145820</v>
      </c>
      <c r="F13" s="116">
        <v>19980</v>
      </c>
      <c r="G13" s="115">
        <f>'EGcontroller,i'!O$24</f>
        <v>1581344</v>
      </c>
      <c r="H13">
        <v>7361413</v>
      </c>
      <c r="I13">
        <f t="shared" si="0"/>
        <v>1535031</v>
      </c>
      <c r="J13">
        <v>1535031</v>
      </c>
      <c r="K13">
        <f t="shared" si="1"/>
        <v>1535031</v>
      </c>
      <c r="L13">
        <f t="shared" si="10"/>
        <v>1535031</v>
      </c>
      <c r="M13">
        <f t="shared" si="3"/>
        <v>4292</v>
      </c>
      <c r="N13">
        <v>4292</v>
      </c>
      <c r="O13">
        <f t="shared" si="4"/>
        <v>4292</v>
      </c>
      <c r="P13">
        <f t="shared" si="11"/>
        <v>4292</v>
      </c>
      <c r="Q13">
        <f t="shared" si="6"/>
        <v>1530739</v>
      </c>
      <c r="R13">
        <f t="shared" si="7"/>
        <v>1530739</v>
      </c>
      <c r="S13">
        <f t="shared" si="8"/>
        <v>1530739</v>
      </c>
      <c r="T13">
        <f t="shared" si="9"/>
        <v>1530739</v>
      </c>
    </row>
    <row r="14" spans="1:20" ht="15" thickBot="1" x14ac:dyDescent="0.4">
      <c r="A14" s="169"/>
      <c r="B14" s="86">
        <v>44531</v>
      </c>
      <c r="C14">
        <v>25</v>
      </c>
      <c r="D14">
        <v>20</v>
      </c>
      <c r="E14" s="116">
        <v>9343620</v>
      </c>
      <c r="F14" s="116">
        <v>14580</v>
      </c>
      <c r="G14" s="115">
        <f>'EGcontroller,i'!P$24</f>
        <v>2086204</v>
      </c>
      <c r="H14">
        <v>9570207</v>
      </c>
      <c r="I14">
        <f t="shared" si="0"/>
        <v>2036810</v>
      </c>
      <c r="J14">
        <v>2036810</v>
      </c>
      <c r="K14">
        <f t="shared" si="1"/>
        <v>2036810</v>
      </c>
      <c r="L14">
        <f t="shared" si="10"/>
        <v>2036810</v>
      </c>
      <c r="M14">
        <f t="shared" si="3"/>
        <v>3178</v>
      </c>
      <c r="N14">
        <v>3178</v>
      </c>
      <c r="O14">
        <f t="shared" si="4"/>
        <v>3178</v>
      </c>
      <c r="P14">
        <f t="shared" si="11"/>
        <v>3178</v>
      </c>
      <c r="Q14">
        <f t="shared" si="6"/>
        <v>2033632</v>
      </c>
      <c r="R14">
        <f t="shared" si="7"/>
        <v>2033632</v>
      </c>
      <c r="S14">
        <f t="shared" si="8"/>
        <v>2033632</v>
      </c>
      <c r="T14">
        <f t="shared" si="9"/>
        <v>2033632</v>
      </c>
    </row>
    <row r="15" spans="1:20" x14ac:dyDescent="0.35">
      <c r="A15" s="170">
        <v>2022</v>
      </c>
      <c r="B15" s="86">
        <v>44562</v>
      </c>
      <c r="C15">
        <v>25</v>
      </c>
      <c r="D15">
        <v>20</v>
      </c>
      <c r="E15" s="117">
        <v>7110180</v>
      </c>
      <c r="F15" s="117">
        <v>18360</v>
      </c>
      <c r="G15" s="115">
        <f>'EGcontroller,i'!Q$24</f>
        <v>1602583</v>
      </c>
      <c r="H15">
        <v>7330529</v>
      </c>
      <c r="I15">
        <f t="shared" si="0"/>
        <v>1554411</v>
      </c>
      <c r="J15">
        <v>1554411</v>
      </c>
      <c r="K15">
        <f t="shared" si="1"/>
        <v>1554411</v>
      </c>
      <c r="L15">
        <f t="shared" si="10"/>
        <v>1554411</v>
      </c>
      <c r="M15">
        <f t="shared" si="3"/>
        <v>4014</v>
      </c>
      <c r="N15">
        <v>4014</v>
      </c>
      <c r="O15">
        <f t="shared" si="4"/>
        <v>4014</v>
      </c>
      <c r="P15">
        <f t="shared" si="11"/>
        <v>4014</v>
      </c>
      <c r="Q15">
        <f t="shared" si="6"/>
        <v>1550397</v>
      </c>
      <c r="R15">
        <f t="shared" si="7"/>
        <v>1550397</v>
      </c>
      <c r="S15">
        <f t="shared" si="8"/>
        <v>1550397</v>
      </c>
      <c r="T15">
        <f t="shared" si="9"/>
        <v>1550397</v>
      </c>
    </row>
    <row r="16" spans="1:20" x14ac:dyDescent="0.35">
      <c r="A16" s="168"/>
      <c r="B16" s="86">
        <v>44593</v>
      </c>
      <c r="C16">
        <v>25</v>
      </c>
      <c r="D16">
        <v>20</v>
      </c>
      <c r="E16" s="117">
        <v>9720540</v>
      </c>
      <c r="F16" s="117">
        <v>8640</v>
      </c>
      <c r="G16" s="115">
        <f>'EGcontroller,i'!R$24</f>
        <v>2158716</v>
      </c>
      <c r="H16">
        <v>10004248</v>
      </c>
      <c r="I16">
        <f t="shared" si="0"/>
        <v>2097498</v>
      </c>
      <c r="J16">
        <v>2097498</v>
      </c>
      <c r="K16">
        <f t="shared" si="1"/>
        <v>2097498</v>
      </c>
      <c r="L16" s="118">
        <f t="shared" si="2"/>
        <v>2093303</v>
      </c>
      <c r="M16" s="118">
        <f t="shared" si="3"/>
        <v>1864</v>
      </c>
      <c r="N16" s="118">
        <v>1864</v>
      </c>
      <c r="O16" s="118">
        <f t="shared" si="4"/>
        <v>1864</v>
      </c>
      <c r="P16" s="118">
        <f t="shared" si="5"/>
        <v>1868</v>
      </c>
      <c r="Q16" s="118">
        <f t="shared" si="6"/>
        <v>2095634</v>
      </c>
      <c r="R16" s="118">
        <f t="shared" si="7"/>
        <v>2095634</v>
      </c>
      <c r="S16">
        <f t="shared" si="8"/>
        <v>2095630</v>
      </c>
      <c r="T16" s="118">
        <f t="shared" si="9"/>
        <v>2091435</v>
      </c>
    </row>
    <row r="17" spans="1:20" x14ac:dyDescent="0.35">
      <c r="A17" s="168"/>
      <c r="B17" s="86">
        <v>44621</v>
      </c>
      <c r="C17">
        <v>25</v>
      </c>
      <c r="D17">
        <v>20</v>
      </c>
      <c r="E17" s="117">
        <v>8274420</v>
      </c>
      <c r="F17" s="117">
        <v>9180</v>
      </c>
      <c r="G17" s="115">
        <f>'EGcontroller,i'!S$24</f>
        <v>1911499</v>
      </c>
      <c r="H17">
        <v>8513493</v>
      </c>
      <c r="I17">
        <f t="shared" si="0"/>
        <v>1857821</v>
      </c>
      <c r="J17">
        <v>1857821</v>
      </c>
      <c r="K17">
        <f t="shared" si="1"/>
        <v>1857821</v>
      </c>
      <c r="L17" s="118">
        <f t="shared" si="2"/>
        <v>1854105</v>
      </c>
      <c r="M17" s="118">
        <f t="shared" si="3"/>
        <v>2061</v>
      </c>
      <c r="N17" s="118">
        <v>2061</v>
      </c>
      <c r="O17" s="118">
        <f t="shared" si="4"/>
        <v>2061</v>
      </c>
      <c r="P17" s="118">
        <f t="shared" si="5"/>
        <v>2066</v>
      </c>
      <c r="Q17" s="118">
        <f t="shared" si="6"/>
        <v>1855760</v>
      </c>
      <c r="R17" s="118">
        <f t="shared" si="7"/>
        <v>1855760</v>
      </c>
      <c r="S17">
        <f t="shared" si="8"/>
        <v>1855755</v>
      </c>
      <c r="T17" s="118">
        <f t="shared" si="9"/>
        <v>1852039</v>
      </c>
    </row>
    <row r="18" spans="1:20" x14ac:dyDescent="0.35">
      <c r="A18" s="168"/>
      <c r="B18" s="86">
        <v>44652</v>
      </c>
      <c r="C18">
        <v>25</v>
      </c>
      <c r="D18">
        <v>20</v>
      </c>
      <c r="E18" s="117">
        <v>11377260</v>
      </c>
      <c r="F18" s="117">
        <v>12960</v>
      </c>
      <c r="G18" s="115">
        <f>'EGcontroller,i'!T$24</f>
        <v>2636111</v>
      </c>
      <c r="H18">
        <v>11672010</v>
      </c>
      <c r="I18">
        <f t="shared" si="0"/>
        <v>2569542</v>
      </c>
      <c r="J18">
        <v>2569542</v>
      </c>
      <c r="K18">
        <f t="shared" si="1"/>
        <v>2569542</v>
      </c>
      <c r="L18" s="118">
        <f t="shared" si="2"/>
        <v>2564402</v>
      </c>
      <c r="M18" s="118">
        <f t="shared" si="3"/>
        <v>2927</v>
      </c>
      <c r="N18" s="118">
        <v>2927</v>
      </c>
      <c r="O18" s="118">
        <f t="shared" si="4"/>
        <v>2927</v>
      </c>
      <c r="P18" s="118">
        <f t="shared" si="5"/>
        <v>2933</v>
      </c>
      <c r="Q18" s="118">
        <f t="shared" si="6"/>
        <v>2566615</v>
      </c>
      <c r="R18" s="118">
        <f t="shared" si="7"/>
        <v>2566615</v>
      </c>
      <c r="S18">
        <f t="shared" si="8"/>
        <v>2566609</v>
      </c>
      <c r="T18" s="118">
        <f t="shared" si="9"/>
        <v>2561469</v>
      </c>
    </row>
    <row r="19" spans="1:20" x14ac:dyDescent="0.35">
      <c r="A19" s="168"/>
      <c r="B19" s="86">
        <v>44682</v>
      </c>
      <c r="C19">
        <v>25</v>
      </c>
      <c r="D19">
        <v>20</v>
      </c>
      <c r="E19" s="117">
        <v>26030700</v>
      </c>
      <c r="F19" s="117">
        <v>6480</v>
      </c>
      <c r="G19" s="115">
        <f>'EGcontroller,i'!U$24</f>
        <v>5719594</v>
      </c>
      <c r="H19">
        <v>26800283</v>
      </c>
      <c r="I19">
        <f t="shared" si="0"/>
        <v>5555353</v>
      </c>
      <c r="J19">
        <v>5555353</v>
      </c>
      <c r="K19">
        <f t="shared" si="1"/>
        <v>5555353</v>
      </c>
      <c r="L19" s="118">
        <f t="shared" si="2"/>
        <v>5544242</v>
      </c>
      <c r="M19" s="118">
        <f t="shared" si="3"/>
        <v>1383</v>
      </c>
      <c r="N19" s="118">
        <v>1383</v>
      </c>
      <c r="O19" s="118">
        <f t="shared" si="4"/>
        <v>1383</v>
      </c>
      <c r="P19" s="118">
        <f t="shared" si="5"/>
        <v>1386</v>
      </c>
      <c r="Q19" s="118">
        <f t="shared" si="6"/>
        <v>5553970</v>
      </c>
      <c r="R19" s="118">
        <f t="shared" si="7"/>
        <v>5553970</v>
      </c>
      <c r="S19">
        <f t="shared" si="8"/>
        <v>5553967</v>
      </c>
      <c r="T19" s="118">
        <f t="shared" si="9"/>
        <v>5542856</v>
      </c>
    </row>
    <row r="20" spans="1:20" x14ac:dyDescent="0.35">
      <c r="A20" s="168"/>
      <c r="B20" s="86">
        <v>44713</v>
      </c>
      <c r="C20">
        <v>25</v>
      </c>
      <c r="D20">
        <v>20</v>
      </c>
      <c r="E20" s="117">
        <v>21163140</v>
      </c>
      <c r="F20" s="117">
        <v>4860</v>
      </c>
      <c r="G20" s="115">
        <f>'EGcontroller,i'!V$24</f>
        <v>4610852</v>
      </c>
      <c r="H20">
        <v>21726155</v>
      </c>
      <c r="I20">
        <f t="shared" si="0"/>
        <v>4491366</v>
      </c>
      <c r="J20">
        <v>4491366</v>
      </c>
      <c r="K20">
        <f t="shared" si="1"/>
        <v>4491366</v>
      </c>
      <c r="L20" s="118">
        <f t="shared" si="2"/>
        <v>4482383</v>
      </c>
      <c r="M20" s="118">
        <f t="shared" si="3"/>
        <v>1031</v>
      </c>
      <c r="N20" s="118">
        <v>1031</v>
      </c>
      <c r="O20" s="118">
        <f t="shared" si="4"/>
        <v>1031</v>
      </c>
      <c r="P20" s="118">
        <f t="shared" si="5"/>
        <v>1034</v>
      </c>
      <c r="Q20" s="118">
        <f t="shared" si="6"/>
        <v>4490335</v>
      </c>
      <c r="R20" s="118">
        <f t="shared" si="7"/>
        <v>4490335</v>
      </c>
      <c r="S20">
        <f t="shared" si="8"/>
        <v>4490332</v>
      </c>
      <c r="T20" s="118">
        <f t="shared" si="9"/>
        <v>4481349</v>
      </c>
    </row>
    <row r="21" spans="1:20" ht="15" thickBot="1" x14ac:dyDescent="0.4">
      <c r="A21" s="169"/>
      <c r="B21" s="86">
        <v>44743</v>
      </c>
      <c r="C21">
        <v>25</v>
      </c>
      <c r="D21">
        <v>20</v>
      </c>
      <c r="E21" s="117">
        <v>8283600</v>
      </c>
      <c r="F21" s="117">
        <v>27540</v>
      </c>
      <c r="G21" s="115">
        <f>'EGcontroller,i'!W$24</f>
        <v>1901860</v>
      </c>
      <c r="H21">
        <v>8563685</v>
      </c>
      <c r="I21">
        <f t="shared" si="0"/>
        <v>1839658</v>
      </c>
      <c r="J21">
        <v>1839658</v>
      </c>
      <c r="K21">
        <f t="shared" si="1"/>
        <v>1839658</v>
      </c>
      <c r="L21" s="118">
        <f t="shared" si="2"/>
        <v>1835978</v>
      </c>
      <c r="M21" s="118">
        <f t="shared" si="3"/>
        <v>6116</v>
      </c>
      <c r="N21" s="118">
        <v>6116</v>
      </c>
      <c r="O21" s="118">
        <f t="shared" si="4"/>
        <v>6116</v>
      </c>
      <c r="P21" s="118">
        <f t="shared" si="5"/>
        <v>6129</v>
      </c>
      <c r="Q21" s="118">
        <f t="shared" si="6"/>
        <v>1833542</v>
      </c>
      <c r="R21" s="118">
        <f t="shared" si="7"/>
        <v>1833542</v>
      </c>
      <c r="S21">
        <f t="shared" si="8"/>
        <v>1833529</v>
      </c>
      <c r="T21" s="118">
        <f t="shared" si="9"/>
        <v>1829849</v>
      </c>
    </row>
    <row r="23" spans="1:20" x14ac:dyDescent="0.35">
      <c r="A23" s="162" t="s">
        <v>117</v>
      </c>
      <c r="B23" s="162"/>
      <c r="C23" s="162"/>
      <c r="D23" s="162"/>
      <c r="E23" s="162"/>
      <c r="F23" s="162"/>
      <c r="G23" s="162"/>
      <c r="H23" s="162"/>
      <c r="I23" s="162"/>
      <c r="J23" s="162"/>
      <c r="K23" s="162"/>
      <c r="L23" s="162"/>
      <c r="M23" s="162"/>
      <c r="N23" s="162"/>
    </row>
    <row r="24" spans="1:20" x14ac:dyDescent="0.35">
      <c r="A24" s="162"/>
      <c r="B24" s="162"/>
      <c r="C24" s="162"/>
      <c r="D24" s="162"/>
      <c r="E24" s="162"/>
      <c r="F24" s="162"/>
      <c r="G24" s="162"/>
      <c r="H24" s="162"/>
      <c r="I24" s="162"/>
      <c r="J24" s="162"/>
      <c r="K24" s="162"/>
      <c r="L24" s="162"/>
      <c r="M24" s="162"/>
      <c r="N24" s="162"/>
    </row>
    <row r="25" spans="1:20" ht="15.5" x14ac:dyDescent="0.35">
      <c r="A25" s="137" t="s">
        <v>118</v>
      </c>
      <c r="B25" s="138"/>
    </row>
    <row r="26" spans="1:20" x14ac:dyDescent="0.35">
      <c r="A26" s="133" t="s">
        <v>120</v>
      </c>
      <c r="B26" s="134" t="s">
        <v>121</v>
      </c>
    </row>
    <row r="27" spans="1:20" x14ac:dyDescent="0.35">
      <c r="A27" s="133" t="s">
        <v>122</v>
      </c>
      <c r="B27" s="134" t="s">
        <v>123</v>
      </c>
    </row>
    <row r="28" spans="1:20" ht="29" x14ac:dyDescent="0.35">
      <c r="A28" s="135" t="s">
        <v>119</v>
      </c>
      <c r="B28" s="136">
        <v>2E-3</v>
      </c>
    </row>
  </sheetData>
  <mergeCells count="6">
    <mergeCell ref="A23:N24"/>
    <mergeCell ref="A1:A2"/>
    <mergeCell ref="B1:B2"/>
    <mergeCell ref="C1:C2"/>
    <mergeCell ref="A3:A14"/>
    <mergeCell ref="A15:A21"/>
  </mergeCells>
  <pageMargins left="0.7" right="0.7" top="0.75" bottom="0.75" header="0.3" footer="0.3"/>
  <pageSetup paperSize="9" orientation="portrait" horizontalDpi="300" verticalDpi="0" copies="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10F91-1D12-415F-A0C3-48F630B2BEB3}">
  <dimension ref="A1:X25"/>
  <sheetViews>
    <sheetView topLeftCell="A10" workbookViewId="0">
      <selection activeCell="X5" sqref="X5"/>
    </sheetView>
  </sheetViews>
  <sheetFormatPr defaultRowHeight="14.5" x14ac:dyDescent="0.35"/>
  <cols>
    <col min="2" max="2" width="19.36328125" customWidth="1"/>
    <col min="24" max="24" width="11.453125" customWidth="1"/>
  </cols>
  <sheetData>
    <row r="1" spans="1:24" ht="15" customHeight="1" thickBot="1" x14ac:dyDescent="0.4">
      <c r="A1" s="87"/>
      <c r="B1" s="88"/>
      <c r="C1" s="89"/>
      <c r="D1" s="89"/>
      <c r="E1" s="90">
        <v>44197</v>
      </c>
      <c r="F1" s="90">
        <v>44228</v>
      </c>
      <c r="G1" s="90">
        <v>44256</v>
      </c>
      <c r="H1" s="90">
        <v>44287</v>
      </c>
      <c r="I1" s="90">
        <v>44317</v>
      </c>
      <c r="J1" s="90">
        <v>44348</v>
      </c>
      <c r="K1" s="90">
        <v>44378</v>
      </c>
      <c r="L1" s="90">
        <v>44409</v>
      </c>
      <c r="M1" s="90">
        <v>44440</v>
      </c>
      <c r="N1" s="90">
        <v>44470</v>
      </c>
      <c r="O1" s="90">
        <v>44501</v>
      </c>
      <c r="P1" s="90">
        <v>44531</v>
      </c>
      <c r="Q1" s="90">
        <v>44562</v>
      </c>
      <c r="R1" s="90">
        <v>44593</v>
      </c>
      <c r="S1" s="90">
        <v>44621</v>
      </c>
      <c r="T1" s="90">
        <v>44652</v>
      </c>
      <c r="U1" s="90">
        <v>44682</v>
      </c>
      <c r="V1" s="90">
        <v>44713</v>
      </c>
      <c r="W1" s="90">
        <v>44743</v>
      </c>
      <c r="X1" s="172" t="s">
        <v>91</v>
      </c>
    </row>
    <row r="2" spans="1:24" ht="23.5" customHeight="1" x14ac:dyDescent="0.35">
      <c r="A2" s="174" t="s">
        <v>92</v>
      </c>
      <c r="B2" s="176" t="s">
        <v>93</v>
      </c>
      <c r="C2" s="176" t="s">
        <v>94</v>
      </c>
      <c r="D2" s="179" t="s">
        <v>95</v>
      </c>
      <c r="E2" s="92" t="s">
        <v>96</v>
      </c>
      <c r="F2" s="91" t="s">
        <v>96</v>
      </c>
      <c r="G2" s="91" t="s">
        <v>96</v>
      </c>
      <c r="H2" s="91" t="s">
        <v>96</v>
      </c>
      <c r="I2" s="91" t="s">
        <v>96</v>
      </c>
      <c r="J2" s="91" t="s">
        <v>96</v>
      </c>
      <c r="K2" s="91" t="s">
        <v>96</v>
      </c>
      <c r="L2" s="91" t="s">
        <v>96</v>
      </c>
      <c r="M2" s="91" t="s">
        <v>96</v>
      </c>
      <c r="N2" s="91" t="s">
        <v>96</v>
      </c>
      <c r="O2" s="91" t="s">
        <v>96</v>
      </c>
      <c r="P2" s="91" t="s">
        <v>96</v>
      </c>
      <c r="Q2" s="91" t="s">
        <v>96</v>
      </c>
      <c r="R2" s="91" t="s">
        <v>96</v>
      </c>
      <c r="S2" s="91" t="s">
        <v>96</v>
      </c>
      <c r="T2" s="91" t="s">
        <v>96</v>
      </c>
      <c r="U2" s="91" t="s">
        <v>96</v>
      </c>
      <c r="V2" s="91" t="s">
        <v>96</v>
      </c>
      <c r="W2" s="91" t="s">
        <v>96</v>
      </c>
      <c r="X2" s="173"/>
    </row>
    <row r="3" spans="1:24" ht="15" thickBot="1" x14ac:dyDescent="0.4">
      <c r="A3" s="175"/>
      <c r="B3" s="177"/>
      <c r="C3" s="178"/>
      <c r="D3" s="180"/>
      <c r="E3" s="95" t="s">
        <v>97</v>
      </c>
      <c r="F3" s="93" t="s">
        <v>97</v>
      </c>
      <c r="G3" s="93" t="s">
        <v>97</v>
      </c>
      <c r="H3" s="93" t="s">
        <v>97</v>
      </c>
      <c r="I3" s="93" t="s">
        <v>97</v>
      </c>
      <c r="J3" s="93" t="s">
        <v>97</v>
      </c>
      <c r="K3" s="93" t="s">
        <v>97</v>
      </c>
      <c r="L3" s="93" t="s">
        <v>97</v>
      </c>
      <c r="M3" s="93" t="s">
        <v>97</v>
      </c>
      <c r="N3" s="93" t="s">
        <v>97</v>
      </c>
      <c r="O3" s="93" t="s">
        <v>97</v>
      </c>
      <c r="P3" s="93" t="s">
        <v>97</v>
      </c>
      <c r="Q3" s="93" t="s">
        <v>97</v>
      </c>
      <c r="R3" s="93" t="s">
        <v>97</v>
      </c>
      <c r="S3" s="93" t="s">
        <v>97</v>
      </c>
      <c r="T3" s="93" t="s">
        <v>97</v>
      </c>
      <c r="U3" s="93" t="s">
        <v>97</v>
      </c>
      <c r="V3" s="93" t="s">
        <v>97</v>
      </c>
      <c r="W3" s="93" t="s">
        <v>97</v>
      </c>
      <c r="X3" s="173"/>
    </row>
    <row r="4" spans="1:24" ht="46.5" customHeight="1" thickBot="1" x14ac:dyDescent="0.4">
      <c r="A4" s="96">
        <v>1</v>
      </c>
      <c r="B4" s="97" t="s">
        <v>98</v>
      </c>
      <c r="C4" s="98">
        <v>2</v>
      </c>
      <c r="D4" s="99">
        <v>1.6</v>
      </c>
      <c r="E4" s="100">
        <v>122737</v>
      </c>
      <c r="F4" s="100">
        <v>82034</v>
      </c>
      <c r="G4" s="100">
        <v>176666</v>
      </c>
      <c r="H4" s="100">
        <v>177691</v>
      </c>
      <c r="I4" s="100">
        <v>236348</v>
      </c>
      <c r="J4" s="100">
        <v>282206</v>
      </c>
      <c r="K4" s="100">
        <v>300974</v>
      </c>
      <c r="L4" s="100">
        <v>260368</v>
      </c>
      <c r="M4" s="100">
        <v>81723</v>
      </c>
      <c r="N4" s="100">
        <v>107691</v>
      </c>
      <c r="O4" s="100">
        <v>88886</v>
      </c>
      <c r="P4" s="101">
        <v>111048</v>
      </c>
      <c r="Q4" s="100">
        <v>94369</v>
      </c>
      <c r="R4" s="100">
        <v>137645</v>
      </c>
      <c r="S4" s="100">
        <v>127477</v>
      </c>
      <c r="T4" s="100">
        <v>183759</v>
      </c>
      <c r="U4" s="100">
        <v>439788</v>
      </c>
      <c r="V4" s="100">
        <v>347375</v>
      </c>
      <c r="W4" s="100">
        <v>132884</v>
      </c>
      <c r="X4" s="102">
        <f t="shared" ref="X4:X24" si="0">SUM(E4:W4)</f>
        <v>3491669</v>
      </c>
    </row>
    <row r="5" spans="1:24" ht="79" customHeight="1" thickBot="1" x14ac:dyDescent="0.4">
      <c r="A5" s="171">
        <v>2</v>
      </c>
      <c r="B5" s="103" t="s">
        <v>99</v>
      </c>
      <c r="C5" s="98">
        <v>19</v>
      </c>
      <c r="D5" s="99">
        <v>15.2</v>
      </c>
      <c r="E5" s="100">
        <v>1593946</v>
      </c>
      <c r="F5" s="100">
        <v>884452</v>
      </c>
      <c r="G5" s="100">
        <v>1809406</v>
      </c>
      <c r="H5" s="100">
        <v>1884206</v>
      </c>
      <c r="I5" s="100">
        <v>2494657</v>
      </c>
      <c r="J5" s="100">
        <v>2891516</v>
      </c>
      <c r="K5" s="100">
        <v>3048438</v>
      </c>
      <c r="L5" s="100">
        <v>2690423</v>
      </c>
      <c r="M5" s="100">
        <v>919090</v>
      </c>
      <c r="N5" s="100">
        <v>1151480</v>
      </c>
      <c r="O5" s="100">
        <v>1107951</v>
      </c>
      <c r="P5" s="101">
        <v>1428986</v>
      </c>
      <c r="Q5" s="100">
        <v>1085839</v>
      </c>
      <c r="R5" s="100">
        <v>1526935</v>
      </c>
      <c r="S5" s="100">
        <v>1223497</v>
      </c>
      <c r="T5" s="100">
        <v>1683502</v>
      </c>
      <c r="U5" s="100">
        <v>4129046</v>
      </c>
      <c r="V5" s="100">
        <v>3354968</v>
      </c>
      <c r="W5" s="100">
        <v>1279252</v>
      </c>
      <c r="X5" s="102">
        <f t="shared" si="0"/>
        <v>36187590</v>
      </c>
    </row>
    <row r="6" spans="1:24" ht="89" customHeight="1" thickBot="1" x14ac:dyDescent="0.4">
      <c r="A6" s="171"/>
      <c r="B6" s="114" t="s">
        <v>100</v>
      </c>
      <c r="C6" s="98">
        <v>1</v>
      </c>
      <c r="D6" s="99">
        <v>0.8</v>
      </c>
      <c r="E6" s="100">
        <v>77320</v>
      </c>
      <c r="F6" s="100">
        <v>42033</v>
      </c>
      <c r="G6" s="100">
        <v>91718</v>
      </c>
      <c r="H6" s="100">
        <v>86283</v>
      </c>
      <c r="I6" s="100">
        <v>118067</v>
      </c>
      <c r="J6" s="100">
        <v>135284</v>
      </c>
      <c r="K6" s="100">
        <v>125940</v>
      </c>
      <c r="L6" s="100">
        <v>121882</v>
      </c>
      <c r="M6" s="100">
        <v>44349</v>
      </c>
      <c r="N6" s="100">
        <v>51005</v>
      </c>
      <c r="O6" s="100">
        <v>49027</v>
      </c>
      <c r="P6" s="101">
        <v>67391</v>
      </c>
      <c r="Q6" s="100">
        <v>51108</v>
      </c>
      <c r="R6" s="100">
        <v>74240</v>
      </c>
      <c r="S6" s="100">
        <v>61970</v>
      </c>
      <c r="T6" s="100">
        <v>81480</v>
      </c>
      <c r="U6" s="100">
        <v>194658</v>
      </c>
      <c r="V6" s="100">
        <v>149368</v>
      </c>
      <c r="W6" s="100">
        <v>51423</v>
      </c>
      <c r="X6" s="102">
        <f t="shared" si="0"/>
        <v>1674546</v>
      </c>
    </row>
    <row r="7" spans="1:24" ht="68.5" customHeight="1" thickBot="1" x14ac:dyDescent="0.4">
      <c r="A7" s="171"/>
      <c r="B7" s="103" t="s">
        <v>101</v>
      </c>
      <c r="C7" s="98">
        <v>5</v>
      </c>
      <c r="D7" s="99">
        <v>4</v>
      </c>
      <c r="E7" s="100">
        <v>336953</v>
      </c>
      <c r="F7" s="100">
        <v>187089</v>
      </c>
      <c r="G7" s="100">
        <v>403802</v>
      </c>
      <c r="H7" s="100">
        <v>412219</v>
      </c>
      <c r="I7" s="100">
        <v>575259</v>
      </c>
      <c r="J7" s="100">
        <v>674209</v>
      </c>
      <c r="K7" s="100">
        <v>684267</v>
      </c>
      <c r="L7" s="100">
        <v>595220</v>
      </c>
      <c r="M7" s="100">
        <v>207049</v>
      </c>
      <c r="N7" s="100">
        <v>243736</v>
      </c>
      <c r="O7" s="100">
        <v>232452</v>
      </c>
      <c r="P7" s="101">
        <v>303154</v>
      </c>
      <c r="Q7" s="100">
        <v>235100</v>
      </c>
      <c r="R7" s="100">
        <v>337041</v>
      </c>
      <c r="S7" s="100">
        <v>279053</v>
      </c>
      <c r="T7" s="100">
        <v>385574</v>
      </c>
      <c r="U7" s="100">
        <v>980907</v>
      </c>
      <c r="V7" s="100">
        <v>752586</v>
      </c>
      <c r="W7" s="100">
        <v>297214</v>
      </c>
      <c r="X7" s="102">
        <f t="shared" si="0"/>
        <v>8122884</v>
      </c>
    </row>
    <row r="8" spans="1:24" ht="23.5" customHeight="1" thickBot="1" x14ac:dyDescent="0.4">
      <c r="A8" s="96">
        <v>3</v>
      </c>
      <c r="B8" s="97" t="s">
        <v>102</v>
      </c>
      <c r="C8" s="98">
        <v>10</v>
      </c>
      <c r="D8" s="99">
        <v>8</v>
      </c>
      <c r="E8" s="100">
        <v>857972</v>
      </c>
      <c r="F8" s="100">
        <v>496258</v>
      </c>
      <c r="G8" s="100">
        <v>1032207</v>
      </c>
      <c r="H8" s="100">
        <v>1087284</v>
      </c>
      <c r="I8" s="100">
        <v>1409536</v>
      </c>
      <c r="J8" s="100">
        <v>1563565</v>
      </c>
      <c r="K8" s="100">
        <v>1701460</v>
      </c>
      <c r="L8" s="100">
        <v>1479737</v>
      </c>
      <c r="M8" s="100">
        <v>508087</v>
      </c>
      <c r="N8" s="100">
        <v>632367</v>
      </c>
      <c r="O8" s="100">
        <v>593333</v>
      </c>
      <c r="P8" s="101">
        <v>779744</v>
      </c>
      <c r="Q8" s="100">
        <v>604994</v>
      </c>
      <c r="R8" s="100">
        <v>825740</v>
      </c>
      <c r="S8" s="100">
        <v>697461</v>
      </c>
      <c r="T8" s="100">
        <v>964653</v>
      </c>
      <c r="U8" s="100">
        <v>2217306</v>
      </c>
      <c r="V8" s="100">
        <v>1823702</v>
      </c>
      <c r="W8" s="100">
        <v>713927</v>
      </c>
      <c r="X8" s="102">
        <f t="shared" si="0"/>
        <v>19989333</v>
      </c>
    </row>
    <row r="9" spans="1:24" ht="35" customHeight="1" thickBot="1" x14ac:dyDescent="0.4">
      <c r="A9" s="96">
        <v>4</v>
      </c>
      <c r="B9" s="97" t="s">
        <v>103</v>
      </c>
      <c r="C9" s="98">
        <v>5</v>
      </c>
      <c r="D9" s="99">
        <v>4</v>
      </c>
      <c r="E9" s="100">
        <v>442641</v>
      </c>
      <c r="F9" s="100">
        <v>231348</v>
      </c>
      <c r="G9" s="100">
        <v>496842</v>
      </c>
      <c r="H9" s="100">
        <v>517075</v>
      </c>
      <c r="I9" s="100">
        <v>704379</v>
      </c>
      <c r="J9" s="100">
        <v>806698</v>
      </c>
      <c r="K9" s="100">
        <v>903083</v>
      </c>
      <c r="L9" s="100">
        <v>777877</v>
      </c>
      <c r="M9" s="100">
        <v>246188</v>
      </c>
      <c r="N9" s="100">
        <v>311630</v>
      </c>
      <c r="O9" s="100">
        <v>291192</v>
      </c>
      <c r="P9" s="101">
        <v>386122</v>
      </c>
      <c r="Q9" s="100">
        <v>301223</v>
      </c>
      <c r="R9" s="100">
        <v>391844</v>
      </c>
      <c r="S9" s="100">
        <v>334979</v>
      </c>
      <c r="T9" s="100">
        <v>467243</v>
      </c>
      <c r="U9" s="100">
        <v>1094022</v>
      </c>
      <c r="V9" s="100">
        <v>979105</v>
      </c>
      <c r="W9" s="100">
        <v>349654</v>
      </c>
      <c r="X9" s="102">
        <f t="shared" si="0"/>
        <v>10033145</v>
      </c>
    </row>
    <row r="10" spans="1:24" ht="23.5" customHeight="1" thickBot="1" x14ac:dyDescent="0.4">
      <c r="A10" s="96">
        <v>5</v>
      </c>
      <c r="B10" s="97" t="s">
        <v>104</v>
      </c>
      <c r="C10" s="98">
        <v>2</v>
      </c>
      <c r="D10" s="99">
        <v>1.6</v>
      </c>
      <c r="E10" s="100">
        <v>178384</v>
      </c>
      <c r="F10" s="100">
        <v>80750</v>
      </c>
      <c r="G10" s="100">
        <v>187370</v>
      </c>
      <c r="H10" s="100">
        <v>193272</v>
      </c>
      <c r="I10" s="100">
        <v>273513</v>
      </c>
      <c r="J10" s="100">
        <v>330024</v>
      </c>
      <c r="K10" s="100">
        <v>360573</v>
      </c>
      <c r="L10" s="100">
        <v>306013</v>
      </c>
      <c r="M10" s="100">
        <v>88903</v>
      </c>
      <c r="N10" s="100">
        <v>117900</v>
      </c>
      <c r="O10" s="100">
        <v>102694</v>
      </c>
      <c r="P10" s="101">
        <v>143958</v>
      </c>
      <c r="Q10" s="100">
        <v>103910</v>
      </c>
      <c r="R10" s="100">
        <v>150228</v>
      </c>
      <c r="S10" s="100">
        <v>117163</v>
      </c>
      <c r="T10" s="100">
        <v>173072</v>
      </c>
      <c r="U10" s="100">
        <v>440873</v>
      </c>
      <c r="V10" s="100">
        <v>394137</v>
      </c>
      <c r="W10" s="100">
        <v>122027</v>
      </c>
      <c r="X10" s="102">
        <f t="shared" si="0"/>
        <v>3864764</v>
      </c>
    </row>
    <row r="11" spans="1:24" ht="58" customHeight="1" thickBot="1" x14ac:dyDescent="0.4">
      <c r="A11" s="96">
        <v>6</v>
      </c>
      <c r="B11" s="103" t="s">
        <v>105</v>
      </c>
      <c r="C11" s="98">
        <v>11</v>
      </c>
      <c r="D11" s="99">
        <v>8.8000000000000007</v>
      </c>
      <c r="E11" s="100">
        <v>973073</v>
      </c>
      <c r="F11" s="100">
        <v>540274</v>
      </c>
      <c r="G11" s="100">
        <v>1109299</v>
      </c>
      <c r="H11" s="100">
        <v>1165528</v>
      </c>
      <c r="I11" s="100">
        <v>1446593</v>
      </c>
      <c r="J11" s="100">
        <v>1634152</v>
      </c>
      <c r="K11" s="100">
        <v>1774883</v>
      </c>
      <c r="L11" s="100">
        <v>1555871</v>
      </c>
      <c r="M11" s="100">
        <v>522759</v>
      </c>
      <c r="N11" s="100">
        <v>694351</v>
      </c>
      <c r="O11" s="100">
        <v>678422</v>
      </c>
      <c r="P11" s="101">
        <v>886185</v>
      </c>
      <c r="Q11" s="100">
        <v>687898</v>
      </c>
      <c r="R11" s="100">
        <v>885576</v>
      </c>
      <c r="S11" s="100">
        <v>759366</v>
      </c>
      <c r="T11" s="100">
        <v>1010223</v>
      </c>
      <c r="U11" s="100">
        <v>2420444</v>
      </c>
      <c r="V11" s="100">
        <v>1949127</v>
      </c>
      <c r="W11" s="100">
        <v>783155</v>
      </c>
      <c r="X11" s="102">
        <f t="shared" si="0"/>
        <v>21477179</v>
      </c>
    </row>
    <row r="12" spans="1:24" ht="58" customHeight="1" thickBot="1" x14ac:dyDescent="0.4">
      <c r="A12" s="96">
        <v>7</v>
      </c>
      <c r="B12" s="103" t="s">
        <v>106</v>
      </c>
      <c r="C12" s="98">
        <v>2</v>
      </c>
      <c r="D12" s="99">
        <v>1.6</v>
      </c>
      <c r="E12" s="100">
        <v>196293</v>
      </c>
      <c r="F12" s="100">
        <v>104160</v>
      </c>
      <c r="G12" s="100">
        <v>194504</v>
      </c>
      <c r="H12" s="100">
        <v>221099</v>
      </c>
      <c r="I12" s="100">
        <v>253243</v>
      </c>
      <c r="J12" s="100">
        <v>296951</v>
      </c>
      <c r="K12" s="100">
        <v>292172</v>
      </c>
      <c r="L12" s="100">
        <v>263669</v>
      </c>
      <c r="M12" s="100">
        <v>109757</v>
      </c>
      <c r="N12" s="100">
        <v>129390</v>
      </c>
      <c r="O12" s="100">
        <v>147408</v>
      </c>
      <c r="P12" s="101">
        <v>181089</v>
      </c>
      <c r="Q12" s="100">
        <v>136760</v>
      </c>
      <c r="R12" s="100">
        <v>169833</v>
      </c>
      <c r="S12" s="100">
        <v>142322</v>
      </c>
      <c r="T12" s="100">
        <v>177482</v>
      </c>
      <c r="U12" s="100">
        <v>422062</v>
      </c>
      <c r="V12" s="100">
        <v>342983</v>
      </c>
      <c r="W12" s="100">
        <v>137032</v>
      </c>
      <c r="X12" s="102">
        <f t="shared" si="0"/>
        <v>3918209</v>
      </c>
    </row>
    <row r="13" spans="1:24" ht="35" customHeight="1" thickBot="1" x14ac:dyDescent="0.4">
      <c r="A13" s="96">
        <v>8</v>
      </c>
      <c r="B13" s="103" t="s">
        <v>107</v>
      </c>
      <c r="C13" s="98">
        <v>1</v>
      </c>
      <c r="D13" s="99">
        <v>0.8</v>
      </c>
      <c r="E13" s="100">
        <v>65125</v>
      </c>
      <c r="F13" s="100">
        <v>31334</v>
      </c>
      <c r="G13" s="100">
        <v>71490</v>
      </c>
      <c r="H13" s="100">
        <v>77055</v>
      </c>
      <c r="I13" s="100">
        <v>111813</v>
      </c>
      <c r="J13" s="100">
        <v>141587</v>
      </c>
      <c r="K13" s="100">
        <v>154991</v>
      </c>
      <c r="L13" s="100">
        <v>124961</v>
      </c>
      <c r="M13" s="100">
        <v>41005</v>
      </c>
      <c r="N13" s="100">
        <v>46100</v>
      </c>
      <c r="O13" s="100">
        <v>43400</v>
      </c>
      <c r="P13" s="101">
        <v>60126</v>
      </c>
      <c r="Q13" s="100">
        <v>42527</v>
      </c>
      <c r="R13" s="100">
        <v>59427</v>
      </c>
      <c r="S13" s="100">
        <v>47937</v>
      </c>
      <c r="T13" s="100">
        <v>67442</v>
      </c>
      <c r="U13" s="100">
        <v>190781</v>
      </c>
      <c r="V13" s="100">
        <v>163299</v>
      </c>
      <c r="W13" s="100">
        <v>56048</v>
      </c>
      <c r="X13" s="102">
        <f t="shared" si="0"/>
        <v>1596448</v>
      </c>
    </row>
    <row r="14" spans="1:24" ht="58" customHeight="1" thickBot="1" x14ac:dyDescent="0.4">
      <c r="A14" s="96">
        <v>9</v>
      </c>
      <c r="B14" s="103" t="s">
        <v>108</v>
      </c>
      <c r="C14" s="98">
        <v>2</v>
      </c>
      <c r="D14" s="99">
        <v>1.6</v>
      </c>
      <c r="E14" s="100">
        <v>218827</v>
      </c>
      <c r="F14" s="100">
        <v>132836</v>
      </c>
      <c r="G14" s="100">
        <v>243368</v>
      </c>
      <c r="H14" s="100">
        <v>266356</v>
      </c>
      <c r="I14" s="100">
        <v>304397</v>
      </c>
      <c r="J14" s="100">
        <v>336070</v>
      </c>
      <c r="K14" s="100">
        <v>369134</v>
      </c>
      <c r="L14" s="100">
        <v>322467</v>
      </c>
      <c r="M14" s="100">
        <v>116575</v>
      </c>
      <c r="N14" s="100">
        <v>151262</v>
      </c>
      <c r="O14" s="100">
        <v>159142</v>
      </c>
      <c r="P14" s="101">
        <v>205125</v>
      </c>
      <c r="Q14" s="100">
        <v>153752</v>
      </c>
      <c r="R14" s="100">
        <v>199505</v>
      </c>
      <c r="S14" s="100">
        <v>170350</v>
      </c>
      <c r="T14" s="100">
        <v>225063</v>
      </c>
      <c r="U14" s="100">
        <v>494032</v>
      </c>
      <c r="V14" s="100">
        <v>401526</v>
      </c>
      <c r="W14" s="100">
        <v>168559</v>
      </c>
      <c r="X14" s="102">
        <f t="shared" si="0"/>
        <v>4638346</v>
      </c>
    </row>
    <row r="15" spans="1:24" ht="58" customHeight="1" thickBot="1" x14ac:dyDescent="0.4">
      <c r="A15" s="96">
        <v>10</v>
      </c>
      <c r="B15" s="97" t="s">
        <v>109</v>
      </c>
      <c r="C15" s="98">
        <v>2</v>
      </c>
      <c r="D15" s="99">
        <v>1.6</v>
      </c>
      <c r="E15" s="100">
        <v>159860</v>
      </c>
      <c r="F15" s="100">
        <v>94245</v>
      </c>
      <c r="G15" s="100">
        <v>198341</v>
      </c>
      <c r="H15" s="100">
        <v>209514</v>
      </c>
      <c r="I15" s="100">
        <v>257776</v>
      </c>
      <c r="J15" s="100">
        <v>308456</v>
      </c>
      <c r="K15" s="100">
        <v>327878</v>
      </c>
      <c r="L15" s="100">
        <v>299375</v>
      </c>
      <c r="M15" s="100">
        <v>99101</v>
      </c>
      <c r="N15" s="100">
        <v>119741</v>
      </c>
      <c r="O15" s="100">
        <v>114068</v>
      </c>
      <c r="P15" s="101">
        <v>144120</v>
      </c>
      <c r="Q15" s="100">
        <v>118124</v>
      </c>
      <c r="R15" s="100">
        <v>155588</v>
      </c>
      <c r="S15" s="100">
        <v>137170</v>
      </c>
      <c r="T15" s="100">
        <v>192179</v>
      </c>
      <c r="U15" s="100">
        <v>451000</v>
      </c>
      <c r="V15" s="100">
        <v>383426</v>
      </c>
      <c r="W15" s="100">
        <v>160184</v>
      </c>
      <c r="X15" s="102">
        <f t="shared" si="0"/>
        <v>3930146</v>
      </c>
    </row>
    <row r="16" spans="1:24" ht="69.5" customHeight="1" thickBot="1" x14ac:dyDescent="0.4">
      <c r="A16" s="96">
        <v>11</v>
      </c>
      <c r="B16" s="114" t="s">
        <v>110</v>
      </c>
      <c r="C16" s="98">
        <v>1</v>
      </c>
      <c r="D16" s="99">
        <v>0.8</v>
      </c>
      <c r="E16" s="100">
        <v>92613</v>
      </c>
      <c r="F16" s="100">
        <v>49980</v>
      </c>
      <c r="G16" s="100">
        <v>109431</v>
      </c>
      <c r="H16" s="100">
        <v>108657</v>
      </c>
      <c r="I16" s="100">
        <v>142667</v>
      </c>
      <c r="J16" s="100">
        <v>171336</v>
      </c>
      <c r="K16" s="100">
        <v>182290</v>
      </c>
      <c r="L16" s="100">
        <v>147476</v>
      </c>
      <c r="M16" s="100">
        <v>48314</v>
      </c>
      <c r="N16" s="100">
        <v>62231</v>
      </c>
      <c r="O16" s="100">
        <v>57625</v>
      </c>
      <c r="P16" s="101">
        <v>77810</v>
      </c>
      <c r="Q16" s="100">
        <v>54418</v>
      </c>
      <c r="R16" s="100">
        <v>84503</v>
      </c>
      <c r="S16" s="100">
        <v>72798</v>
      </c>
      <c r="T16" s="100">
        <v>97808</v>
      </c>
      <c r="U16" s="100">
        <v>228811</v>
      </c>
      <c r="V16" s="100">
        <v>199718</v>
      </c>
      <c r="W16" s="100">
        <v>67436</v>
      </c>
      <c r="X16" s="102">
        <f t="shared" si="0"/>
        <v>2055922</v>
      </c>
    </row>
    <row r="17" spans="1:24" ht="69.5" customHeight="1" thickBot="1" x14ac:dyDescent="0.4">
      <c r="A17" s="96">
        <v>12</v>
      </c>
      <c r="B17" s="103" t="s">
        <v>111</v>
      </c>
      <c r="C17" s="98">
        <v>1</v>
      </c>
      <c r="D17" s="99">
        <v>0.8</v>
      </c>
      <c r="E17" s="100">
        <v>86091</v>
      </c>
      <c r="F17" s="100">
        <v>57335</v>
      </c>
      <c r="G17" s="100">
        <v>114426</v>
      </c>
      <c r="H17" s="100">
        <v>107425</v>
      </c>
      <c r="I17" s="100">
        <v>150832</v>
      </c>
      <c r="J17" s="100">
        <v>165847</v>
      </c>
      <c r="K17" s="100">
        <v>165284</v>
      </c>
      <c r="L17" s="100">
        <v>148958</v>
      </c>
      <c r="M17" s="100">
        <v>56009</v>
      </c>
      <c r="N17" s="100">
        <v>68867</v>
      </c>
      <c r="O17" s="100">
        <v>63465</v>
      </c>
      <c r="P17" s="101">
        <v>85955</v>
      </c>
      <c r="Q17" s="100">
        <v>64698</v>
      </c>
      <c r="R17" s="100">
        <v>87709</v>
      </c>
      <c r="S17" s="100">
        <v>87650</v>
      </c>
      <c r="T17" s="100">
        <v>118949</v>
      </c>
      <c r="U17" s="100">
        <v>247115</v>
      </c>
      <c r="V17" s="100">
        <v>180126</v>
      </c>
      <c r="W17" s="100">
        <v>60770</v>
      </c>
      <c r="X17" s="102">
        <f t="shared" si="0"/>
        <v>2117511</v>
      </c>
    </row>
    <row r="18" spans="1:24" ht="46.5" customHeight="1" thickBot="1" x14ac:dyDescent="0.4">
      <c r="A18" s="96">
        <v>13</v>
      </c>
      <c r="B18" s="103" t="s">
        <v>112</v>
      </c>
      <c r="C18" s="98">
        <v>1</v>
      </c>
      <c r="D18" s="99">
        <v>0.8</v>
      </c>
      <c r="E18" s="100">
        <v>89719</v>
      </c>
      <c r="F18" s="100">
        <v>51958</v>
      </c>
      <c r="G18" s="100">
        <v>97326</v>
      </c>
      <c r="H18" s="100">
        <v>104994</v>
      </c>
      <c r="I18" s="100">
        <v>125870</v>
      </c>
      <c r="J18" s="100">
        <v>115185</v>
      </c>
      <c r="K18" s="100">
        <v>139249</v>
      </c>
      <c r="L18" s="100">
        <v>129448</v>
      </c>
      <c r="M18" s="100">
        <v>57275</v>
      </c>
      <c r="N18" s="100">
        <v>60650</v>
      </c>
      <c r="O18" s="100">
        <v>64102</v>
      </c>
      <c r="P18" s="101">
        <v>86053</v>
      </c>
      <c r="Q18" s="100">
        <v>64111</v>
      </c>
      <c r="R18" s="100">
        <v>82047</v>
      </c>
      <c r="S18" s="100">
        <v>76710</v>
      </c>
      <c r="T18" s="100">
        <v>99722</v>
      </c>
      <c r="U18" s="100">
        <v>188285</v>
      </c>
      <c r="V18" s="100">
        <v>159971</v>
      </c>
      <c r="W18" s="100">
        <v>67112</v>
      </c>
      <c r="X18" s="102">
        <f t="shared" si="0"/>
        <v>1859787</v>
      </c>
    </row>
    <row r="19" spans="1:24" ht="46.5" customHeight="1" thickBot="1" x14ac:dyDescent="0.4">
      <c r="A19" s="96">
        <v>14</v>
      </c>
      <c r="B19" s="103" t="s">
        <v>113</v>
      </c>
      <c r="C19" s="98">
        <v>1</v>
      </c>
      <c r="D19" s="99">
        <v>0.8</v>
      </c>
      <c r="E19" s="100">
        <v>80833</v>
      </c>
      <c r="F19" s="100">
        <v>46408</v>
      </c>
      <c r="G19" s="100">
        <v>94731</v>
      </c>
      <c r="H19" s="100">
        <v>88875</v>
      </c>
      <c r="I19" s="100">
        <v>108790</v>
      </c>
      <c r="J19" s="100">
        <v>133448</v>
      </c>
      <c r="K19" s="100">
        <v>138615</v>
      </c>
      <c r="L19" s="100">
        <v>121593</v>
      </c>
      <c r="M19" s="100">
        <v>50228</v>
      </c>
      <c r="N19" s="100">
        <v>55043</v>
      </c>
      <c r="O19" s="100">
        <v>57254</v>
      </c>
      <c r="P19" s="101">
        <v>75062</v>
      </c>
      <c r="Q19" s="100">
        <v>55985</v>
      </c>
      <c r="R19" s="100">
        <v>78581</v>
      </c>
      <c r="S19" s="100">
        <v>70128</v>
      </c>
      <c r="T19" s="100">
        <v>91259</v>
      </c>
      <c r="U19" s="100">
        <v>203705</v>
      </c>
      <c r="V19" s="100">
        <v>152193</v>
      </c>
      <c r="W19" s="100">
        <v>67301</v>
      </c>
      <c r="X19" s="102">
        <f t="shared" si="0"/>
        <v>1770032</v>
      </c>
    </row>
    <row r="20" spans="1:24" ht="46.5" customHeight="1" thickBot="1" x14ac:dyDescent="0.4">
      <c r="A20" s="96">
        <v>15</v>
      </c>
      <c r="B20" s="103" t="s">
        <v>114</v>
      </c>
      <c r="C20" s="98">
        <v>7</v>
      </c>
      <c r="D20" s="99">
        <v>5.6</v>
      </c>
      <c r="E20" s="100">
        <v>540513</v>
      </c>
      <c r="F20" s="100">
        <v>325325</v>
      </c>
      <c r="G20" s="100">
        <v>695382</v>
      </c>
      <c r="H20" s="100">
        <v>669528</v>
      </c>
      <c r="I20" s="100">
        <v>923165</v>
      </c>
      <c r="J20" s="100">
        <v>1046587</v>
      </c>
      <c r="K20" s="100">
        <v>1079917</v>
      </c>
      <c r="L20" s="100">
        <v>958522</v>
      </c>
      <c r="M20" s="100">
        <v>331274</v>
      </c>
      <c r="N20" s="100">
        <v>406506</v>
      </c>
      <c r="O20" s="100">
        <v>367118</v>
      </c>
      <c r="P20" s="101">
        <v>498520</v>
      </c>
      <c r="Q20" s="100">
        <v>386900</v>
      </c>
      <c r="R20" s="100">
        <v>543708</v>
      </c>
      <c r="S20" s="100">
        <v>501005</v>
      </c>
      <c r="T20" s="100">
        <v>694915</v>
      </c>
      <c r="U20" s="100">
        <v>1526711</v>
      </c>
      <c r="V20" s="100">
        <v>1234731</v>
      </c>
      <c r="W20" s="100">
        <v>449379</v>
      </c>
      <c r="X20" s="102">
        <f t="shared" si="0"/>
        <v>13179706</v>
      </c>
    </row>
    <row r="21" spans="1:24" ht="46.5" customHeight="1" thickBot="1" x14ac:dyDescent="0.4">
      <c r="A21" s="96">
        <v>16</v>
      </c>
      <c r="B21" s="103" t="s">
        <v>114</v>
      </c>
      <c r="C21" s="98">
        <v>5</v>
      </c>
      <c r="D21" s="99">
        <f>C21*0.8</f>
        <v>4</v>
      </c>
      <c r="E21" s="100">
        <v>368406</v>
      </c>
      <c r="F21" s="100">
        <v>207073</v>
      </c>
      <c r="G21" s="100">
        <v>435233</v>
      </c>
      <c r="H21" s="100">
        <v>467600</v>
      </c>
      <c r="I21" s="100">
        <v>602770</v>
      </c>
      <c r="J21" s="100">
        <v>737544</v>
      </c>
      <c r="K21" s="100">
        <v>789183</v>
      </c>
      <c r="L21" s="100">
        <v>673456</v>
      </c>
      <c r="M21" s="100">
        <v>236158</v>
      </c>
      <c r="N21" s="100">
        <v>276512</v>
      </c>
      <c r="O21" s="100">
        <v>247873</v>
      </c>
      <c r="P21" s="101">
        <v>330970</v>
      </c>
      <c r="Q21" s="100">
        <v>244210</v>
      </c>
      <c r="R21" s="100">
        <v>365259</v>
      </c>
      <c r="S21" s="100">
        <v>292811</v>
      </c>
      <c r="T21" s="100">
        <v>423272</v>
      </c>
      <c r="U21" s="100">
        <v>1052165</v>
      </c>
      <c r="V21" s="100">
        <v>861679</v>
      </c>
      <c r="W21" s="100">
        <v>339050</v>
      </c>
      <c r="X21" s="102">
        <f t="shared" si="0"/>
        <v>8951224</v>
      </c>
    </row>
    <row r="22" spans="1:24" ht="35" customHeight="1" thickBot="1" x14ac:dyDescent="0.4">
      <c r="A22" s="96">
        <v>17</v>
      </c>
      <c r="B22" s="103" t="s">
        <v>115</v>
      </c>
      <c r="C22" s="98">
        <v>16</v>
      </c>
      <c r="D22" s="99">
        <v>12.8</v>
      </c>
      <c r="E22" s="100">
        <v>1345691</v>
      </c>
      <c r="F22" s="100">
        <v>851013</v>
      </c>
      <c r="G22" s="100">
        <v>1619399</v>
      </c>
      <c r="H22" s="100">
        <v>1824783</v>
      </c>
      <c r="I22" s="100">
        <v>2155079</v>
      </c>
      <c r="J22" s="100">
        <v>2404405</v>
      </c>
      <c r="K22" s="100">
        <v>2372729</v>
      </c>
      <c r="L22" s="100">
        <v>2147162</v>
      </c>
      <c r="M22" s="100">
        <v>812304</v>
      </c>
      <c r="N22" s="100">
        <v>1093447</v>
      </c>
      <c r="O22" s="100">
        <v>1126303</v>
      </c>
      <c r="P22" s="101">
        <v>1366033</v>
      </c>
      <c r="Q22" s="100">
        <v>1053686</v>
      </c>
      <c r="R22" s="100">
        <v>1416704</v>
      </c>
      <c r="S22" s="100">
        <v>1190759</v>
      </c>
      <c r="T22" s="100">
        <v>1600389</v>
      </c>
      <c r="U22" s="100">
        <v>3375689</v>
      </c>
      <c r="V22" s="100">
        <v>2633024</v>
      </c>
      <c r="W22" s="100">
        <v>1122941</v>
      </c>
      <c r="X22" s="102">
        <f t="shared" si="0"/>
        <v>31511540</v>
      </c>
    </row>
    <row r="23" spans="1:24" ht="35" customHeight="1" thickBot="1" x14ac:dyDescent="0.4">
      <c r="A23" s="96">
        <v>18</v>
      </c>
      <c r="B23" s="103" t="s">
        <v>115</v>
      </c>
      <c r="C23" s="98">
        <v>4</v>
      </c>
      <c r="D23" s="99">
        <v>3.2</v>
      </c>
      <c r="E23" s="100">
        <v>291261</v>
      </c>
      <c r="F23" s="100">
        <v>146573</v>
      </c>
      <c r="G23" s="100">
        <v>341938</v>
      </c>
      <c r="H23" s="100">
        <v>352950</v>
      </c>
      <c r="I23" s="100">
        <v>476569</v>
      </c>
      <c r="J23" s="100">
        <v>523226</v>
      </c>
      <c r="K23" s="100">
        <v>601963</v>
      </c>
      <c r="L23" s="100">
        <v>518764</v>
      </c>
      <c r="M23" s="100">
        <v>178279</v>
      </c>
      <c r="N23" s="100">
        <v>206369</v>
      </c>
      <c r="O23" s="100">
        <v>188354</v>
      </c>
      <c r="P23" s="101">
        <v>266552</v>
      </c>
      <c r="Q23" s="100">
        <v>188334</v>
      </c>
      <c r="R23" s="100">
        <v>273419</v>
      </c>
      <c r="S23" s="100">
        <v>211388</v>
      </c>
      <c r="T23" s="100">
        <v>297913</v>
      </c>
      <c r="U23" s="100">
        <v>783289</v>
      </c>
      <c r="V23" s="100">
        <v>652259</v>
      </c>
      <c r="W23" s="100">
        <v>236477</v>
      </c>
      <c r="X23" s="102">
        <f t="shared" si="0"/>
        <v>6735877</v>
      </c>
    </row>
    <row r="24" spans="1:24" ht="80.5" customHeight="1" x14ac:dyDescent="0.35">
      <c r="A24" s="96">
        <v>19</v>
      </c>
      <c r="B24" s="97" t="s">
        <v>116</v>
      </c>
      <c r="C24" s="98">
        <v>25</v>
      </c>
      <c r="D24" s="94">
        <f>+C24*0.8</f>
        <v>20</v>
      </c>
      <c r="E24" s="104">
        <v>2280879</v>
      </c>
      <c r="F24" s="104">
        <v>1350495</v>
      </c>
      <c r="G24" s="104">
        <v>2607035</v>
      </c>
      <c r="H24" s="104">
        <v>2769686</v>
      </c>
      <c r="I24" s="104">
        <v>3437477</v>
      </c>
      <c r="J24" s="104">
        <v>3945384</v>
      </c>
      <c r="K24" s="104">
        <v>3979907</v>
      </c>
      <c r="L24" s="104">
        <v>3655617</v>
      </c>
      <c r="M24" s="104">
        <v>1303529</v>
      </c>
      <c r="N24" s="104">
        <v>1713630</v>
      </c>
      <c r="O24" s="104">
        <v>1581344</v>
      </c>
      <c r="P24" s="105">
        <v>2086204</v>
      </c>
      <c r="Q24" s="104">
        <v>1602583</v>
      </c>
      <c r="R24" s="104">
        <v>2158716</v>
      </c>
      <c r="S24" s="104">
        <v>1911499</v>
      </c>
      <c r="T24" s="104">
        <v>2636111</v>
      </c>
      <c r="U24" s="104">
        <v>5719594</v>
      </c>
      <c r="V24" s="104">
        <v>4610852</v>
      </c>
      <c r="W24" s="104">
        <v>1901860</v>
      </c>
      <c r="X24" s="102">
        <f t="shared" si="0"/>
        <v>51252402</v>
      </c>
    </row>
    <row r="25" spans="1:24" ht="15" thickBot="1" x14ac:dyDescent="0.4">
      <c r="A25" s="106"/>
      <c r="B25" s="107"/>
      <c r="C25" s="108">
        <f t="shared" ref="C25:D25" si="1">SUM(C4:C24)</f>
        <v>123</v>
      </c>
      <c r="D25" s="109">
        <f t="shared" si="1"/>
        <v>98.399999999999991</v>
      </c>
      <c r="E25" s="110">
        <f t="shared" ref="E25:O25" si="2">SUM(E4:E24)</f>
        <v>10399137</v>
      </c>
      <c r="F25" s="110">
        <f t="shared" si="2"/>
        <v>5992973</v>
      </c>
      <c r="G25" s="110">
        <f t="shared" si="2"/>
        <v>12129914</v>
      </c>
      <c r="H25" s="110">
        <f t="shared" si="2"/>
        <v>12792080</v>
      </c>
      <c r="I25" s="110">
        <f t="shared" si="2"/>
        <v>16308800</v>
      </c>
      <c r="J25" s="110">
        <f t="shared" si="2"/>
        <v>18643680</v>
      </c>
      <c r="K25" s="110">
        <f t="shared" si="2"/>
        <v>19492930</v>
      </c>
      <c r="L25" s="110">
        <f t="shared" si="2"/>
        <v>17298859</v>
      </c>
      <c r="M25" s="110">
        <f t="shared" si="2"/>
        <v>6057956</v>
      </c>
      <c r="N25" s="110">
        <f t="shared" si="2"/>
        <v>7699908</v>
      </c>
      <c r="O25" s="110">
        <f t="shared" si="2"/>
        <v>7361413</v>
      </c>
      <c r="P25" s="111">
        <f t="shared" ref="P25:W25" si="3">SUM(P4:P24)</f>
        <v>9570207</v>
      </c>
      <c r="Q25" s="112">
        <f t="shared" si="3"/>
        <v>7330529</v>
      </c>
      <c r="R25" s="112">
        <f t="shared" si="3"/>
        <v>10004248</v>
      </c>
      <c r="S25" s="112">
        <f t="shared" si="3"/>
        <v>8513493</v>
      </c>
      <c r="T25" s="112">
        <f t="shared" si="3"/>
        <v>11672010</v>
      </c>
      <c r="U25" s="112">
        <f t="shared" si="3"/>
        <v>26800283</v>
      </c>
      <c r="V25" s="112">
        <f t="shared" si="3"/>
        <v>21726155</v>
      </c>
      <c r="W25" s="112">
        <f t="shared" si="3"/>
        <v>8563685</v>
      </c>
      <c r="X25" s="113">
        <f t="shared" ref="X25" si="4">SUM(X4:X24)</f>
        <v>238358260</v>
      </c>
    </row>
  </sheetData>
  <mergeCells count="6">
    <mergeCell ref="A5:A7"/>
    <mergeCell ref="X1:X3"/>
    <mergeCell ref="A2:A3"/>
    <mergeCell ref="B2:B3"/>
    <mergeCell ref="C2:C3"/>
    <mergeCell ref="D2:D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96B59-C8EE-445C-B612-11664B5ED183}">
  <dimension ref="A1:L18"/>
  <sheetViews>
    <sheetView workbookViewId="0">
      <selection activeCell="D6" sqref="D6"/>
    </sheetView>
  </sheetViews>
  <sheetFormatPr defaultRowHeight="14.5" x14ac:dyDescent="0.35"/>
  <cols>
    <col min="1" max="1" width="18" customWidth="1"/>
    <col min="2" max="2" width="44.54296875" customWidth="1"/>
    <col min="3" max="3" width="46.6328125" customWidth="1"/>
    <col min="4" max="4" width="34.81640625" customWidth="1"/>
    <col min="5" max="5" width="33.26953125" customWidth="1"/>
    <col min="6" max="6" width="31.08984375" customWidth="1"/>
    <col min="7" max="7" width="30.36328125" customWidth="1"/>
    <col min="8" max="8" width="31.7265625" customWidth="1"/>
    <col min="9" max="9" width="23.6328125" customWidth="1"/>
    <col min="10" max="10" width="29.08984375" customWidth="1"/>
    <col min="11" max="11" width="18.36328125" customWidth="1"/>
    <col min="12" max="12" width="24.7265625" customWidth="1"/>
  </cols>
  <sheetData>
    <row r="1" spans="1:12" x14ac:dyDescent="0.35">
      <c r="A1" s="181" t="s">
        <v>124</v>
      </c>
      <c r="B1" s="181"/>
      <c r="C1" s="181"/>
      <c r="D1" s="181"/>
      <c r="E1" s="181"/>
      <c r="F1" s="181"/>
      <c r="G1" s="181"/>
      <c r="H1" s="181"/>
      <c r="I1" s="181"/>
      <c r="J1" s="181"/>
      <c r="K1" s="181"/>
      <c r="L1" s="181"/>
    </row>
    <row r="2" spans="1:12" ht="52" x14ac:dyDescent="0.35">
      <c r="A2" s="182" t="s">
        <v>9</v>
      </c>
      <c r="B2" s="119" t="s">
        <v>125</v>
      </c>
      <c r="C2" s="119" t="s">
        <v>126</v>
      </c>
      <c r="D2" s="119" t="s">
        <v>127</v>
      </c>
      <c r="E2" s="119" t="s">
        <v>128</v>
      </c>
      <c r="F2" s="119" t="s">
        <v>129</v>
      </c>
      <c r="G2" s="119" t="s">
        <v>130</v>
      </c>
      <c r="H2" s="119" t="s">
        <v>131</v>
      </c>
      <c r="I2" s="119" t="s">
        <v>132</v>
      </c>
      <c r="J2" s="119" t="s">
        <v>133</v>
      </c>
      <c r="K2" s="119" t="s">
        <v>134</v>
      </c>
      <c r="L2" s="119" t="s">
        <v>135</v>
      </c>
    </row>
    <row r="3" spans="1:12" x14ac:dyDescent="0.35">
      <c r="A3" s="182"/>
      <c r="B3" s="119" t="s">
        <v>136</v>
      </c>
      <c r="C3" s="119" t="s">
        <v>136</v>
      </c>
      <c r="D3" s="119" t="s">
        <v>136</v>
      </c>
      <c r="E3" s="119" t="s">
        <v>136</v>
      </c>
      <c r="F3" s="119" t="s">
        <v>136</v>
      </c>
      <c r="G3" s="119" t="s">
        <v>136</v>
      </c>
      <c r="H3" s="119" t="s">
        <v>136</v>
      </c>
      <c r="I3" s="119" t="s">
        <v>137</v>
      </c>
      <c r="J3" s="119" t="s">
        <v>138</v>
      </c>
      <c r="K3" s="119" t="s">
        <v>138</v>
      </c>
      <c r="L3" s="119" t="s">
        <v>138</v>
      </c>
    </row>
    <row r="4" spans="1:12" ht="34" customHeight="1" x14ac:dyDescent="0.35">
      <c r="A4" s="182"/>
      <c r="B4" s="119" t="s">
        <v>139</v>
      </c>
      <c r="C4" s="119" t="s">
        <v>140</v>
      </c>
      <c r="D4" s="119" t="s">
        <v>141</v>
      </c>
      <c r="E4" s="119" t="s">
        <v>142</v>
      </c>
      <c r="F4" s="119" t="s">
        <v>143</v>
      </c>
      <c r="G4" s="119" t="s">
        <v>144</v>
      </c>
      <c r="H4" s="119" t="s">
        <v>145</v>
      </c>
      <c r="I4" s="119" t="s">
        <v>146</v>
      </c>
      <c r="J4" s="119" t="s">
        <v>147</v>
      </c>
      <c r="K4" s="119" t="s">
        <v>148</v>
      </c>
      <c r="L4" s="119" t="s">
        <v>149</v>
      </c>
    </row>
    <row r="5" spans="1:12" ht="52" customHeight="1" x14ac:dyDescent="0.35">
      <c r="A5" s="122" t="s">
        <v>151</v>
      </c>
      <c r="B5" s="120">
        <f>SUM('Apportioning Calculation'!E3:E14)/1000</f>
        <v>139865.94</v>
      </c>
      <c r="C5" s="120">
        <f>SUM('Apportioning Calculation'!F3:F14)/1000</f>
        <v>159.84</v>
      </c>
      <c r="D5" s="120">
        <f>SUM('Apportioning Calculation'!H3:H14)/1000</f>
        <v>143747.85699999999</v>
      </c>
      <c r="E5" s="120">
        <f>SUM('Apportioning Calculation'!G3:G14)/1000</f>
        <v>30711.187000000002</v>
      </c>
      <c r="F5" s="120">
        <f>SUM('Apportioning Calculation'!K3:K14)/1000</f>
        <v>29881.072</v>
      </c>
      <c r="G5" s="120">
        <f>SUM('Apportioning Calculation'!M3:M14)/1000</f>
        <v>34.685000000000002</v>
      </c>
      <c r="H5" s="120">
        <f>SUM('Apportioning Calculation'!T3:T14)/1000</f>
        <v>29839.304</v>
      </c>
      <c r="I5" s="120">
        <v>0.94881000000000004</v>
      </c>
      <c r="J5" s="120">
        <f>ROUNDDOWN((H5*I5),0)</f>
        <v>28311</v>
      </c>
      <c r="K5" s="120">
        <v>0</v>
      </c>
      <c r="L5" s="120">
        <f>J5-K5</f>
        <v>28311</v>
      </c>
    </row>
    <row r="6" spans="1:12" ht="56.5" customHeight="1" x14ac:dyDescent="0.35">
      <c r="A6" s="122" t="s">
        <v>152</v>
      </c>
      <c r="B6" s="120">
        <f>SUM('Apportioning Calculation'!E15:E21)/1000</f>
        <v>91959.84</v>
      </c>
      <c r="C6" s="120">
        <f>SUM('Apportioning Calculation'!F15:F21)/1000</f>
        <v>88.02</v>
      </c>
      <c r="D6" s="120">
        <f>SUM('Apportioning Calculation'!H15:H21)/1000</f>
        <v>94610.403000000006</v>
      </c>
      <c r="E6" s="120">
        <f>SUM('Apportioning Calculation'!G14:G21)/1000</f>
        <v>22627.419000000002</v>
      </c>
      <c r="F6" s="120">
        <f>SUM('Apportioning Calculation'!K14:K21)/1000</f>
        <v>22002.458999999999</v>
      </c>
      <c r="G6" s="120">
        <f>SUM('Apportioning Calculation'!M15:M21)/1000</f>
        <v>19.396000000000001</v>
      </c>
      <c r="H6" s="120">
        <f>SUM('Apportioning Calculation'!T15:T21)/1000</f>
        <v>19909.394</v>
      </c>
      <c r="I6" s="120">
        <v>0.94881000000000004</v>
      </c>
      <c r="J6" s="120">
        <f>ROUNDDOWN((H6*I6),0)</f>
        <v>18890</v>
      </c>
      <c r="K6" s="120">
        <v>0</v>
      </c>
      <c r="L6" s="120">
        <f>J6-K6</f>
        <v>18890</v>
      </c>
    </row>
    <row r="7" spans="1:12" x14ac:dyDescent="0.35">
      <c r="A7" s="121" t="s">
        <v>150</v>
      </c>
      <c r="B7" s="120">
        <f>SUM(B5:B6)</f>
        <v>231825.78</v>
      </c>
      <c r="C7" s="120">
        <f t="shared" ref="C7:G7" si="0">SUM(C5:C6)</f>
        <v>247.86</v>
      </c>
      <c r="D7" s="120">
        <f t="shared" si="0"/>
        <v>238358.26</v>
      </c>
      <c r="E7" s="120">
        <f t="shared" si="0"/>
        <v>53338.606</v>
      </c>
      <c r="F7" s="120">
        <f t="shared" si="0"/>
        <v>51883.531000000003</v>
      </c>
      <c r="G7" s="120">
        <f t="shared" si="0"/>
        <v>54.081000000000003</v>
      </c>
      <c r="H7" s="120"/>
      <c r="I7" s="120"/>
      <c r="J7" s="120">
        <f>ROUNDDOWN((H7*I7),0)</f>
        <v>0</v>
      </c>
      <c r="K7" s="120">
        <v>0</v>
      </c>
      <c r="L7" s="120">
        <f>SUM(L5:L6)</f>
        <v>47201</v>
      </c>
    </row>
    <row r="10" spans="1:12" x14ac:dyDescent="0.35">
      <c r="A10" s="123" t="s">
        <v>153</v>
      </c>
      <c r="B10" s="124" t="s">
        <v>154</v>
      </c>
      <c r="C10" s="125">
        <v>32415</v>
      </c>
      <c r="D10" s="125" t="s">
        <v>155</v>
      </c>
    </row>
    <row r="11" spans="1:12" x14ac:dyDescent="0.35">
      <c r="A11" s="125"/>
      <c r="B11" s="125" t="s">
        <v>156</v>
      </c>
      <c r="C11" s="126">
        <f>C10/365</f>
        <v>88.808219178082197</v>
      </c>
      <c r="D11" s="125" t="s">
        <v>157</v>
      </c>
    </row>
    <row r="12" spans="1:12" x14ac:dyDescent="0.35">
      <c r="A12" s="124"/>
      <c r="B12" s="125" t="s">
        <v>158</v>
      </c>
      <c r="C12" s="127">
        <v>44197</v>
      </c>
      <c r="D12" s="125"/>
    </row>
    <row r="13" spans="1:12" x14ac:dyDescent="0.35">
      <c r="A13" s="124"/>
      <c r="B13" s="125"/>
      <c r="C13" s="127">
        <v>44773</v>
      </c>
      <c r="D13" s="125"/>
    </row>
    <row r="14" spans="1:12" x14ac:dyDescent="0.35">
      <c r="A14" s="125"/>
      <c r="B14" s="125" t="s">
        <v>159</v>
      </c>
      <c r="C14" s="125">
        <f>C13-C12+1</f>
        <v>577</v>
      </c>
      <c r="D14" s="128"/>
    </row>
    <row r="15" spans="1:12" x14ac:dyDescent="0.35">
      <c r="A15" s="125"/>
      <c r="B15" s="129" t="s">
        <v>160</v>
      </c>
      <c r="C15" s="125">
        <f>ROUNDDOWN((C11*C14),0)</f>
        <v>51242</v>
      </c>
      <c r="D15" s="125" t="s">
        <v>161</v>
      </c>
    </row>
    <row r="16" spans="1:12" x14ac:dyDescent="0.35">
      <c r="A16" s="130"/>
      <c r="B16" s="131" t="s">
        <v>162</v>
      </c>
      <c r="C16" s="131">
        <f>L7</f>
        <v>47201</v>
      </c>
      <c r="D16" s="125" t="s">
        <v>161</v>
      </c>
    </row>
    <row r="17" spans="1:4" x14ac:dyDescent="0.35">
      <c r="A17" s="183" t="s">
        <v>163</v>
      </c>
      <c r="B17" s="184"/>
      <c r="C17" s="132">
        <f>(C15-C16)/C15</f>
        <v>7.886109051168963E-2</v>
      </c>
      <c r="D17" s="125"/>
    </row>
    <row r="18" spans="1:4" x14ac:dyDescent="0.35">
      <c r="A18" s="124"/>
      <c r="B18" s="124"/>
      <c r="C18" s="124"/>
      <c r="D18" s="124"/>
    </row>
  </sheetData>
  <mergeCells count="3">
    <mergeCell ref="A1:L1"/>
    <mergeCell ref="A2:A4"/>
    <mergeCell ref="A17:B17"/>
  </mergeCells>
  <pageMargins left="0.7" right="0.7" top="0.75" bottom="0.75"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Brief Intro</vt:lpstr>
      <vt:lpstr>Meter Details</vt:lpstr>
      <vt:lpstr>Combined Margin Calculation</vt:lpstr>
      <vt:lpstr>Apportioning Calculation</vt:lpstr>
      <vt:lpstr>EGcontroller,i</vt:lpstr>
      <vt:lpstr>CER Calculation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Nancy Samyukta</dc:creator>
  <cp:lastModifiedBy>Nancy Samyukta</cp:lastModifiedBy>
  <dcterms:created xsi:type="dcterms:W3CDTF">2022-09-30T09:06:09Z</dcterms:created>
  <dcterms:modified xsi:type="dcterms:W3CDTF">2022-10-03T12:55:50Z</dcterms:modified>
</cp:coreProperties>
</file>