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7.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8.xml" ContentType="application/vnd.openxmlformats-officedocument.drawing+xml"/>
  <Override PartName="/xl/charts/chart15.xml" ContentType="application/vnd.openxmlformats-officedocument.drawingml.chart+xml"/>
  <Override PartName="/xl/drawings/drawing9.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11.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drawings/drawing12.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08"/>
  <workbookPr date1904="1" showInkAnnotation="0" codeName="ThisWorkbook" autoCompressPictures="0"/>
  <mc:AlternateContent xmlns:mc="http://schemas.openxmlformats.org/markup-compatibility/2006">
    <mc:Choice Requires="x15">
      <x15ac:absPath xmlns:x15ac="http://schemas.microsoft.com/office/spreadsheetml/2010/11/ac" url="/Users/andrewmahar/Corner Store Network Dropbox/andrew mahar/GS4210 Performance Audit 2021/Final GS 21 Audit docs/CO2 Fixation Calculations/"/>
    </mc:Choice>
  </mc:AlternateContent>
  <xr:revisionPtr revIDLastSave="0" documentId="13_ncr:1_{4A0C41B2-1489-3041-A203-3FDEAA4C4B35}" xr6:coauthVersionLast="47" xr6:coauthVersionMax="47" xr10:uidLastSave="{00000000-0000-0000-0000-000000000000}"/>
  <bookViews>
    <workbookView xWindow="0" yWindow="500" windowWidth="27160" windowHeight="17120" tabRatio="1000" xr2:uid="{00000000-000D-0000-FFFF-FFFF00000000}"/>
  </bookViews>
  <sheets>
    <sheet name="CO2 Certificates" sheetId="16" r:id="rId1"/>
    <sheet name="CO2 Fixation Summary" sheetId="13" r:id="rId2"/>
    <sheet name="Baseline Carbon Stock" sheetId="21" r:id="rId3"/>
    <sheet name="Other Emissions" sheetId="23" r:id="rId4"/>
    <sheet name="GIS Area Results" sheetId="22" r:id="rId5"/>
    <sheet name="S. Album" sheetId="26" r:id="rId6"/>
    <sheet name="D. Nigra" sheetId="25" r:id="rId7"/>
    <sheet name="S. Foetida" sheetId="24" r:id="rId8"/>
    <sheet name="S. Macro" sheetId="4" r:id="rId9"/>
    <sheet name="E. Uro" sheetId="6" r:id="rId10"/>
    <sheet name="E. Alba" sheetId="5" r:id="rId11"/>
    <sheet name="T. Grandis" sheetId="8" r:id="rId12"/>
    <sheet name="C. Equis" sheetId="7" r:id="rId13"/>
    <sheet name="GC E. Alba" sheetId="12" state="hidden" r:id="rId14"/>
    <sheet name="GC E. Uro" sheetId="9" state="hidden" r:id="rId15"/>
    <sheet name="GC S. Macro" sheetId="3" state="hidden" r:id="rId16"/>
    <sheet name="GC T. Grandis" sheetId="10" state="hidden" r:id="rId17"/>
    <sheet name="GC C. Equis" sheetId="11" state="hidden" r:id="rId18"/>
  </sheets>
  <externalReferences>
    <externalReference r:id="rId19"/>
    <externalReference r:id="rId20"/>
  </externalReferences>
  <definedNames>
    <definedName name="CF_non_tree">#REF!</definedName>
    <definedName name="CF_tree">#REF!</definedName>
    <definedName name="Climate_region">[1]Background!$B$17:$B$26</definedName>
    <definedName name="FI_Cropland">[1]Background!$C$29:$G$29</definedName>
    <definedName name="FI_Grassland">[1]Background!$K$29:$N$29</definedName>
    <definedName name="FLU">[1]Background!$K$16:$N$16</definedName>
    <definedName name="FMG_Cropland">[1]Background!$Q$16:$T$16</definedName>
    <definedName name="FMG_Grassland">[1]Background!$W$16:$AA$16</definedName>
    <definedName name="MWCO2__C">#REF!</definedName>
    <definedName name="Soil_type">[1]Background!$C$16:$H$16</definedName>
    <definedName name="Year_start">[2]Sheet1!$C$17</definedName>
  </definedNames>
  <calcPr calcId="191029"/>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M119" i="16" l="1"/>
  <c r="M118" i="16"/>
  <c r="M117" i="16"/>
  <c r="M116" i="16"/>
  <c r="L116" i="16"/>
  <c r="L119" i="16"/>
  <c r="L118" i="16"/>
  <c r="L117" i="16"/>
  <c r="R116" i="16" l="1"/>
  <c r="R115" i="16"/>
  <c r="S112" i="16"/>
  <c r="R112" i="16"/>
  <c r="S116" i="16"/>
  <c r="N113" i="16"/>
  <c r="S115" i="16"/>
  <c r="Q112" i="16"/>
  <c r="T116" i="16" l="1"/>
  <c r="M26" i="16"/>
  <c r="O26" i="16"/>
  <c r="P26" i="16"/>
  <c r="Q26" i="16"/>
  <c r="R26" i="16"/>
  <c r="N26" i="16"/>
  <c r="C16" i="22" l="1"/>
  <c r="C15" i="22"/>
  <c r="H149" i="16" l="1"/>
  <c r="D144" i="16"/>
  <c r="E144" i="16" s="1"/>
  <c r="F144" i="16" s="1"/>
  <c r="G144" i="16" s="1"/>
  <c r="H144" i="16" s="1"/>
  <c r="D140" i="16"/>
  <c r="E140" i="16" s="1"/>
  <c r="F140" i="16" s="1"/>
  <c r="G140" i="16" s="1"/>
  <c r="H140" i="16" s="1"/>
  <c r="A18" i="24" l="1"/>
  <c r="B18" i="24" s="1"/>
  <c r="C18" i="24" s="1"/>
  <c r="B17" i="24"/>
  <c r="C17" i="24" s="1"/>
  <c r="B16" i="24"/>
  <c r="C16" i="24" s="1"/>
  <c r="M18" i="6"/>
  <c r="M17" i="6"/>
  <c r="L19" i="6"/>
  <c r="T19" i="6" s="1"/>
  <c r="T18" i="6"/>
  <c r="O18" i="6"/>
  <c r="O17" i="6"/>
  <c r="C12" i="16"/>
  <c r="C13" i="16"/>
  <c r="C14" i="16"/>
  <c r="C15" i="16"/>
  <c r="C16" i="16"/>
  <c r="C9" i="16"/>
  <c r="C10" i="16"/>
  <c r="D14" i="16"/>
  <c r="D15" i="16"/>
  <c r="D16" i="16"/>
  <c r="L15" i="7"/>
  <c r="L14" i="7"/>
  <c r="M14" i="7" s="1"/>
  <c r="K16" i="7"/>
  <c r="L16" i="7" s="1"/>
  <c r="M15" i="7"/>
  <c r="L16" i="8"/>
  <c r="L15" i="8"/>
  <c r="R66" i="16" l="1"/>
  <c r="Q66" i="16"/>
  <c r="R57" i="16"/>
  <c r="Q65" i="16"/>
  <c r="R65" i="16"/>
  <c r="Q57" i="16"/>
  <c r="M19" i="6"/>
  <c r="O19" i="6" s="1"/>
  <c r="Q19" i="6" s="1"/>
  <c r="R19" i="6" s="1"/>
  <c r="Q67" i="16"/>
  <c r="R67" i="16"/>
  <c r="A19" i="24"/>
  <c r="A20" i="24" s="1"/>
  <c r="B20" i="24" s="1"/>
  <c r="C20" i="24" s="1"/>
  <c r="E16" i="24"/>
  <c r="F16" i="24" s="1"/>
  <c r="D16" i="24"/>
  <c r="D17" i="24"/>
  <c r="E17" i="24"/>
  <c r="F17" i="24" s="1"/>
  <c r="E18" i="24"/>
  <c r="F18" i="24" s="1"/>
  <c r="D18" i="24"/>
  <c r="A21" i="24"/>
  <c r="Q17" i="6"/>
  <c r="R17" i="6" s="1"/>
  <c r="P17" i="6"/>
  <c r="Q18" i="6"/>
  <c r="R18" i="6" s="1"/>
  <c r="P18" i="6"/>
  <c r="L20" i="6"/>
  <c r="M20" i="6" s="1"/>
  <c r="O20" i="6" s="1"/>
  <c r="Q20" i="6" s="1"/>
  <c r="R20" i="6" s="1"/>
  <c r="M16" i="7"/>
  <c r="O16" i="7" s="1"/>
  <c r="P16" i="7" s="1"/>
  <c r="O14" i="7"/>
  <c r="P14" i="7" s="1"/>
  <c r="N14" i="7"/>
  <c r="N15" i="7"/>
  <c r="O15" i="7"/>
  <c r="P15" i="7" s="1"/>
  <c r="K17" i="7"/>
  <c r="L17" i="7" s="1"/>
  <c r="P20" i="6" l="1"/>
  <c r="P19" i="6"/>
  <c r="B19" i="24"/>
  <c r="C19" i="24" s="1"/>
  <c r="D19" i="24" s="1"/>
  <c r="B21" i="24"/>
  <c r="C21" i="24" s="1"/>
  <c r="A22" i="24"/>
  <c r="D20" i="24"/>
  <c r="E19" i="24"/>
  <c r="F19" i="24" s="1"/>
  <c r="T20" i="6"/>
  <c r="L21" i="6"/>
  <c r="M21" i="6" s="1"/>
  <c r="O21" i="6" s="1"/>
  <c r="N16" i="7"/>
  <c r="K18" i="7"/>
  <c r="L18" i="7" s="1"/>
  <c r="M17" i="7"/>
  <c r="E20" i="24" l="1"/>
  <c r="F20" i="24" s="1"/>
  <c r="Q21" i="6"/>
  <c r="R21" i="6" s="1"/>
  <c r="P21" i="6"/>
  <c r="A23" i="24"/>
  <c r="B22" i="24"/>
  <c r="C22" i="24" s="1"/>
  <c r="D21" i="24"/>
  <c r="E21" i="24"/>
  <c r="F21" i="24" s="1"/>
  <c r="T21" i="6"/>
  <c r="L22" i="6"/>
  <c r="M22" i="6" s="1"/>
  <c r="O22" i="6" s="1"/>
  <c r="O17" i="7"/>
  <c r="P17" i="7" s="1"/>
  <c r="N17" i="7"/>
  <c r="M18" i="7"/>
  <c r="K19" i="7"/>
  <c r="L19" i="7" s="1"/>
  <c r="Q22" i="6" l="1"/>
  <c r="R22" i="6" s="1"/>
  <c r="P22" i="6"/>
  <c r="E22" i="24"/>
  <c r="F22" i="24" s="1"/>
  <c r="D22" i="24"/>
  <c r="A24" i="24"/>
  <c r="B23" i="24"/>
  <c r="C23" i="24" s="1"/>
  <c r="T22" i="6"/>
  <c r="L23" i="6"/>
  <c r="M23" i="6" s="1"/>
  <c r="O23" i="6" s="1"/>
  <c r="M19" i="7"/>
  <c r="K20" i="7"/>
  <c r="L20" i="7" s="1"/>
  <c r="O18" i="7"/>
  <c r="P18" i="7" s="1"/>
  <c r="N18" i="7"/>
  <c r="Q23" i="6" l="1"/>
  <c r="R23" i="6" s="1"/>
  <c r="P23" i="6"/>
  <c r="B24" i="24"/>
  <c r="C24" i="24" s="1"/>
  <c r="A25" i="24"/>
  <c r="E23" i="24"/>
  <c r="F23" i="24" s="1"/>
  <c r="D23" i="24"/>
  <c r="T23" i="6"/>
  <c r="L24" i="6"/>
  <c r="M24" i="6" s="1"/>
  <c r="O24" i="6" s="1"/>
  <c r="M20" i="7"/>
  <c r="K21" i="7"/>
  <c r="L21" i="7" s="1"/>
  <c r="N19" i="7"/>
  <c r="O19" i="7"/>
  <c r="P19" i="7" s="1"/>
  <c r="Q24" i="6" l="1"/>
  <c r="R24" i="6" s="1"/>
  <c r="P24" i="6"/>
  <c r="B25" i="24"/>
  <c r="C25" i="24" s="1"/>
  <c r="A26" i="24"/>
  <c r="E24" i="24"/>
  <c r="F24" i="24" s="1"/>
  <c r="D24" i="24"/>
  <c r="T24" i="6"/>
  <c r="L25" i="6"/>
  <c r="M25" i="6" s="1"/>
  <c r="O25" i="6" s="1"/>
  <c r="K22" i="7"/>
  <c r="L22" i="7" s="1"/>
  <c r="M21" i="7"/>
  <c r="O20" i="7"/>
  <c r="P20" i="7" s="1"/>
  <c r="N20" i="7"/>
  <c r="P25" i="6" l="1"/>
  <c r="Q25" i="6"/>
  <c r="R25" i="6" s="1"/>
  <c r="A27" i="24"/>
  <c r="B26" i="24"/>
  <c r="C26" i="24" s="1"/>
  <c r="D25" i="24"/>
  <c r="E25" i="24"/>
  <c r="F25" i="24" s="1"/>
  <c r="T25" i="6"/>
  <c r="L26" i="6"/>
  <c r="M26" i="6" s="1"/>
  <c r="O26" i="6" s="1"/>
  <c r="O21" i="7"/>
  <c r="P21" i="7" s="1"/>
  <c r="N21" i="7"/>
  <c r="M22" i="7"/>
  <c r="K23" i="7"/>
  <c r="L23" i="7" s="1"/>
  <c r="Q26" i="6" l="1"/>
  <c r="R26" i="6" s="1"/>
  <c r="P26" i="6"/>
  <c r="E26" i="24"/>
  <c r="F26" i="24" s="1"/>
  <c r="D26" i="24"/>
  <c r="A28" i="24"/>
  <c r="B27" i="24"/>
  <c r="C27" i="24" s="1"/>
  <c r="T26" i="6"/>
  <c r="L27" i="6"/>
  <c r="M27" i="6" s="1"/>
  <c r="O27" i="6" s="1"/>
  <c r="M23" i="7"/>
  <c r="K24" i="7"/>
  <c r="L24" i="7" s="1"/>
  <c r="O22" i="7"/>
  <c r="P22" i="7" s="1"/>
  <c r="N22" i="7"/>
  <c r="Q27" i="6" l="1"/>
  <c r="R27" i="6" s="1"/>
  <c r="P27" i="6"/>
  <c r="E27" i="24"/>
  <c r="F27" i="24" s="1"/>
  <c r="D27" i="24"/>
  <c r="B28" i="24"/>
  <c r="C28" i="24" s="1"/>
  <c r="A29" i="24"/>
  <c r="T27" i="6"/>
  <c r="L28" i="6"/>
  <c r="M28" i="6" s="1"/>
  <c r="O28" i="6" s="1"/>
  <c r="M24" i="7"/>
  <c r="K25" i="7"/>
  <c r="L25" i="7" s="1"/>
  <c r="N23" i="7"/>
  <c r="O23" i="7"/>
  <c r="P23" i="7" s="1"/>
  <c r="Q28" i="6" l="1"/>
  <c r="R28" i="6" s="1"/>
  <c r="P28" i="6"/>
  <c r="B29" i="24"/>
  <c r="C29" i="24" s="1"/>
  <c r="A30" i="24"/>
  <c r="E28" i="24"/>
  <c r="F28" i="24" s="1"/>
  <c r="D28" i="24"/>
  <c r="T28" i="6"/>
  <c r="L29" i="6"/>
  <c r="M29" i="6" s="1"/>
  <c r="O29" i="6" s="1"/>
  <c r="K26" i="7"/>
  <c r="L26" i="7" s="1"/>
  <c r="M25" i="7"/>
  <c r="O24" i="7"/>
  <c r="P24" i="7" s="1"/>
  <c r="N24" i="7"/>
  <c r="Q29" i="6" l="1"/>
  <c r="R29" i="6" s="1"/>
  <c r="P29" i="6"/>
  <c r="B30" i="24"/>
  <c r="C30" i="24" s="1"/>
  <c r="A31" i="24"/>
  <c r="D29" i="24"/>
  <c r="E29" i="24"/>
  <c r="F29" i="24" s="1"/>
  <c r="T29" i="6"/>
  <c r="L30" i="6"/>
  <c r="M30" i="6" s="1"/>
  <c r="O30" i="6" s="1"/>
  <c r="O25" i="7"/>
  <c r="P25" i="7" s="1"/>
  <c r="N25" i="7"/>
  <c r="M26" i="7"/>
  <c r="K27" i="7"/>
  <c r="L27" i="7" s="1"/>
  <c r="Q30" i="6" l="1"/>
  <c r="R30" i="6" s="1"/>
  <c r="P30" i="6"/>
  <c r="A32" i="24"/>
  <c r="A33" i="24" s="1"/>
  <c r="A34" i="24" s="1"/>
  <c r="A35" i="24" s="1"/>
  <c r="A36" i="24" s="1"/>
  <c r="A37" i="24" s="1"/>
  <c r="A38" i="24" s="1"/>
  <c r="A39" i="24" s="1"/>
  <c r="A40" i="24" s="1"/>
  <c r="A41" i="24" s="1"/>
  <c r="A42" i="24" s="1"/>
  <c r="A43" i="24" s="1"/>
  <c r="A44" i="24" s="1"/>
  <c r="A45" i="24" s="1"/>
  <c r="A46" i="24" s="1"/>
  <c r="B31" i="24"/>
  <c r="E30" i="24"/>
  <c r="F30" i="24" s="1"/>
  <c r="D30" i="24"/>
  <c r="T30" i="6"/>
  <c r="L31" i="6"/>
  <c r="M31" i="6" s="1"/>
  <c r="O31" i="6" s="1"/>
  <c r="K28" i="7"/>
  <c r="L28" i="7" s="1"/>
  <c r="M27" i="7"/>
  <c r="O26" i="7"/>
  <c r="P26" i="7" s="1"/>
  <c r="N26" i="7"/>
  <c r="Q31" i="6" l="1"/>
  <c r="R31" i="6" s="1"/>
  <c r="P31" i="6"/>
  <c r="B32" i="24"/>
  <c r="C31" i="24"/>
  <c r="T31" i="6"/>
  <c r="L32" i="6"/>
  <c r="M32" i="6" s="1"/>
  <c r="O32" i="6" s="1"/>
  <c r="N27" i="7"/>
  <c r="O27" i="7"/>
  <c r="P27" i="7" s="1"/>
  <c r="M28" i="7"/>
  <c r="K29" i="7"/>
  <c r="L29" i="7" s="1"/>
  <c r="Q32" i="6" l="1"/>
  <c r="R32" i="6" s="1"/>
  <c r="P32" i="6"/>
  <c r="E31" i="24"/>
  <c r="F31" i="24" s="1"/>
  <c r="D31" i="24"/>
  <c r="B33" i="24"/>
  <c r="C32" i="24"/>
  <c r="T32" i="6"/>
  <c r="L33" i="6"/>
  <c r="M33" i="6" s="1"/>
  <c r="O33" i="6" s="1"/>
  <c r="K30" i="7"/>
  <c r="L30" i="7" s="1"/>
  <c r="M29" i="7"/>
  <c r="O28" i="7"/>
  <c r="P28" i="7" s="1"/>
  <c r="N28" i="7"/>
  <c r="Q33" i="6" l="1"/>
  <c r="R33" i="6" s="1"/>
  <c r="P33" i="6"/>
  <c r="E32" i="24"/>
  <c r="F32" i="24" s="1"/>
  <c r="D32" i="24"/>
  <c r="C33" i="24"/>
  <c r="B34" i="24"/>
  <c r="T33" i="6"/>
  <c r="L34" i="6"/>
  <c r="M34" i="6" s="1"/>
  <c r="O34" i="6" s="1"/>
  <c r="O29" i="7"/>
  <c r="P29" i="7" s="1"/>
  <c r="N29" i="7"/>
  <c r="M30" i="7"/>
  <c r="K31" i="7"/>
  <c r="L31" i="7" s="1"/>
  <c r="Q34" i="6" l="1"/>
  <c r="R34" i="6" s="1"/>
  <c r="P34" i="6"/>
  <c r="C34" i="24"/>
  <c r="B35" i="24"/>
  <c r="D33" i="24"/>
  <c r="E33" i="24"/>
  <c r="F33" i="24" s="1"/>
  <c r="T34" i="6"/>
  <c r="L35" i="6"/>
  <c r="M35" i="6" s="1"/>
  <c r="O35" i="6" s="1"/>
  <c r="K32" i="7"/>
  <c r="L32" i="7" s="1"/>
  <c r="M31" i="7"/>
  <c r="O30" i="7"/>
  <c r="P30" i="7" s="1"/>
  <c r="N30" i="7"/>
  <c r="K17" i="8"/>
  <c r="R16" i="8"/>
  <c r="M16" i="8"/>
  <c r="N16" i="8" s="1"/>
  <c r="M15" i="8"/>
  <c r="N65" i="16"/>
  <c r="O65" i="16"/>
  <c r="P65" i="16"/>
  <c r="N66" i="16"/>
  <c r="O66" i="16"/>
  <c r="P66" i="16"/>
  <c r="N67" i="16"/>
  <c r="O67" i="16"/>
  <c r="P67" i="16"/>
  <c r="N57" i="16"/>
  <c r="O57" i="16"/>
  <c r="P57" i="16"/>
  <c r="L17" i="8" l="1"/>
  <c r="M17" i="8" s="1"/>
  <c r="Q35" i="6"/>
  <c r="R35" i="6" s="1"/>
  <c r="P35" i="6"/>
  <c r="B36" i="24"/>
  <c r="C35" i="24"/>
  <c r="E34" i="24"/>
  <c r="F34" i="24" s="1"/>
  <c r="D34" i="24"/>
  <c r="T35" i="6"/>
  <c r="L36" i="6"/>
  <c r="M36" i="6" s="1"/>
  <c r="O36" i="6" s="1"/>
  <c r="N31" i="7"/>
  <c r="O31" i="7"/>
  <c r="P31" i="7" s="1"/>
  <c r="M32" i="7"/>
  <c r="K33" i="7"/>
  <c r="L33" i="7" s="1"/>
  <c r="O15" i="8"/>
  <c r="P15" i="8" s="1"/>
  <c r="N15" i="8"/>
  <c r="O16" i="8"/>
  <c r="P16" i="8" s="1"/>
  <c r="R17" i="8"/>
  <c r="K18" i="8"/>
  <c r="L18" i="8" s="1"/>
  <c r="L65" i="16"/>
  <c r="M65" i="16"/>
  <c r="L66" i="16"/>
  <c r="M66" i="16"/>
  <c r="L67" i="16"/>
  <c r="M67" i="16"/>
  <c r="M57" i="16"/>
  <c r="L57" i="16"/>
  <c r="O17" i="8" l="1"/>
  <c r="P17" i="8" s="1"/>
  <c r="N17" i="8"/>
  <c r="Q36" i="6"/>
  <c r="R36" i="6" s="1"/>
  <c r="P36" i="6"/>
  <c r="E35" i="24"/>
  <c r="F35" i="24" s="1"/>
  <c r="D35" i="24"/>
  <c r="C36" i="24"/>
  <c r="B37" i="24"/>
  <c r="T36" i="6"/>
  <c r="L37" i="6"/>
  <c r="M37" i="6" s="1"/>
  <c r="O37" i="6" s="1"/>
  <c r="K34" i="7"/>
  <c r="L34" i="7" s="1"/>
  <c r="M33" i="7"/>
  <c r="O32" i="7"/>
  <c r="P32" i="7" s="1"/>
  <c r="N32" i="7"/>
  <c r="M18" i="8"/>
  <c r="R18" i="8"/>
  <c r="K19" i="8"/>
  <c r="L19" i="8" s="1"/>
  <c r="Q37" i="6" l="1"/>
  <c r="R37" i="6" s="1"/>
  <c r="P37" i="6"/>
  <c r="C37" i="24"/>
  <c r="B38" i="24"/>
  <c r="E36" i="24"/>
  <c r="F36" i="24" s="1"/>
  <c r="D36" i="24"/>
  <c r="T37" i="6"/>
  <c r="L38" i="6"/>
  <c r="M38" i="6" s="1"/>
  <c r="O38" i="6" s="1"/>
  <c r="O33" i="7"/>
  <c r="P33" i="7" s="1"/>
  <c r="N33" i="7"/>
  <c r="M34" i="7"/>
  <c r="K35" i="7"/>
  <c r="L35" i="7" s="1"/>
  <c r="M19" i="8"/>
  <c r="K20" i="8"/>
  <c r="L20" i="8" s="1"/>
  <c r="R19" i="8"/>
  <c r="N18" i="8"/>
  <c r="O18" i="8"/>
  <c r="P18" i="8" s="1"/>
  <c r="M47" i="16"/>
  <c r="L47" i="16"/>
  <c r="Q38" i="6" l="1"/>
  <c r="R38" i="6" s="1"/>
  <c r="P38" i="6"/>
  <c r="C38" i="24"/>
  <c r="B39" i="24"/>
  <c r="D37" i="24"/>
  <c r="E37" i="24"/>
  <c r="F37" i="24" s="1"/>
  <c r="T38" i="6"/>
  <c r="L39" i="6"/>
  <c r="M39" i="6" s="1"/>
  <c r="O39" i="6" s="1"/>
  <c r="K36" i="7"/>
  <c r="L36" i="7" s="1"/>
  <c r="M35" i="7"/>
  <c r="O34" i="7"/>
  <c r="P34" i="7" s="1"/>
  <c r="N34" i="7"/>
  <c r="K21" i="8"/>
  <c r="L21" i="8" s="1"/>
  <c r="R20" i="8"/>
  <c r="M20" i="8"/>
  <c r="O19" i="8"/>
  <c r="P19" i="8" s="1"/>
  <c r="N19" i="8"/>
  <c r="M81" i="16"/>
  <c r="N81" i="16" s="1"/>
  <c r="L81" i="16"/>
  <c r="C14" i="22"/>
  <c r="Q39" i="6" l="1"/>
  <c r="R39" i="6" s="1"/>
  <c r="P39" i="6"/>
  <c r="O81" i="16"/>
  <c r="N87" i="16"/>
  <c r="B40" i="24"/>
  <c r="C39" i="24"/>
  <c r="E38" i="24"/>
  <c r="F38" i="24" s="1"/>
  <c r="D38" i="24"/>
  <c r="T39" i="6"/>
  <c r="L40" i="6"/>
  <c r="M40" i="6" s="1"/>
  <c r="O40" i="6" s="1"/>
  <c r="N35" i="7"/>
  <c r="O35" i="7"/>
  <c r="P35" i="7" s="1"/>
  <c r="M36" i="7"/>
  <c r="K37" i="7"/>
  <c r="L37" i="7" s="1"/>
  <c r="R21" i="8"/>
  <c r="M21" i="8"/>
  <c r="K22" i="8"/>
  <c r="L22" i="8" s="1"/>
  <c r="O20" i="8"/>
  <c r="P20" i="8" s="1"/>
  <c r="N20" i="8"/>
  <c r="E14" i="22"/>
  <c r="E15" i="22"/>
  <c r="L82" i="16" s="1"/>
  <c r="L83" i="16" s="1"/>
  <c r="E16" i="22"/>
  <c r="M82" i="16" s="1"/>
  <c r="N82" i="16" s="1"/>
  <c r="O82" i="16" s="1"/>
  <c r="P82" i="16" s="1"/>
  <c r="Q82" i="16" s="1"/>
  <c r="R82" i="16" s="1"/>
  <c r="AD6" i="4"/>
  <c r="AD4" i="4" s="1"/>
  <c r="M6" i="4"/>
  <c r="AD17" i="4"/>
  <c r="AE17" i="4" s="1"/>
  <c r="AD16" i="4"/>
  <c r="AE16" i="4" s="1"/>
  <c r="AC18" i="4"/>
  <c r="AC19" i="4" s="1"/>
  <c r="AD18" i="4" l="1"/>
  <c r="AE18" i="4" s="1"/>
  <c r="AC20" i="4"/>
  <c r="AD20" i="4" s="1"/>
  <c r="AD19" i="4"/>
  <c r="P81" i="16"/>
  <c r="Q81" i="16" s="1"/>
  <c r="R81" i="16" s="1"/>
  <c r="O87" i="16"/>
  <c r="Q40" i="6"/>
  <c r="R40" i="6" s="1"/>
  <c r="P40" i="6"/>
  <c r="N83" i="16"/>
  <c r="M83" i="16"/>
  <c r="M84" i="16" s="1"/>
  <c r="E39" i="24"/>
  <c r="F39" i="24" s="1"/>
  <c r="D39" i="24"/>
  <c r="C40" i="24"/>
  <c r="B41" i="24"/>
  <c r="T40" i="6"/>
  <c r="L41" i="6"/>
  <c r="M41" i="6" s="1"/>
  <c r="O41" i="6" s="1"/>
  <c r="K38" i="7"/>
  <c r="L38" i="7" s="1"/>
  <c r="M37" i="7"/>
  <c r="O36" i="7"/>
  <c r="P36" i="7" s="1"/>
  <c r="N36" i="7"/>
  <c r="K23" i="8"/>
  <c r="L23" i="8" s="1"/>
  <c r="R22" i="8"/>
  <c r="M22" i="8"/>
  <c r="O21" i="8"/>
  <c r="P21" i="8" s="1"/>
  <c r="N21" i="8"/>
  <c r="AG16" i="4"/>
  <c r="AH16" i="4" s="1"/>
  <c r="AF16" i="4"/>
  <c r="AG18" i="4"/>
  <c r="AH18" i="4" s="1"/>
  <c r="AF18" i="4"/>
  <c r="AF17" i="4"/>
  <c r="AG17" i="4"/>
  <c r="AH17" i="4" s="1"/>
  <c r="AE20" i="4"/>
  <c r="AC21" i="4"/>
  <c r="AD21" i="4" s="1"/>
  <c r="AE19" i="4"/>
  <c r="I65" i="16"/>
  <c r="I57" i="16"/>
  <c r="Q41" i="6" l="1"/>
  <c r="R41" i="6" s="1"/>
  <c r="P41" i="6"/>
  <c r="N84" i="16"/>
  <c r="O83" i="16"/>
  <c r="O84" i="16" s="1"/>
  <c r="E40" i="24"/>
  <c r="F40" i="24" s="1"/>
  <c r="D40" i="24"/>
  <c r="C41" i="24"/>
  <c r="B42" i="24"/>
  <c r="T41" i="6"/>
  <c r="L42" i="6"/>
  <c r="M42" i="6" s="1"/>
  <c r="O42" i="6" s="1"/>
  <c r="O37" i="7"/>
  <c r="P37" i="7" s="1"/>
  <c r="N37" i="7"/>
  <c r="M38" i="7"/>
  <c r="K39" i="7"/>
  <c r="L39" i="7" s="1"/>
  <c r="O22" i="8"/>
  <c r="P22" i="8" s="1"/>
  <c r="N22" i="8"/>
  <c r="M23" i="8"/>
  <c r="K24" i="8"/>
  <c r="L24" i="8" s="1"/>
  <c r="R23" i="8"/>
  <c r="AG20" i="4"/>
  <c r="AH20" i="4" s="1"/>
  <c r="AF20" i="4"/>
  <c r="AE21" i="4"/>
  <c r="AC22" i="4"/>
  <c r="AD22" i="4" s="1"/>
  <c r="AF19" i="4"/>
  <c r="AG19" i="4"/>
  <c r="AH19" i="4" s="1"/>
  <c r="I42" i="16"/>
  <c r="P42" i="6" l="1"/>
  <c r="Q42" i="6"/>
  <c r="R42" i="6" s="1"/>
  <c r="P83" i="16"/>
  <c r="P84" i="16" s="1"/>
  <c r="D41" i="24"/>
  <c r="E41" i="24"/>
  <c r="F41" i="24" s="1"/>
  <c r="C42" i="24"/>
  <c r="B43" i="24"/>
  <c r="T42" i="6"/>
  <c r="L43" i="6"/>
  <c r="M43" i="6" s="1"/>
  <c r="O43" i="6" s="1"/>
  <c r="O38" i="7"/>
  <c r="P38" i="7" s="1"/>
  <c r="N38" i="7"/>
  <c r="K40" i="7"/>
  <c r="L40" i="7" s="1"/>
  <c r="M39" i="7"/>
  <c r="M24" i="8"/>
  <c r="K25" i="8"/>
  <c r="L25" i="8" s="1"/>
  <c r="R24" i="8"/>
  <c r="O23" i="8"/>
  <c r="P23" i="8" s="1"/>
  <c r="N23" i="8"/>
  <c r="AE22" i="4"/>
  <c r="AC23" i="4"/>
  <c r="AD23" i="4" s="1"/>
  <c r="AF21" i="4"/>
  <c r="AG21" i="4"/>
  <c r="AH21" i="4" s="1"/>
  <c r="D116" i="16"/>
  <c r="E116" i="16" s="1"/>
  <c r="F116" i="16" s="1"/>
  <c r="G116" i="16" s="1"/>
  <c r="H116" i="16" s="1"/>
  <c r="I116" i="16" s="1"/>
  <c r="J116" i="16" s="1"/>
  <c r="K116" i="16" s="1"/>
  <c r="I34" i="16"/>
  <c r="Q43" i="6" l="1"/>
  <c r="R43" i="6" s="1"/>
  <c r="P43" i="6"/>
  <c r="R83" i="16"/>
  <c r="Q83" i="16"/>
  <c r="Q84" i="16" s="1"/>
  <c r="B44" i="24"/>
  <c r="C43" i="24"/>
  <c r="E42" i="24"/>
  <c r="F42" i="24" s="1"/>
  <c r="D42" i="24"/>
  <c r="T43" i="6"/>
  <c r="L44" i="6"/>
  <c r="M44" i="6" s="1"/>
  <c r="O44" i="6" s="1"/>
  <c r="N39" i="7"/>
  <c r="O39" i="7"/>
  <c r="P39" i="7" s="1"/>
  <c r="M40" i="7"/>
  <c r="K41" i="7"/>
  <c r="L41" i="7" s="1"/>
  <c r="M25" i="8"/>
  <c r="K26" i="8"/>
  <c r="L26" i="8" s="1"/>
  <c r="R25" i="8"/>
  <c r="O24" i="8"/>
  <c r="P24" i="8" s="1"/>
  <c r="N24" i="8"/>
  <c r="AC24" i="4"/>
  <c r="AD24" i="4" s="1"/>
  <c r="AE23" i="4"/>
  <c r="AG22" i="4"/>
  <c r="AH22" i="4" s="1"/>
  <c r="AF22" i="4"/>
  <c r="J34" i="16"/>
  <c r="J42" i="16"/>
  <c r="R84" i="16" l="1"/>
  <c r="Q44" i="6"/>
  <c r="R44" i="6" s="1"/>
  <c r="P44" i="6"/>
  <c r="E43" i="24"/>
  <c r="F43" i="24" s="1"/>
  <c r="D43" i="24"/>
  <c r="B45" i="24"/>
  <c r="C44" i="24"/>
  <c r="T44" i="6"/>
  <c r="L45" i="6"/>
  <c r="M45" i="6" s="1"/>
  <c r="O45" i="6" s="1"/>
  <c r="K42" i="7"/>
  <c r="L42" i="7" s="1"/>
  <c r="M41" i="7"/>
  <c r="O40" i="7"/>
  <c r="P40" i="7" s="1"/>
  <c r="N40" i="7"/>
  <c r="M26" i="8"/>
  <c r="R26" i="8"/>
  <c r="K27" i="8"/>
  <c r="L27" i="8" s="1"/>
  <c r="O25" i="8"/>
  <c r="P25" i="8" s="1"/>
  <c r="N25" i="8"/>
  <c r="AF23" i="4"/>
  <c r="AG23" i="4"/>
  <c r="AH23" i="4" s="1"/>
  <c r="AE24" i="4"/>
  <c r="AC25" i="4"/>
  <c r="AD25" i="4" s="1"/>
  <c r="K37" i="16"/>
  <c r="K32" i="16"/>
  <c r="K36" i="16"/>
  <c r="Q59" i="16" l="1"/>
  <c r="R59" i="16"/>
  <c r="O59" i="16"/>
  <c r="P59" i="16"/>
  <c r="N59" i="16"/>
  <c r="L59" i="16"/>
  <c r="M59" i="16"/>
  <c r="Q58" i="16"/>
  <c r="R58" i="16"/>
  <c r="N58" i="16"/>
  <c r="O58" i="16"/>
  <c r="P58" i="16"/>
  <c r="M58" i="16"/>
  <c r="L58" i="16"/>
  <c r="Q45" i="6"/>
  <c r="R45" i="6" s="1"/>
  <c r="P45" i="6"/>
  <c r="C45" i="24"/>
  <c r="B46" i="24"/>
  <c r="C46" i="24" s="1"/>
  <c r="E44" i="24"/>
  <c r="F44" i="24" s="1"/>
  <c r="D44" i="24"/>
  <c r="T45" i="6"/>
  <c r="L46" i="6"/>
  <c r="M46" i="6" s="1"/>
  <c r="O46" i="6" s="1"/>
  <c r="O41" i="7"/>
  <c r="P41" i="7" s="1"/>
  <c r="N41" i="7"/>
  <c r="M42" i="7"/>
  <c r="K43" i="7"/>
  <c r="L43" i="7" s="1"/>
  <c r="M27" i="8"/>
  <c r="K28" i="8"/>
  <c r="L28" i="8" s="1"/>
  <c r="R27" i="8"/>
  <c r="N26" i="8"/>
  <c r="O26" i="8"/>
  <c r="P26" i="8" s="1"/>
  <c r="AG24" i="4"/>
  <c r="AH24" i="4" s="1"/>
  <c r="AF24" i="4"/>
  <c r="AE25" i="4"/>
  <c r="AC26" i="4"/>
  <c r="AD26" i="4" s="1"/>
  <c r="K42" i="16"/>
  <c r="K41" i="16"/>
  <c r="K34" i="16"/>
  <c r="K33" i="16"/>
  <c r="K31" i="16"/>
  <c r="Q46" i="6" l="1"/>
  <c r="R46" i="6" s="1"/>
  <c r="P46" i="6"/>
  <c r="E46" i="24"/>
  <c r="F46" i="24" s="1"/>
  <c r="D46" i="24"/>
  <c r="D45" i="24"/>
  <c r="E45" i="24"/>
  <c r="F45" i="24" s="1"/>
  <c r="T46" i="6"/>
  <c r="L47" i="6"/>
  <c r="K44" i="7"/>
  <c r="M43" i="7"/>
  <c r="O42" i="7"/>
  <c r="P42" i="7" s="1"/>
  <c r="N42" i="7"/>
  <c r="K29" i="8"/>
  <c r="L29" i="8" s="1"/>
  <c r="R28" i="8"/>
  <c r="M28" i="8"/>
  <c r="O27" i="8"/>
  <c r="P27" i="8" s="1"/>
  <c r="N27" i="8"/>
  <c r="AE26" i="4"/>
  <c r="AC27" i="4"/>
  <c r="AD27" i="4" s="1"/>
  <c r="AF25" i="4"/>
  <c r="AG25" i="4"/>
  <c r="AH25" i="4" s="1"/>
  <c r="K47" i="16"/>
  <c r="L25" i="16"/>
  <c r="K57" i="16"/>
  <c r="M47" i="6" l="1"/>
  <c r="O47" i="6" s="1"/>
  <c r="L44" i="7"/>
  <c r="M44" i="7" s="1"/>
  <c r="F9" i="24"/>
  <c r="F10" i="24" s="1"/>
  <c r="N43" i="7"/>
  <c r="O43" i="7"/>
  <c r="P43" i="7" s="1"/>
  <c r="O28" i="8"/>
  <c r="P28" i="8" s="1"/>
  <c r="N28" i="8"/>
  <c r="R29" i="8"/>
  <c r="K30" i="8"/>
  <c r="L30" i="8" s="1"/>
  <c r="M29" i="8"/>
  <c r="AC28" i="4"/>
  <c r="AD28" i="4" s="1"/>
  <c r="AE27" i="4"/>
  <c r="AG26" i="4"/>
  <c r="AH26" i="4" s="1"/>
  <c r="AF26" i="4"/>
  <c r="J83" i="16"/>
  <c r="I83" i="16"/>
  <c r="J84" i="16" l="1"/>
  <c r="N44" i="7"/>
  <c r="O44" i="7"/>
  <c r="P44" i="7" s="1"/>
  <c r="P8" i="7" s="1"/>
  <c r="P9" i="7" s="1"/>
  <c r="F7" i="13" s="1"/>
  <c r="D9" i="16" s="1"/>
  <c r="P47" i="6"/>
  <c r="Q47" i="6"/>
  <c r="R47" i="6" s="1"/>
  <c r="R11" i="6" s="1"/>
  <c r="O29" i="8"/>
  <c r="P29" i="8" s="1"/>
  <c r="N29" i="8"/>
  <c r="K31" i="8"/>
  <c r="L31" i="8" s="1"/>
  <c r="R30" i="8"/>
  <c r="M30" i="8"/>
  <c r="AF27" i="4"/>
  <c r="AG27" i="4"/>
  <c r="AH27" i="4" s="1"/>
  <c r="AE28" i="4"/>
  <c r="AC29" i="4"/>
  <c r="AD29" i="4" s="1"/>
  <c r="V17" i="4"/>
  <c r="R12" i="6" l="1"/>
  <c r="F11" i="13" s="1"/>
  <c r="T47" i="6"/>
  <c r="Q61" i="16"/>
  <c r="R61" i="16"/>
  <c r="R53" i="16"/>
  <c r="Q53" i="16"/>
  <c r="O30" i="8"/>
  <c r="P30" i="8" s="1"/>
  <c r="N30" i="8"/>
  <c r="K32" i="8"/>
  <c r="L32" i="8" s="1"/>
  <c r="R31" i="8"/>
  <c r="M31" i="8"/>
  <c r="AE29" i="4"/>
  <c r="AC30" i="4"/>
  <c r="AD30" i="4" s="1"/>
  <c r="AG28" i="4"/>
  <c r="AH28" i="4" s="1"/>
  <c r="AF28" i="4"/>
  <c r="U18" i="4"/>
  <c r="V18" i="4" s="1"/>
  <c r="W18" i="4" s="1"/>
  <c r="W17" i="4"/>
  <c r="X17" i="4" s="1"/>
  <c r="V16" i="4"/>
  <c r="W16" i="4" s="1"/>
  <c r="B15" i="16"/>
  <c r="I47" i="16"/>
  <c r="J47" i="16"/>
  <c r="J65" i="16"/>
  <c r="J57" i="16"/>
  <c r="N31" i="8" l="1"/>
  <c r="O31" i="8"/>
  <c r="P31" i="8" s="1"/>
  <c r="M32" i="8"/>
  <c r="K33" i="8"/>
  <c r="L33" i="8" s="1"/>
  <c r="R32" i="8"/>
  <c r="AE30" i="4"/>
  <c r="AC31" i="4"/>
  <c r="AD31" i="4" s="1"/>
  <c r="AD32" i="4" s="1"/>
  <c r="AD33" i="4" s="1"/>
  <c r="AD34" i="4" s="1"/>
  <c r="AD35" i="4" s="1"/>
  <c r="AD36" i="4" s="1"/>
  <c r="AD37" i="4" s="1"/>
  <c r="AD38" i="4" s="1"/>
  <c r="AD39" i="4" s="1"/>
  <c r="AD40" i="4" s="1"/>
  <c r="AD41" i="4" s="1"/>
  <c r="AD42" i="4" s="1"/>
  <c r="AD43" i="4" s="1"/>
  <c r="AD44" i="4" s="1"/>
  <c r="AD45" i="4" s="1"/>
  <c r="AD46" i="4" s="1"/>
  <c r="AF29" i="4"/>
  <c r="AG29" i="4"/>
  <c r="AH29" i="4" s="1"/>
  <c r="U19" i="4"/>
  <c r="J66" i="16"/>
  <c r="I66" i="16"/>
  <c r="I58" i="16"/>
  <c r="U20" i="4"/>
  <c r="V19" i="4"/>
  <c r="W19" i="4" s="1"/>
  <c r="J49" i="16"/>
  <c r="K49" i="16"/>
  <c r="J58" i="16"/>
  <c r="B16" i="16"/>
  <c r="K58" i="16"/>
  <c r="K66" i="16"/>
  <c r="Y18" i="4"/>
  <c r="Z18" i="4" s="1"/>
  <c r="Y16" i="4"/>
  <c r="Z16" i="4" s="1"/>
  <c r="X16" i="4"/>
  <c r="Y17" i="4"/>
  <c r="Z17" i="4" s="1"/>
  <c r="X18" i="4"/>
  <c r="J59" i="16"/>
  <c r="N32" i="8" l="1"/>
  <c r="O32" i="8"/>
  <c r="P32" i="8" s="1"/>
  <c r="M33" i="8"/>
  <c r="K34" i="8"/>
  <c r="L34" i="8" s="1"/>
  <c r="R33" i="8"/>
  <c r="AC32" i="4"/>
  <c r="AC33" i="4" s="1"/>
  <c r="AC34" i="4" s="1"/>
  <c r="AC35" i="4" s="1"/>
  <c r="AC36" i="4" s="1"/>
  <c r="AC37" i="4" s="1"/>
  <c r="AC38" i="4" s="1"/>
  <c r="AC39" i="4" s="1"/>
  <c r="AC40" i="4" s="1"/>
  <c r="AC41" i="4" s="1"/>
  <c r="AC42" i="4" s="1"/>
  <c r="AC43" i="4" s="1"/>
  <c r="AC44" i="4" s="1"/>
  <c r="AC45" i="4" s="1"/>
  <c r="AC46" i="4" s="1"/>
  <c r="AG30" i="4"/>
  <c r="AH30" i="4" s="1"/>
  <c r="AF30" i="4"/>
  <c r="I59" i="16"/>
  <c r="I67" i="16"/>
  <c r="V20" i="4"/>
  <c r="W20" i="4" s="1"/>
  <c r="U21" i="4"/>
  <c r="J67" i="16"/>
  <c r="K67" i="16"/>
  <c r="K59" i="16"/>
  <c r="X19" i="4"/>
  <c r="Y19" i="4"/>
  <c r="Z19" i="4" s="1"/>
  <c r="R34" i="8" l="1"/>
  <c r="M34" i="8"/>
  <c r="K35" i="8"/>
  <c r="L35" i="8" s="1"/>
  <c r="N33" i="8"/>
  <c r="O33" i="8"/>
  <c r="P33" i="8" s="1"/>
  <c r="AE31" i="4"/>
  <c r="X20" i="4"/>
  <c r="Y20" i="4"/>
  <c r="Z20" i="4" s="1"/>
  <c r="U22" i="4"/>
  <c r="V21" i="4"/>
  <c r="W21" i="4" s="1"/>
  <c r="J81" i="16"/>
  <c r="E13" i="22"/>
  <c r="J82" i="16" s="1"/>
  <c r="J12" i="22"/>
  <c r="K13" i="22"/>
  <c r="K14" i="22" s="1"/>
  <c r="J13" i="22"/>
  <c r="N34" i="8" l="1"/>
  <c r="O34" i="8"/>
  <c r="P34" i="8" s="1"/>
  <c r="K36" i="8"/>
  <c r="L36" i="8" s="1"/>
  <c r="M35" i="8"/>
  <c r="R35" i="8"/>
  <c r="AF31" i="4"/>
  <c r="AG31" i="4"/>
  <c r="AH31" i="4" s="1"/>
  <c r="AE32" i="4"/>
  <c r="V22" i="4"/>
  <c r="W22" i="4" s="1"/>
  <c r="U23" i="4"/>
  <c r="X21" i="4"/>
  <c r="Y21" i="4"/>
  <c r="Z21" i="4" s="1"/>
  <c r="J14" i="22"/>
  <c r="J92" i="16"/>
  <c r="K83" i="16"/>
  <c r="E12" i="22"/>
  <c r="M17" i="4"/>
  <c r="N17" i="4"/>
  <c r="O17" i="4" s="1"/>
  <c r="M4" i="4"/>
  <c r="V4" i="4" s="1"/>
  <c r="V6" i="4" s="1"/>
  <c r="M16" i="4"/>
  <c r="N16" i="4" s="1"/>
  <c r="H81" i="16"/>
  <c r="I92" i="16" s="1"/>
  <c r="I82" i="16"/>
  <c r="D79" i="16"/>
  <c r="E79" i="16" s="1"/>
  <c r="F79" i="16" s="1"/>
  <c r="G79" i="16" s="1"/>
  <c r="H79" i="16" s="1"/>
  <c r="C83" i="16"/>
  <c r="D83" i="16"/>
  <c r="E83" i="16"/>
  <c r="F83" i="16"/>
  <c r="F84" i="16" s="1"/>
  <c r="G83" i="16"/>
  <c r="H83" i="16"/>
  <c r="E19" i="21"/>
  <c r="F19" i="21"/>
  <c r="G19" i="21"/>
  <c r="E6" i="22"/>
  <c r="C82" i="16" s="1"/>
  <c r="E7" i="22"/>
  <c r="D82" i="16" s="1"/>
  <c r="E8" i="22"/>
  <c r="E82" i="16" s="1"/>
  <c r="E9" i="22"/>
  <c r="F82" i="16" s="1"/>
  <c r="E10" i="22"/>
  <c r="G82" i="16"/>
  <c r="E11" i="22"/>
  <c r="H82" i="16" s="1"/>
  <c r="AH31" i="16"/>
  <c r="AH32" i="16"/>
  <c r="AH33" i="16"/>
  <c r="AH38" i="16"/>
  <c r="AH46" i="16"/>
  <c r="AW10" i="16"/>
  <c r="AX10" i="16"/>
  <c r="AW11" i="16"/>
  <c r="AW12" i="16"/>
  <c r="AX12" i="16"/>
  <c r="AV13" i="16"/>
  <c r="AV14" i="16"/>
  <c r="AW14" i="16"/>
  <c r="J88" i="16"/>
  <c r="D81" i="16"/>
  <c r="E81" i="16"/>
  <c r="E87" i="16" s="1"/>
  <c r="F81" i="16"/>
  <c r="F87" i="16" s="1"/>
  <c r="G81" i="16"/>
  <c r="G87" i="16" s="1"/>
  <c r="C81" i="16"/>
  <c r="I87" i="16"/>
  <c r="AL9" i="16"/>
  <c r="AL10" i="16" s="1"/>
  <c r="J79" i="16"/>
  <c r="K79" i="16" s="1"/>
  <c r="L79" i="16" s="1"/>
  <c r="M79" i="16" s="1"/>
  <c r="N79" i="16" s="1"/>
  <c r="O79" i="16" s="1"/>
  <c r="P79" i="16" s="1"/>
  <c r="Q79" i="16" s="1"/>
  <c r="R79" i="16" s="1"/>
  <c r="S79" i="16" s="1"/>
  <c r="T79" i="16" s="1"/>
  <c r="U79" i="16" s="1"/>
  <c r="V79" i="16" s="1"/>
  <c r="W79" i="16" s="1"/>
  <c r="X79" i="16" s="1"/>
  <c r="Y79" i="16" s="1"/>
  <c r="Z79" i="16" s="1"/>
  <c r="AA79" i="16" s="1"/>
  <c r="AB79" i="16" s="1"/>
  <c r="AC79" i="16" s="1"/>
  <c r="AD79" i="16" s="1"/>
  <c r="AE79" i="16" s="1"/>
  <c r="AF79" i="16" s="1"/>
  <c r="AN84" i="16"/>
  <c r="AN85" i="16" s="1"/>
  <c r="AN86" i="16" s="1"/>
  <c r="AN87" i="16" s="1"/>
  <c r="AN88" i="16" s="1"/>
  <c r="C16" i="4"/>
  <c r="E16" i="4" s="1"/>
  <c r="F16" i="4" s="1"/>
  <c r="B17" i="4"/>
  <c r="C14" i="7"/>
  <c r="E14" i="7" s="1"/>
  <c r="F14" i="7" s="1"/>
  <c r="B15" i="7"/>
  <c r="C15" i="7" s="1"/>
  <c r="A16" i="7"/>
  <c r="H16" i="7" s="1"/>
  <c r="J7" i="12"/>
  <c r="F9" i="12"/>
  <c r="F10" i="12"/>
  <c r="F11" i="12"/>
  <c r="B15" i="8"/>
  <c r="C15" i="8" s="1"/>
  <c r="B16" i="8"/>
  <c r="C16" i="8" s="1"/>
  <c r="AB25" i="10" s="1"/>
  <c r="AI25" i="10" s="1"/>
  <c r="A17" i="8"/>
  <c r="A18" i="8" s="1"/>
  <c r="B17" i="6"/>
  <c r="D17" i="6" s="1"/>
  <c r="B32" i="9"/>
  <c r="B33" i="9" s="1"/>
  <c r="G33" i="9" s="1"/>
  <c r="C67" i="9" s="1"/>
  <c r="C81" i="9" s="1"/>
  <c r="C82" i="9" s="1"/>
  <c r="C83" i="9" s="1"/>
  <c r="N12" i="9"/>
  <c r="N13" i="9" s="1"/>
  <c r="N14" i="9" s="1"/>
  <c r="N15" i="9" s="1"/>
  <c r="N16" i="9" s="1"/>
  <c r="N17" i="9" s="1"/>
  <c r="N18" i="9" s="1"/>
  <c r="N19" i="9" s="1"/>
  <c r="N20" i="9" s="1"/>
  <c r="N21" i="9" s="1"/>
  <c r="N22" i="9" s="1"/>
  <c r="N23" i="9" s="1"/>
  <c r="N24" i="9" s="1"/>
  <c r="N25" i="9" s="1"/>
  <c r="N26" i="9" s="1"/>
  <c r="N27" i="9" s="1"/>
  <c r="N28" i="9" s="1"/>
  <c r="N29" i="9" s="1"/>
  <c r="N30" i="9" s="1"/>
  <c r="N31" i="9" s="1"/>
  <c r="N32" i="9" s="1"/>
  <c r="N33" i="9" s="1"/>
  <c r="N34" i="9" s="1"/>
  <c r="N35" i="9" s="1"/>
  <c r="N36" i="9" s="1"/>
  <c r="N37" i="9" s="1"/>
  <c r="N38" i="9" s="1"/>
  <c r="N39" i="9" s="1"/>
  <c r="N40" i="9" s="1"/>
  <c r="K15" i="16"/>
  <c r="L15" i="16" s="1"/>
  <c r="M15" i="16" s="1"/>
  <c r="N15" i="16" s="1"/>
  <c r="O15" i="16" s="1"/>
  <c r="E32" i="21"/>
  <c r="E33" i="21"/>
  <c r="F33" i="21" s="1"/>
  <c r="H33" i="21" s="1"/>
  <c r="G35" i="21"/>
  <c r="D34" i="21"/>
  <c r="D35" i="21" s="1"/>
  <c r="D71" i="16"/>
  <c r="E71" i="16" s="1"/>
  <c r="F71" i="16" s="1"/>
  <c r="G71" i="16" s="1"/>
  <c r="H71" i="16" s="1"/>
  <c r="I71" i="16" s="1"/>
  <c r="J71" i="16" s="1"/>
  <c r="K71" i="16" s="1"/>
  <c r="L71" i="16" s="1"/>
  <c r="M71" i="16" s="1"/>
  <c r="N71" i="16" s="1"/>
  <c r="O71" i="16" s="1"/>
  <c r="P71" i="16" s="1"/>
  <c r="Q71" i="16" s="1"/>
  <c r="R71" i="16" s="1"/>
  <c r="S71" i="16" s="1"/>
  <c r="T71" i="16" s="1"/>
  <c r="U71" i="16" s="1"/>
  <c r="V71" i="16" s="1"/>
  <c r="W71" i="16" s="1"/>
  <c r="X71" i="16" s="1"/>
  <c r="Y71" i="16" s="1"/>
  <c r="Z71" i="16" s="1"/>
  <c r="AA71" i="16" s="1"/>
  <c r="AB71" i="16" s="1"/>
  <c r="AC71" i="16" s="1"/>
  <c r="AD71" i="16" s="1"/>
  <c r="AE71" i="16" s="1"/>
  <c r="AF71" i="16" s="1"/>
  <c r="D98" i="16"/>
  <c r="E98" i="16" s="1"/>
  <c r="F98" i="16" s="1"/>
  <c r="G98" i="16" s="1"/>
  <c r="H98" i="16" s="1"/>
  <c r="I98" i="16" s="1"/>
  <c r="J98" i="16" s="1"/>
  <c r="K98" i="16" s="1"/>
  <c r="L98" i="16" s="1"/>
  <c r="M98" i="16" s="1"/>
  <c r="N98" i="16" s="1"/>
  <c r="O98" i="16" s="1"/>
  <c r="P98" i="16" s="1"/>
  <c r="Q98" i="16" s="1"/>
  <c r="R98" i="16" s="1"/>
  <c r="S98" i="16" s="1"/>
  <c r="T98" i="16" s="1"/>
  <c r="U98" i="16" s="1"/>
  <c r="V98" i="16" s="1"/>
  <c r="W98" i="16" s="1"/>
  <c r="X98" i="16" s="1"/>
  <c r="Y98" i="16" s="1"/>
  <c r="Z98" i="16" s="1"/>
  <c r="AA98" i="16" s="1"/>
  <c r="AB98" i="16" s="1"/>
  <c r="AC98" i="16" s="1"/>
  <c r="AD98" i="16" s="1"/>
  <c r="AE98" i="16" s="1"/>
  <c r="AF98" i="16" s="1"/>
  <c r="E44" i="21"/>
  <c r="E45" i="21"/>
  <c r="F45" i="21" s="1"/>
  <c r="H45" i="21" s="1"/>
  <c r="G46" i="21"/>
  <c r="D46" i="21"/>
  <c r="C10" i="23"/>
  <c r="C12" i="23" s="1"/>
  <c r="C13" i="23" s="1"/>
  <c r="K6" i="13"/>
  <c r="K5" i="13"/>
  <c r="J9" i="13"/>
  <c r="E31" i="21"/>
  <c r="F31" i="21" s="1"/>
  <c r="H31" i="21" s="1"/>
  <c r="C14" i="21"/>
  <c r="E24" i="21"/>
  <c r="F24" i="21" s="1"/>
  <c r="H24" i="21" s="1"/>
  <c r="D25" i="21"/>
  <c r="E25" i="21"/>
  <c r="E23" i="21"/>
  <c r="F23" i="21" s="1"/>
  <c r="H23" i="21" s="1"/>
  <c r="E20" i="21"/>
  <c r="F20" i="21" s="1"/>
  <c r="G20" i="21"/>
  <c r="G21" i="21"/>
  <c r="G22" i="21"/>
  <c r="G25" i="21"/>
  <c r="F21" i="21"/>
  <c r="F22" i="21"/>
  <c r="D22" i="21"/>
  <c r="D21" i="21"/>
  <c r="D51" i="16"/>
  <c r="E51" i="16" s="1"/>
  <c r="F51" i="16" s="1"/>
  <c r="G51" i="16" s="1"/>
  <c r="H51" i="16" s="1"/>
  <c r="I51" i="16" s="1"/>
  <c r="J51" i="16" s="1"/>
  <c r="K51" i="16" s="1"/>
  <c r="L51" i="16" s="1"/>
  <c r="M51" i="16" s="1"/>
  <c r="N51" i="16" s="1"/>
  <c r="O51" i="16" s="1"/>
  <c r="P51" i="16" s="1"/>
  <c r="Q51" i="16" s="1"/>
  <c r="R51" i="16" s="1"/>
  <c r="S51" i="16" s="1"/>
  <c r="T51" i="16" s="1"/>
  <c r="U51" i="16" s="1"/>
  <c r="V51" i="16" s="1"/>
  <c r="W51" i="16" s="1"/>
  <c r="X51" i="16" s="1"/>
  <c r="Y51" i="16" s="1"/>
  <c r="Z51" i="16" s="1"/>
  <c r="AA51" i="16" s="1"/>
  <c r="AB51" i="16" s="1"/>
  <c r="AC51" i="16" s="1"/>
  <c r="AD51" i="16" s="1"/>
  <c r="AE51" i="16" s="1"/>
  <c r="AF51" i="16" s="1"/>
  <c r="J19" i="16"/>
  <c r="K19" i="16" s="1"/>
  <c r="L19" i="16" s="1"/>
  <c r="M19" i="16" s="1"/>
  <c r="N19" i="16" s="1"/>
  <c r="O19" i="16" s="1"/>
  <c r="P19" i="16" s="1"/>
  <c r="Q19" i="16" s="1"/>
  <c r="R19" i="16" s="1"/>
  <c r="S19" i="16" s="1"/>
  <c r="T19" i="16" s="1"/>
  <c r="U19" i="16" s="1"/>
  <c r="V19" i="16" s="1"/>
  <c r="W19" i="16" s="1"/>
  <c r="X19" i="16" s="1"/>
  <c r="Y19" i="16" s="1"/>
  <c r="Z19" i="16" s="1"/>
  <c r="AA19" i="16" s="1"/>
  <c r="AB19" i="16" s="1"/>
  <c r="AC19" i="16" s="1"/>
  <c r="AD19" i="16" s="1"/>
  <c r="AE19" i="16" s="1"/>
  <c r="AF19" i="16" s="1"/>
  <c r="O17" i="10"/>
  <c r="P17" i="10" s="1"/>
  <c r="P16" i="10"/>
  <c r="AA25" i="10" s="1"/>
  <c r="O15" i="10"/>
  <c r="O14" i="10"/>
  <c r="Z26" i="10"/>
  <c r="Z27" i="10" s="1"/>
  <c r="Z28" i="10" s="1"/>
  <c r="Z29" i="10" s="1"/>
  <c r="Z30" i="10" s="1"/>
  <c r="Z31" i="10" s="1"/>
  <c r="Z32" i="10" s="1"/>
  <c r="Z33" i="10" s="1"/>
  <c r="Z34" i="10" s="1"/>
  <c r="Z35" i="10" s="1"/>
  <c r="Z36" i="10" s="1"/>
  <c r="Z37" i="10" s="1"/>
  <c r="Z38" i="10" s="1"/>
  <c r="Z39" i="10" s="1"/>
  <c r="Z40" i="10" s="1"/>
  <c r="Z41" i="10" s="1"/>
  <c r="Z42" i="10" s="1"/>
  <c r="Z43" i="10" s="1"/>
  <c r="Z44" i="10" s="1"/>
  <c r="Z45" i="10" s="1"/>
  <c r="Z46" i="10" s="1"/>
  <c r="Z47" i="10" s="1"/>
  <c r="Z48" i="10" s="1"/>
  <c r="Z49" i="10" s="1"/>
  <c r="Z50" i="10" s="1"/>
  <c r="Z51" i="10" s="1"/>
  <c r="Z52" i="10" s="1"/>
  <c r="Z53" i="10" s="1"/>
  <c r="Z54" i="10" s="1"/>
  <c r="AG50" i="10"/>
  <c r="AG51" i="10"/>
  <c r="AG52" i="10"/>
  <c r="AG53" i="10"/>
  <c r="AG54" i="10"/>
  <c r="H15" i="7"/>
  <c r="H17" i="8"/>
  <c r="H18" i="8"/>
  <c r="H16" i="8"/>
  <c r="A20" i="5"/>
  <c r="H19" i="5"/>
  <c r="B3" i="6"/>
  <c r="P73" i="9" s="1"/>
  <c r="P74" i="9" s="1"/>
  <c r="P75" i="9" s="1"/>
  <c r="P76" i="9" s="1"/>
  <c r="P77" i="9" s="1"/>
  <c r="P78" i="9" s="1"/>
  <c r="P79" i="9" s="1"/>
  <c r="P80" i="9" s="1"/>
  <c r="P81" i="9" s="1"/>
  <c r="P82" i="9" s="1"/>
  <c r="P83" i="9" s="1"/>
  <c r="P84" i="9" s="1"/>
  <c r="P85" i="9" s="1"/>
  <c r="P86" i="9" s="1"/>
  <c r="P87" i="9" s="1"/>
  <c r="O74" i="9"/>
  <c r="O75" i="9" s="1"/>
  <c r="O76" i="9" s="1"/>
  <c r="O77" i="9" s="1"/>
  <c r="O78" i="9" s="1"/>
  <c r="O79" i="9" s="1"/>
  <c r="O80" i="9" s="1"/>
  <c r="O81" i="9" s="1"/>
  <c r="O82" i="9" s="1"/>
  <c r="O83" i="9" s="1"/>
  <c r="O84" i="9" s="1"/>
  <c r="O85" i="9" s="1"/>
  <c r="O86" i="9" s="1"/>
  <c r="O87" i="9" s="1"/>
  <c r="O88" i="9" s="1"/>
  <c r="O89" i="9" s="1"/>
  <c r="O90" i="9" s="1"/>
  <c r="O91" i="9" s="1"/>
  <c r="O92" i="9" s="1"/>
  <c r="O93" i="9" s="1"/>
  <c r="O94" i="9" s="1"/>
  <c r="O95" i="9" s="1"/>
  <c r="O96" i="9" s="1"/>
  <c r="O97" i="9" s="1"/>
  <c r="O98" i="9" s="1"/>
  <c r="O99" i="9" s="1"/>
  <c r="O100" i="9" s="1"/>
  <c r="O101" i="9" s="1"/>
  <c r="O102" i="9" s="1"/>
  <c r="A19" i="6"/>
  <c r="I18" i="6"/>
  <c r="AF43" i="9"/>
  <c r="L18" i="4"/>
  <c r="M18" i="4" s="1"/>
  <c r="N18" i="4" s="1"/>
  <c r="BG14" i="3"/>
  <c r="BG15" i="3"/>
  <c r="BG16" i="3"/>
  <c r="BI16" i="3"/>
  <c r="BJ16" i="3" s="1"/>
  <c r="BK16" i="3"/>
  <c r="AU17" i="3"/>
  <c r="AU18" i="3" s="1"/>
  <c r="AU19" i="3" s="1"/>
  <c r="AU20" i="3" s="1"/>
  <c r="AU21" i="3" s="1"/>
  <c r="AU22" i="3" s="1"/>
  <c r="AU23" i="3" s="1"/>
  <c r="AU24" i="3" s="1"/>
  <c r="AU25" i="3" s="1"/>
  <c r="AU26" i="3" s="1"/>
  <c r="AU27" i="3" s="1"/>
  <c r="AU28" i="3" s="1"/>
  <c r="AU29" i="3" s="1"/>
  <c r="AU30" i="3" s="1"/>
  <c r="AU31" i="3" s="1"/>
  <c r="AU32" i="3" s="1"/>
  <c r="AU33" i="3" s="1"/>
  <c r="AU34" i="3" s="1"/>
  <c r="AU35" i="3" s="1"/>
  <c r="AU36" i="3" s="1"/>
  <c r="AU37" i="3" s="1"/>
  <c r="AU38" i="3" s="1"/>
  <c r="AU39" i="3" s="1"/>
  <c r="AU40" i="3" s="1"/>
  <c r="AU41" i="3" s="1"/>
  <c r="AU42" i="3" s="1"/>
  <c r="AU43" i="3" s="1"/>
  <c r="AU44" i="3" s="1"/>
  <c r="AU45" i="3" s="1"/>
  <c r="AU46" i="3" s="1"/>
  <c r="BG17" i="3"/>
  <c r="BH17" i="3"/>
  <c r="BH18" i="3" s="1"/>
  <c r="AT18" i="3"/>
  <c r="AT19" i="3" s="1"/>
  <c r="AT20" i="3" s="1"/>
  <c r="AT21" i="3" s="1"/>
  <c r="AT22" i="3" s="1"/>
  <c r="AT23" i="3" s="1"/>
  <c r="AT24" i="3" s="1"/>
  <c r="AT25" i="3" s="1"/>
  <c r="AT26" i="3" s="1"/>
  <c r="AT27" i="3" s="1"/>
  <c r="AT28" i="3" s="1"/>
  <c r="AT29" i="3" s="1"/>
  <c r="AT30" i="3" s="1"/>
  <c r="AT31" i="3" s="1"/>
  <c r="AT32" i="3" s="1"/>
  <c r="AT33" i="3" s="1"/>
  <c r="AT34" i="3" s="1"/>
  <c r="AT35" i="3" s="1"/>
  <c r="AT36" i="3" s="1"/>
  <c r="AT37" i="3" s="1"/>
  <c r="AT38" i="3" s="1"/>
  <c r="AT39" i="3" s="1"/>
  <c r="AT40" i="3" s="1"/>
  <c r="AT41" i="3" s="1"/>
  <c r="AT42" i="3" s="1"/>
  <c r="AT43" i="3" s="1"/>
  <c r="AT44" i="3" s="1"/>
  <c r="AT45" i="3" s="1"/>
  <c r="AT46" i="3" s="1"/>
  <c r="A18" i="4"/>
  <c r="BG18" i="3" s="1"/>
  <c r="H17" i="4"/>
  <c r="G75" i="22"/>
  <c r="E75" i="22"/>
  <c r="F75" i="22"/>
  <c r="D75" i="22"/>
  <c r="I74" i="22"/>
  <c r="H74" i="22"/>
  <c r="I73" i="22"/>
  <c r="H73" i="22"/>
  <c r="I72" i="22"/>
  <c r="H72" i="22"/>
  <c r="I71" i="22"/>
  <c r="H71" i="22"/>
  <c r="D29" i="16"/>
  <c r="E29" i="16" s="1"/>
  <c r="F29" i="16" s="1"/>
  <c r="G29" i="16" s="1"/>
  <c r="H29" i="16" s="1"/>
  <c r="I29" i="16" s="1"/>
  <c r="J29" i="16" s="1"/>
  <c r="K29" i="16" s="1"/>
  <c r="L29" i="16" s="1"/>
  <c r="M29" i="16" s="1"/>
  <c r="N29" i="16" s="1"/>
  <c r="O29" i="16" s="1"/>
  <c r="P29" i="16" s="1"/>
  <c r="Q29" i="16" s="1"/>
  <c r="R29" i="16" s="1"/>
  <c r="S29" i="16" s="1"/>
  <c r="T29" i="16" s="1"/>
  <c r="U29" i="16" s="1"/>
  <c r="V29" i="16" s="1"/>
  <c r="W29" i="16" s="1"/>
  <c r="X29" i="16" s="1"/>
  <c r="Y29" i="16" s="1"/>
  <c r="Z29" i="16" s="1"/>
  <c r="AA29" i="16" s="1"/>
  <c r="AB29" i="16" s="1"/>
  <c r="AC29" i="16" s="1"/>
  <c r="AD29" i="16" s="1"/>
  <c r="AE29" i="16" s="1"/>
  <c r="AF29" i="16" s="1"/>
  <c r="V1" i="13"/>
  <c r="T3" i="13"/>
  <c r="X14" i="7"/>
  <c r="Y14" i="7" s="1"/>
  <c r="AF15" i="7"/>
  <c r="AM15" i="7" s="1"/>
  <c r="AE15" i="7"/>
  <c r="AE16" i="7" s="1"/>
  <c r="AE17" i="7" s="1"/>
  <c r="AE18" i="7" s="1"/>
  <c r="AE19" i="7" s="1"/>
  <c r="AE20" i="7" s="1"/>
  <c r="AE21" i="7" s="1"/>
  <c r="AE22" i="7" s="1"/>
  <c r="AE23" i="7" s="1"/>
  <c r="AE24" i="7" s="1"/>
  <c r="AE25" i="7" s="1"/>
  <c r="AE26" i="7" s="1"/>
  <c r="AE27" i="7" s="1"/>
  <c r="AE28" i="7" s="1"/>
  <c r="AE29" i="7" s="1"/>
  <c r="AE30" i="7" s="1"/>
  <c r="AE31" i="7" s="1"/>
  <c r="AE32" i="7" s="1"/>
  <c r="AE33" i="7" s="1"/>
  <c r="AE34" i="7" s="1"/>
  <c r="AE35" i="7" s="1"/>
  <c r="AE36" i="7" s="1"/>
  <c r="AE37" i="7" s="1"/>
  <c r="AE38" i="7" s="1"/>
  <c r="AE39" i="7" s="1"/>
  <c r="AE40" i="7" s="1"/>
  <c r="AE41" i="7" s="1"/>
  <c r="AE42" i="7" s="1"/>
  <c r="AE43" i="7" s="1"/>
  <c r="AE44" i="7" s="1"/>
  <c r="AD16" i="7"/>
  <c r="AD17" i="7" s="1"/>
  <c r="AD18" i="7" s="1"/>
  <c r="AD19" i="7" s="1"/>
  <c r="AD20" i="7" s="1"/>
  <c r="AD21" i="7" s="1"/>
  <c r="AD22" i="7" s="1"/>
  <c r="AD23" i="7" s="1"/>
  <c r="AD24" i="7" s="1"/>
  <c r="AD25" i="7" s="1"/>
  <c r="AD26" i="7" s="1"/>
  <c r="AD27" i="7" s="1"/>
  <c r="AD28" i="7" s="1"/>
  <c r="AD29" i="7" s="1"/>
  <c r="AD30" i="7" s="1"/>
  <c r="AD31" i="7" s="1"/>
  <c r="AD32" i="7" s="1"/>
  <c r="AD33" i="7" s="1"/>
  <c r="AD34" i="7" s="1"/>
  <c r="AD35" i="7" s="1"/>
  <c r="AD36" i="7" s="1"/>
  <c r="AD37" i="7" s="1"/>
  <c r="AD38" i="7" s="1"/>
  <c r="AD39" i="7" s="1"/>
  <c r="AD40" i="7" s="1"/>
  <c r="AD41" i="7" s="1"/>
  <c r="AD42" i="7" s="1"/>
  <c r="AD43" i="7" s="1"/>
  <c r="AD44" i="7" s="1"/>
  <c r="AS15" i="7"/>
  <c r="AR15" i="7"/>
  <c r="AQ15" i="7"/>
  <c r="D15" i="7"/>
  <c r="V15" i="7"/>
  <c r="W15" i="7" s="1"/>
  <c r="AS14" i="7"/>
  <c r="AR14" i="7"/>
  <c r="AQ14" i="7"/>
  <c r="AQ13" i="7"/>
  <c r="AQ12" i="7"/>
  <c r="X24" i="5"/>
  <c r="X25" i="5" s="1"/>
  <c r="X26" i="5" s="1"/>
  <c r="X27" i="5" s="1"/>
  <c r="X28" i="5" s="1"/>
  <c r="X29" i="5" s="1"/>
  <c r="X30" i="5" s="1"/>
  <c r="X31" i="5" s="1"/>
  <c r="X32" i="5" s="1"/>
  <c r="X33" i="5" s="1"/>
  <c r="X34" i="5" s="1"/>
  <c r="X35" i="5" s="1"/>
  <c r="X36" i="5" s="1"/>
  <c r="X37" i="5" s="1"/>
  <c r="X38" i="5" s="1"/>
  <c r="X39" i="5" s="1"/>
  <c r="X40" i="5" s="1"/>
  <c r="X41" i="5" s="1"/>
  <c r="X42" i="5" s="1"/>
  <c r="X43" i="5" s="1"/>
  <c r="X44" i="5" s="1"/>
  <c r="X45" i="5" s="1"/>
  <c r="X46" i="5" s="1"/>
  <c r="X47" i="5" s="1"/>
  <c r="X48" i="5" s="1"/>
  <c r="X49" i="5" s="1"/>
  <c r="X50" i="5" s="1"/>
  <c r="X51" i="5" s="1"/>
  <c r="X52" i="5" s="1"/>
  <c r="C17" i="6"/>
  <c r="I9" i="11"/>
  <c r="I10" i="11"/>
  <c r="I11" i="11"/>
  <c r="I12" i="11"/>
  <c r="I13" i="11"/>
  <c r="I14" i="11"/>
  <c r="I8" i="11"/>
  <c r="F14" i="11"/>
  <c r="F13" i="11"/>
  <c r="H9" i="11"/>
  <c r="H10" i="11"/>
  <c r="H8" i="11"/>
  <c r="M13" i="11"/>
  <c r="U13" i="11" s="1"/>
  <c r="M14" i="11"/>
  <c r="U14" i="11" s="1"/>
  <c r="M15" i="11"/>
  <c r="U15" i="11" s="1"/>
  <c r="M16" i="11"/>
  <c r="M17" i="11"/>
  <c r="U17" i="11" s="1"/>
  <c r="M18" i="11"/>
  <c r="U18" i="11" s="1"/>
  <c r="M19" i="11"/>
  <c r="U19" i="11" s="1"/>
  <c r="M20" i="11"/>
  <c r="M12" i="11"/>
  <c r="U12" i="11" s="1"/>
  <c r="R14" i="11"/>
  <c r="AA14" i="11" s="1"/>
  <c r="R18" i="11"/>
  <c r="AA18" i="11" s="1"/>
  <c r="AA12" i="11"/>
  <c r="F9" i="11"/>
  <c r="F10" i="11"/>
  <c r="F11" i="11"/>
  <c r="F12" i="11"/>
  <c r="F8" i="11"/>
  <c r="Q14" i="11"/>
  <c r="W14" i="11" s="1"/>
  <c r="T17" i="11"/>
  <c r="S17" i="11"/>
  <c r="P12" i="11"/>
  <c r="P13" i="11"/>
  <c r="P14" i="11"/>
  <c r="P15" i="11"/>
  <c r="P16" i="11"/>
  <c r="P17" i="11"/>
  <c r="P18" i="11"/>
  <c r="P19" i="11"/>
  <c r="P20" i="11"/>
  <c r="P11" i="11"/>
  <c r="N13" i="11"/>
  <c r="N14" i="11"/>
  <c r="N15" i="11"/>
  <c r="N16" i="11"/>
  <c r="N17" i="11"/>
  <c r="N18" i="11"/>
  <c r="N19" i="11"/>
  <c r="N12" i="11"/>
  <c r="L19" i="12"/>
  <c r="L20" i="12" s="1"/>
  <c r="L21" i="12" s="1"/>
  <c r="L22" i="12" s="1"/>
  <c r="G8" i="12"/>
  <c r="G9" i="12" s="1"/>
  <c r="G10" i="12" s="1"/>
  <c r="G11" i="12" s="1"/>
  <c r="G12" i="12" s="1"/>
  <c r="G13" i="12" s="1"/>
  <c r="G14" i="12" s="1"/>
  <c r="G15" i="12" s="1"/>
  <c r="G16" i="12" s="1"/>
  <c r="G17" i="12" s="1"/>
  <c r="G18" i="12" s="1"/>
  <c r="G19" i="12" s="1"/>
  <c r="G20" i="12" s="1"/>
  <c r="G21" i="12" s="1"/>
  <c r="G22" i="12" s="1"/>
  <c r="G23" i="12" s="1"/>
  <c r="I20" i="12"/>
  <c r="I21" i="12" s="1"/>
  <c r="I22" i="12" s="1"/>
  <c r="I23" i="12" s="1"/>
  <c r="I24" i="12" s="1"/>
  <c r="I25" i="12" s="1"/>
  <c r="I26" i="12" s="1"/>
  <c r="I27" i="12" s="1"/>
  <c r="I28" i="12" s="1"/>
  <c r="I29" i="12" s="1"/>
  <c r="I30" i="12" s="1"/>
  <c r="I31" i="12" s="1"/>
  <c r="I32" i="12" s="1"/>
  <c r="I33" i="12" s="1"/>
  <c r="I34" i="12" s="1"/>
  <c r="I35" i="12" s="1"/>
  <c r="I36" i="12" s="1"/>
  <c r="I37" i="12" s="1"/>
  <c r="C19" i="12"/>
  <c r="C20" i="12" s="1"/>
  <c r="C21" i="12" s="1"/>
  <c r="C22" i="12" s="1"/>
  <c r="C23" i="12" s="1"/>
  <c r="E3" i="12"/>
  <c r="E8" i="12" s="1"/>
  <c r="E9" i="12" s="1"/>
  <c r="E10" i="12" s="1"/>
  <c r="E11" i="12" s="1"/>
  <c r="R9" i="9"/>
  <c r="AA9" i="9" s="1"/>
  <c r="N17" i="6" s="1"/>
  <c r="Y9" i="9"/>
  <c r="X9" i="9"/>
  <c r="T9" i="9"/>
  <c r="Q9" i="9"/>
  <c r="E80" i="9"/>
  <c r="B82" i="9"/>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D30" i="9"/>
  <c r="C30" i="9"/>
  <c r="C31" i="9" s="1"/>
  <c r="D15" i="9"/>
  <c r="D13" i="9"/>
  <c r="C13" i="9"/>
  <c r="D9" i="9"/>
  <c r="C9" i="9"/>
  <c r="C7" i="9"/>
  <c r="D7" i="9"/>
  <c r="D27" i="3"/>
  <c r="D28" i="3" s="1"/>
  <c r="D29" i="3" s="1"/>
  <c r="D30" i="3" s="1"/>
  <c r="D31" i="3" s="1"/>
  <c r="D26" i="3"/>
  <c r="D25" i="3"/>
  <c r="Q16" i="3"/>
  <c r="Q17" i="3" s="1"/>
  <c r="Q18" i="3" s="1"/>
  <c r="Q19" i="3" s="1"/>
  <c r="Q20" i="3" s="1"/>
  <c r="Q21" i="3" s="1"/>
  <c r="Q22" i="3" s="1"/>
  <c r="Q23" i="3" s="1"/>
  <c r="Q24" i="3" s="1"/>
  <c r="Q25" i="3" s="1"/>
  <c r="L79" i="3"/>
  <c r="AG55" i="3"/>
  <c r="AI56" i="3" s="1"/>
  <c r="AA54" i="3"/>
  <c r="AC56" i="3" s="1"/>
  <c r="AL15" i="3"/>
  <c r="AM15" i="3" s="1"/>
  <c r="AO15" i="3" s="1"/>
  <c r="AG16" i="3"/>
  <c r="AG17" i="3" s="1"/>
  <c r="AG18" i="3" s="1"/>
  <c r="AL18" i="3" s="1"/>
  <c r="AM18" i="3" s="1"/>
  <c r="AO18" i="3" s="1"/>
  <c r="AH15" i="3"/>
  <c r="AI15" i="3" s="1"/>
  <c r="AJ15" i="3" s="1"/>
  <c r="AJ51" i="3" s="1"/>
  <c r="AF17" i="3"/>
  <c r="AF18" i="3" s="1"/>
  <c r="AF19" i="3" s="1"/>
  <c r="AF20" i="3" s="1"/>
  <c r="AF21" i="3" s="1"/>
  <c r="AF22" i="3" s="1"/>
  <c r="AF23" i="3" s="1"/>
  <c r="AF24" i="3" s="1"/>
  <c r="AF25" i="3" s="1"/>
  <c r="AF26" i="3" s="1"/>
  <c r="AF27" i="3" s="1"/>
  <c r="AF28" i="3" s="1"/>
  <c r="AF29" i="3" s="1"/>
  <c r="AF30" i="3" s="1"/>
  <c r="AF31" i="3" s="1"/>
  <c r="AF32" i="3" s="1"/>
  <c r="AF33" i="3" s="1"/>
  <c r="AF34" i="3" s="1"/>
  <c r="AF35" i="3" s="1"/>
  <c r="AF36" i="3" s="1"/>
  <c r="AF37" i="3" s="1"/>
  <c r="AF38" i="3" s="1"/>
  <c r="AF39" i="3" s="1"/>
  <c r="AF40" i="3" s="1"/>
  <c r="AF41" i="3" s="1"/>
  <c r="AF42" i="3" s="1"/>
  <c r="AF43" i="3" s="1"/>
  <c r="AF44" i="3" s="1"/>
  <c r="AF45" i="3" s="1"/>
  <c r="M17" i="3"/>
  <c r="M18" i="3" s="1"/>
  <c r="M19" i="3" s="1"/>
  <c r="M20" i="3" s="1"/>
  <c r="M21" i="3" s="1"/>
  <c r="O21" i="3" s="1"/>
  <c r="Z21" i="3" s="1"/>
  <c r="X17" i="3"/>
  <c r="X18" i="3" s="1"/>
  <c r="X19" i="3" s="1"/>
  <c r="X20" i="3" s="1"/>
  <c r="X21" i="3" s="1"/>
  <c r="X22" i="3" s="1"/>
  <c r="X23" i="3" s="1"/>
  <c r="X24" i="3" s="1"/>
  <c r="X25" i="3" s="1"/>
  <c r="X26" i="3" s="1"/>
  <c r="X27" i="3" s="1"/>
  <c r="X28" i="3" s="1"/>
  <c r="X29" i="3" s="1"/>
  <c r="X30" i="3" s="1"/>
  <c r="X31" i="3" s="1"/>
  <c r="X32" i="3" s="1"/>
  <c r="X33" i="3" s="1"/>
  <c r="X34" i="3" s="1"/>
  <c r="X35" i="3" s="1"/>
  <c r="X36" i="3" s="1"/>
  <c r="X37" i="3" s="1"/>
  <c r="X38" i="3" s="1"/>
  <c r="X39" i="3" s="1"/>
  <c r="X40" i="3" s="1"/>
  <c r="X41" i="3" s="1"/>
  <c r="X42" i="3" s="1"/>
  <c r="X43" i="3" s="1"/>
  <c r="X44" i="3" s="1"/>
  <c r="X45" i="3" s="1"/>
  <c r="AB21" i="3"/>
  <c r="N18" i="3"/>
  <c r="Y18" i="3" s="1"/>
  <c r="P18" i="3"/>
  <c r="AA18" i="3" s="1"/>
  <c r="N17" i="3"/>
  <c r="L17" i="3" s="1"/>
  <c r="N16" i="3"/>
  <c r="AQ16" i="3"/>
  <c r="P16" i="3"/>
  <c r="AA16" i="3" s="1"/>
  <c r="O16" i="3"/>
  <c r="Z16" i="3" s="1"/>
  <c r="Y16" i="3"/>
  <c r="N15" i="3"/>
  <c r="Y15" i="3" s="1"/>
  <c r="AQ15" i="3"/>
  <c r="AB15" i="3"/>
  <c r="P15" i="3"/>
  <c r="AA15" i="3"/>
  <c r="O15" i="3"/>
  <c r="Z15" i="3" s="1"/>
  <c r="AH9" i="3"/>
  <c r="E9" i="3"/>
  <c r="D9" i="3"/>
  <c r="R46" i="10"/>
  <c r="Q46" i="10"/>
  <c r="B52" i="10"/>
  <c r="B53" i="10" s="1"/>
  <c r="D52" i="10"/>
  <c r="F52" i="10" s="1"/>
  <c r="D55" i="10"/>
  <c r="F55" i="10" s="1"/>
  <c r="D56" i="10"/>
  <c r="F56" i="10" s="1"/>
  <c r="D57" i="10"/>
  <c r="F57" i="10" s="1"/>
  <c r="D58" i="10"/>
  <c r="F58" i="10" s="1"/>
  <c r="D59" i="10"/>
  <c r="F59" i="10"/>
  <c r="B60" i="10"/>
  <c r="D60" i="10" s="1"/>
  <c r="F60" i="10" s="1"/>
  <c r="D51" i="10"/>
  <c r="F51" i="10" s="1"/>
  <c r="E57" i="10"/>
  <c r="E58" i="10" s="1"/>
  <c r="E59" i="10" s="1"/>
  <c r="E60" i="10" s="1"/>
  <c r="E61" i="10" s="1"/>
  <c r="E62" i="10" s="1"/>
  <c r="E63" i="10" s="1"/>
  <c r="E64" i="10" s="1"/>
  <c r="E65" i="10" s="1"/>
  <c r="E66" i="10" s="1"/>
  <c r="E67" i="10" s="1"/>
  <c r="E68" i="10" s="1"/>
  <c r="E69" i="10" s="1"/>
  <c r="E70" i="10" s="1"/>
  <c r="E71" i="10" s="1"/>
  <c r="E72" i="10" s="1"/>
  <c r="E73" i="10" s="1"/>
  <c r="E74" i="10" s="1"/>
  <c r="E55" i="10"/>
  <c r="E56" i="10"/>
  <c r="E51" i="10"/>
  <c r="C58" i="10"/>
  <c r="C56" i="10"/>
  <c r="C55" i="10"/>
  <c r="C54" i="10"/>
  <c r="C53" i="10"/>
  <c r="C52" i="10"/>
  <c r="C51" i="10"/>
  <c r="L10" i="10"/>
  <c r="L11" i="10"/>
  <c r="L12" i="10"/>
  <c r="L13" i="10"/>
  <c r="L9" i="10"/>
  <c r="K13" i="10"/>
  <c r="K10" i="10"/>
  <c r="K11" i="10"/>
  <c r="K12" i="10"/>
  <c r="K9" i="10"/>
  <c r="G12" i="10"/>
  <c r="G10" i="10"/>
  <c r="I10" i="10" s="1"/>
  <c r="H12" i="10"/>
  <c r="H10" i="10"/>
  <c r="J10" i="10" s="1"/>
  <c r="F10" i="10"/>
  <c r="F11" i="10" s="1"/>
  <c r="F12" i="10" s="1"/>
  <c r="F13" i="10" s="1"/>
  <c r="E10" i="10"/>
  <c r="E11" i="10" s="1"/>
  <c r="E12" i="10" s="1"/>
  <c r="E13" i="10" s="1"/>
  <c r="D16" i="4"/>
  <c r="AB45" i="8"/>
  <c r="D15" i="8"/>
  <c r="X14" i="8" s="1"/>
  <c r="Y14" i="8" s="1"/>
  <c r="AH102" i="16"/>
  <c r="AI57" i="3" l="1"/>
  <c r="T19" i="11"/>
  <c r="V17" i="11"/>
  <c r="O20" i="3"/>
  <c r="Z20" i="3" s="1"/>
  <c r="AI55" i="3"/>
  <c r="C32" i="9"/>
  <c r="C33" i="9" s="1"/>
  <c r="C34" i="9" s="1"/>
  <c r="C35" i="9" s="1"/>
  <c r="C36" i="9" s="1"/>
  <c r="C37" i="9" s="1"/>
  <c r="C38" i="9" s="1"/>
  <c r="C39" i="9" s="1"/>
  <c r="C40" i="9" s="1"/>
  <c r="C41" i="9" s="1"/>
  <c r="C42" i="9" s="1"/>
  <c r="C43" i="9" s="1"/>
  <c r="C44" i="9" s="1"/>
  <c r="C45" i="9" s="1"/>
  <c r="C46" i="9" s="1"/>
  <c r="C47" i="9" s="1"/>
  <c r="C48" i="9" s="1"/>
  <c r="C49" i="9" s="1"/>
  <c r="C50" i="9" s="1"/>
  <c r="C51" i="9" s="1"/>
  <c r="C52" i="9" s="1"/>
  <c r="C53" i="9" s="1"/>
  <c r="C54" i="9" s="1"/>
  <c r="C55" i="9" s="1"/>
  <c r="C56" i="9" s="1"/>
  <c r="C57" i="9" s="1"/>
  <c r="C58" i="9" s="1"/>
  <c r="C59" i="9" s="1"/>
  <c r="C60" i="9" s="1"/>
  <c r="Q18" i="11"/>
  <c r="H18" i="4"/>
  <c r="C42" i="16"/>
  <c r="E88" i="16"/>
  <c r="E42" i="16"/>
  <c r="AA26" i="10"/>
  <c r="Q17" i="10"/>
  <c r="R17" i="10"/>
  <c r="G88" i="16"/>
  <c r="G42" i="16"/>
  <c r="O19" i="3"/>
  <c r="Z19" i="3" s="1"/>
  <c r="K84" i="16"/>
  <c r="L84" i="16"/>
  <c r="S14" i="11"/>
  <c r="N19" i="3"/>
  <c r="Y19" i="3" s="1"/>
  <c r="AL17" i="3"/>
  <c r="AM17" i="3" s="1"/>
  <c r="F88" i="16"/>
  <c r="F42" i="16"/>
  <c r="H84" i="16"/>
  <c r="I84" i="16"/>
  <c r="H20" i="21"/>
  <c r="G84" i="16"/>
  <c r="P20" i="3"/>
  <c r="AA20" i="3" s="1"/>
  <c r="T14" i="11"/>
  <c r="D88" i="16"/>
  <c r="D42" i="16"/>
  <c r="O18" i="10"/>
  <c r="P18" i="10" s="1"/>
  <c r="AB18" i="3"/>
  <c r="S18" i="11"/>
  <c r="H88" i="16"/>
  <c r="H42" i="16"/>
  <c r="O35" i="8"/>
  <c r="P35" i="8" s="1"/>
  <c r="N35" i="8"/>
  <c r="K37" i="8"/>
  <c r="L37" i="8" s="1"/>
  <c r="M36" i="8"/>
  <c r="R36" i="8"/>
  <c r="H87" i="16"/>
  <c r="AG32" i="4"/>
  <c r="AH32" i="4" s="1"/>
  <c r="AF32" i="4"/>
  <c r="AE33" i="4"/>
  <c r="F17" i="6"/>
  <c r="G17" i="6" s="1"/>
  <c r="AA16" i="6" s="1"/>
  <c r="AB16" i="6" s="1"/>
  <c r="AC16" i="6" s="1"/>
  <c r="Q72" i="9"/>
  <c r="R72" i="9" s="1"/>
  <c r="E17" i="6"/>
  <c r="Y16" i="6" s="1"/>
  <c r="Z16" i="6" s="1"/>
  <c r="I11" i="10"/>
  <c r="I12" i="10" s="1"/>
  <c r="L16" i="3"/>
  <c r="P19" i="3"/>
  <c r="AA19" i="3" s="1"/>
  <c r="AL16" i="3"/>
  <c r="AM16" i="3" s="1"/>
  <c r="S13" i="11"/>
  <c r="T15" i="11"/>
  <c r="V13" i="11"/>
  <c r="I75" i="22"/>
  <c r="H22" i="21"/>
  <c r="E46" i="21"/>
  <c r="E34" i="21"/>
  <c r="E35" i="21" s="1"/>
  <c r="E15" i="7"/>
  <c r="F15" i="7" s="1"/>
  <c r="X15" i="7" s="1"/>
  <c r="Y15" i="7" s="1"/>
  <c r="C92" i="16"/>
  <c r="D34" i="16"/>
  <c r="F34" i="16"/>
  <c r="E34" i="16"/>
  <c r="E47" i="16" s="1"/>
  <c r="H34" i="16"/>
  <c r="H47" i="16" s="1"/>
  <c r="G34" i="16"/>
  <c r="C34" i="16"/>
  <c r="Y17" i="3"/>
  <c r="AN15" i="3"/>
  <c r="O17" i="3"/>
  <c r="Z17" i="3" s="1"/>
  <c r="AH18" i="3"/>
  <c r="AI18" i="3" s="1"/>
  <c r="AJ18" i="3" s="1"/>
  <c r="AB24" i="3"/>
  <c r="F25" i="21"/>
  <c r="H25" i="21" s="1"/>
  <c r="AB17" i="3"/>
  <c r="T13" i="11"/>
  <c r="D16" i="8"/>
  <c r="X15" i="8" s="1"/>
  <c r="Y15" i="8" s="1"/>
  <c r="L19" i="3"/>
  <c r="J11" i="10"/>
  <c r="J12" i="10" s="1"/>
  <c r="E52" i="10"/>
  <c r="AH17" i="3"/>
  <c r="AI17" i="3" s="1"/>
  <c r="AJ17" i="3" s="1"/>
  <c r="L18" i="3"/>
  <c r="AG19" i="3"/>
  <c r="V12" i="11"/>
  <c r="D14" i="7"/>
  <c r="V14" i="7" s="1"/>
  <c r="W14" i="7" s="1"/>
  <c r="AF14" i="7"/>
  <c r="C88" i="16"/>
  <c r="AH16" i="3"/>
  <c r="AI16" i="3" s="1"/>
  <c r="AJ16" i="3" s="1"/>
  <c r="AQ17" i="3"/>
  <c r="T18" i="11"/>
  <c r="V18" i="11"/>
  <c r="F44" i="21"/>
  <c r="H44" i="21" s="1"/>
  <c r="H46" i="21" s="1"/>
  <c r="F32" i="21"/>
  <c r="AO17" i="3"/>
  <c r="AN17" i="3"/>
  <c r="U16" i="11"/>
  <c r="Q16" i="11"/>
  <c r="T16" i="11"/>
  <c r="S16" i="11"/>
  <c r="V16" i="11"/>
  <c r="A21" i="5"/>
  <c r="A22" i="5" s="1"/>
  <c r="H20" i="5"/>
  <c r="B18" i="5"/>
  <c r="C18" i="5" s="1"/>
  <c r="J8" i="12"/>
  <c r="B61" i="10"/>
  <c r="D61" i="10" s="1"/>
  <c r="F61" i="10" s="1"/>
  <c r="Q26" i="3"/>
  <c r="AB25" i="3"/>
  <c r="L19" i="4"/>
  <c r="M19" i="4" s="1"/>
  <c r="N19" i="4" s="1"/>
  <c r="E15" i="8"/>
  <c r="F15" i="8" s="1"/>
  <c r="Z14" i="8" s="1"/>
  <c r="AA14" i="8" s="1"/>
  <c r="AB24" i="10"/>
  <c r="AD24" i="10" s="1"/>
  <c r="AG24" i="10" s="1"/>
  <c r="V23" i="4"/>
  <c r="W23" i="4" s="1"/>
  <c r="U24" i="4"/>
  <c r="U20" i="11"/>
  <c r="R20" i="11"/>
  <c r="AA20" i="11" s="1"/>
  <c r="V20" i="11"/>
  <c r="Q20" i="11"/>
  <c r="T20" i="11"/>
  <c r="S20" i="11"/>
  <c r="C17" i="4"/>
  <c r="AC54" i="3"/>
  <c r="R16" i="11"/>
  <c r="AA16" i="11" s="1"/>
  <c r="BI17" i="3"/>
  <c r="BJ17" i="3" s="1"/>
  <c r="AC25" i="10"/>
  <c r="AD25" i="10"/>
  <c r="H32" i="21"/>
  <c r="H34" i="21" s="1"/>
  <c r="H35" i="21" s="1"/>
  <c r="F34" i="21"/>
  <c r="F35" i="21" s="1"/>
  <c r="B16" i="7"/>
  <c r="AQ16" i="7"/>
  <c r="Q16" i="10"/>
  <c r="AB19" i="3"/>
  <c r="AB23" i="3"/>
  <c r="M22" i="3"/>
  <c r="N21" i="3"/>
  <c r="AC55" i="3"/>
  <c r="S15" i="11"/>
  <c r="W18" i="11"/>
  <c r="Y22" i="5"/>
  <c r="Z22" i="5" s="1"/>
  <c r="AB16" i="3"/>
  <c r="P17" i="3"/>
  <c r="AA17" i="3" s="1"/>
  <c r="O18" i="3"/>
  <c r="Z18" i="3" s="1"/>
  <c r="AQ18" i="3"/>
  <c r="AH19" i="3"/>
  <c r="AI19" i="3" s="1"/>
  <c r="AJ19" i="3" s="1"/>
  <c r="AB20" i="3"/>
  <c r="N20" i="3"/>
  <c r="P21" i="3"/>
  <c r="AA21" i="3" s="1"/>
  <c r="AB22" i="3"/>
  <c r="D31" i="9"/>
  <c r="D32" i="9"/>
  <c r="D33" i="9" s="1"/>
  <c r="D34" i="9" s="1"/>
  <c r="D35" i="9" s="1"/>
  <c r="D36" i="9" s="1"/>
  <c r="D37" i="9" s="1"/>
  <c r="D38" i="9" s="1"/>
  <c r="D39" i="9" s="1"/>
  <c r="D40" i="9" s="1"/>
  <c r="D41" i="9" s="1"/>
  <c r="D42" i="9" s="1"/>
  <c r="D43" i="9" s="1"/>
  <c r="D44" i="9" s="1"/>
  <c r="D45" i="9" s="1"/>
  <c r="D46" i="9" s="1"/>
  <c r="D47" i="9" s="1"/>
  <c r="D48" i="9" s="1"/>
  <c r="D49" i="9" s="1"/>
  <c r="D50" i="9" s="1"/>
  <c r="D51" i="9" s="1"/>
  <c r="D52" i="9" s="1"/>
  <c r="D53" i="9" s="1"/>
  <c r="D54" i="9" s="1"/>
  <c r="D55" i="9" s="1"/>
  <c r="D56" i="9" s="1"/>
  <c r="D57" i="9" s="1"/>
  <c r="D58" i="9" s="1"/>
  <c r="D59" i="9" s="1"/>
  <c r="D60" i="9" s="1"/>
  <c r="S19" i="11"/>
  <c r="AV16" i="3"/>
  <c r="H33" i="9"/>
  <c r="B34" i="9"/>
  <c r="B35" i="9" s="1"/>
  <c r="D84" i="16"/>
  <c r="X22" i="4"/>
  <c r="Y22" i="4"/>
  <c r="Z22" i="4" s="1"/>
  <c r="H75" i="22"/>
  <c r="H19" i="21"/>
  <c r="E6" i="21" s="1"/>
  <c r="H10" i="16" s="1"/>
  <c r="F93" i="16" s="1"/>
  <c r="V14" i="11"/>
  <c r="E84" i="16"/>
  <c r="K92" i="16"/>
  <c r="H92" i="16"/>
  <c r="AX14" i="16"/>
  <c r="F92" i="16"/>
  <c r="E92" i="16"/>
  <c r="AN9" i="16"/>
  <c r="C87" i="16"/>
  <c r="D87" i="16"/>
  <c r="D92" i="16"/>
  <c r="AY12" i="16"/>
  <c r="G92" i="16"/>
  <c r="AY10" i="16"/>
  <c r="B54" i="10"/>
  <c r="D53" i="10"/>
  <c r="F53" i="10" s="1"/>
  <c r="E53" i="10"/>
  <c r="V19" i="11"/>
  <c r="V15" i="11"/>
  <c r="R19" i="11"/>
  <c r="AA19" i="11" s="1"/>
  <c r="R17" i="11"/>
  <c r="AA17" i="11" s="1"/>
  <c r="R15" i="11"/>
  <c r="AA15" i="11" s="1"/>
  <c r="R13" i="11"/>
  <c r="AA13" i="11" s="1"/>
  <c r="AN18" i="3"/>
  <c r="Q19" i="11"/>
  <c r="Q17" i="11"/>
  <c r="Q15" i="11"/>
  <c r="Q13" i="11"/>
  <c r="AG15" i="7"/>
  <c r="AH15" i="7"/>
  <c r="BK18" i="3"/>
  <c r="BH19" i="3"/>
  <c r="P19" i="4"/>
  <c r="Q19" i="4" s="1"/>
  <c r="O19" i="4"/>
  <c r="BK17" i="3"/>
  <c r="P18" i="4"/>
  <c r="Q18" i="4" s="1"/>
  <c r="O18" i="4"/>
  <c r="A19" i="4"/>
  <c r="L20" i="4"/>
  <c r="I19" i="6"/>
  <c r="A20" i="6"/>
  <c r="H21" i="21"/>
  <c r="O10" i="9"/>
  <c r="O11" i="9"/>
  <c r="O13" i="9"/>
  <c r="O12" i="9"/>
  <c r="B18" i="8"/>
  <c r="C18" i="8" s="1"/>
  <c r="A19" i="8"/>
  <c r="B17" i="8"/>
  <c r="C17" i="8" s="1"/>
  <c r="E16" i="8"/>
  <c r="F16" i="8" s="1"/>
  <c r="Z15" i="8" s="1"/>
  <c r="AA15" i="8" s="1"/>
  <c r="AL11" i="16"/>
  <c r="AN10" i="16"/>
  <c r="A17" i="7"/>
  <c r="B18" i="4"/>
  <c r="I88" i="16"/>
  <c r="O16" i="4"/>
  <c r="P16" i="4"/>
  <c r="Q16" i="4" s="1"/>
  <c r="P17" i="4"/>
  <c r="Q17" i="4" s="1"/>
  <c r="S72" i="9" l="1"/>
  <c r="F46" i="21"/>
  <c r="X72" i="9"/>
  <c r="W20" i="11"/>
  <c r="F47" i="16"/>
  <c r="O19" i="10"/>
  <c r="D47" i="16"/>
  <c r="C47" i="16"/>
  <c r="AC24" i="10"/>
  <c r="G47" i="16"/>
  <c r="O36" i="8"/>
  <c r="P36" i="8" s="1"/>
  <c r="N36" i="8"/>
  <c r="R37" i="8"/>
  <c r="K38" i="8"/>
  <c r="L38" i="8" s="1"/>
  <c r="M37" i="8"/>
  <c r="AG25" i="10"/>
  <c r="L16" i="16"/>
  <c r="H93" i="16"/>
  <c r="O16" i="16"/>
  <c r="AF33" i="4"/>
  <c r="AG33" i="4"/>
  <c r="AH33" i="4" s="1"/>
  <c r="AE34" i="4"/>
  <c r="AO16" i="3"/>
  <c r="AN16" i="3"/>
  <c r="H21" i="5"/>
  <c r="W13" i="11"/>
  <c r="K16" i="16"/>
  <c r="AL19" i="3"/>
  <c r="AM19" i="3" s="1"/>
  <c r="AQ19" i="3"/>
  <c r="AG20" i="3"/>
  <c r="AG14" i="7"/>
  <c r="AJ14" i="7" s="1"/>
  <c r="AH14" i="7"/>
  <c r="AK14" i="7" s="1"/>
  <c r="AM14" i="7"/>
  <c r="W17" i="11"/>
  <c r="M16" i="16"/>
  <c r="J16" i="16"/>
  <c r="W19" i="11"/>
  <c r="AX11" i="16"/>
  <c r="AY11" i="16" s="1"/>
  <c r="AH34" i="16"/>
  <c r="AH47" i="16" s="1"/>
  <c r="AW13" i="16"/>
  <c r="AX13" i="16" s="1"/>
  <c r="AI24" i="10"/>
  <c r="N16" i="16"/>
  <c r="J93" i="16"/>
  <c r="E93" i="16"/>
  <c r="D93" i="16"/>
  <c r="G93" i="16"/>
  <c r="I93" i="16"/>
  <c r="C93" i="16"/>
  <c r="V24" i="4"/>
  <c r="W24" i="4" s="1"/>
  <c r="U25" i="4"/>
  <c r="AX16" i="3"/>
  <c r="BC16" i="3"/>
  <c r="AW16" i="3"/>
  <c r="C16" i="7"/>
  <c r="AS16" i="7"/>
  <c r="X23" i="4"/>
  <c r="Y23" i="4"/>
  <c r="Z23" i="4" s="1"/>
  <c r="Y23" i="5"/>
  <c r="Z23" i="5" s="1"/>
  <c r="J9" i="12"/>
  <c r="B19" i="5"/>
  <c r="C19" i="5" s="1"/>
  <c r="B62" i="10"/>
  <c r="D62" i="10" s="1"/>
  <c r="F62" i="10" s="1"/>
  <c r="Y20" i="3"/>
  <c r="L20" i="3"/>
  <c r="L21" i="3"/>
  <c r="Y21" i="3"/>
  <c r="E18" i="5"/>
  <c r="F18" i="5" s="1"/>
  <c r="O18" i="5" s="1"/>
  <c r="P18" i="5" s="1"/>
  <c r="D18" i="5"/>
  <c r="L18" i="5" s="1"/>
  <c r="M18" i="5" s="1"/>
  <c r="N18" i="5" s="1"/>
  <c r="W16" i="11"/>
  <c r="B5" i="6"/>
  <c r="P88" i="9" s="1"/>
  <c r="P89" i="9" s="1"/>
  <c r="P90" i="9" s="1"/>
  <c r="P91" i="9" s="1"/>
  <c r="P92" i="9" s="1"/>
  <c r="P93" i="9" s="1"/>
  <c r="P94" i="9" s="1"/>
  <c r="P95" i="9" s="1"/>
  <c r="P96" i="9" s="1"/>
  <c r="P97" i="9" s="1"/>
  <c r="P98" i="9" s="1"/>
  <c r="P99" i="9" s="1"/>
  <c r="P100" i="9" s="1"/>
  <c r="P101" i="9" s="1"/>
  <c r="P102" i="9" s="1"/>
  <c r="P10" i="9"/>
  <c r="P13" i="9"/>
  <c r="P11" i="9"/>
  <c r="C69" i="9"/>
  <c r="D81" i="9" s="1"/>
  <c r="P12" i="9"/>
  <c r="Y12" i="9" s="1"/>
  <c r="Q27" i="3"/>
  <c r="AB26" i="3"/>
  <c r="E17" i="4"/>
  <c r="F17" i="4" s="1"/>
  <c r="AV17" i="3"/>
  <c r="D17" i="4"/>
  <c r="AA27" i="10"/>
  <c r="R18" i="10"/>
  <c r="Q18" i="10"/>
  <c r="G35" i="9"/>
  <c r="O14" i="9" s="1"/>
  <c r="H35" i="9"/>
  <c r="B36" i="9"/>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M23" i="3"/>
  <c r="P22" i="3"/>
  <c r="AA22" i="3" s="1"/>
  <c r="N22" i="3"/>
  <c r="O22" i="3"/>
  <c r="Z22" i="3" s="1"/>
  <c r="L92" i="16"/>
  <c r="B20" i="6"/>
  <c r="D20" i="6" s="1"/>
  <c r="T12" i="9"/>
  <c r="R12" i="9"/>
  <c r="AF25" i="10"/>
  <c r="AF24" i="10"/>
  <c r="V72" i="9"/>
  <c r="E17" i="8"/>
  <c r="F17" i="8" s="1"/>
  <c r="AB26" i="10"/>
  <c r="D17" i="8"/>
  <c r="X16" i="8" s="1"/>
  <c r="Y16" i="8" s="1"/>
  <c r="B21" i="6"/>
  <c r="D21" i="6" s="1"/>
  <c r="T13" i="9"/>
  <c r="X13" i="9"/>
  <c r="AA13" i="9" s="1"/>
  <c r="N21" i="6" s="1"/>
  <c r="R13" i="9"/>
  <c r="AK15" i="7"/>
  <c r="B17" i="7"/>
  <c r="A18" i="7"/>
  <c r="H17" i="7"/>
  <c r="AQ17" i="7"/>
  <c r="B19" i="8"/>
  <c r="C19" i="8" s="1"/>
  <c r="A20" i="8"/>
  <c r="H19" i="8"/>
  <c r="B19" i="6"/>
  <c r="D19" i="6" s="1"/>
  <c r="Y11" i="9"/>
  <c r="T11" i="9"/>
  <c r="R11" i="9"/>
  <c r="M20" i="4"/>
  <c r="N20" i="4" s="1"/>
  <c r="L21" i="4"/>
  <c r="U72" i="9"/>
  <c r="BG19" i="3"/>
  <c r="H19" i="4"/>
  <c r="A20" i="4"/>
  <c r="BH20" i="3"/>
  <c r="BK19" i="3"/>
  <c r="I20" i="6"/>
  <c r="A21" i="6"/>
  <c r="C18" i="4"/>
  <c r="B19" i="4"/>
  <c r="BI18" i="3"/>
  <c r="BJ18" i="3" s="1"/>
  <c r="AL12" i="16"/>
  <c r="AN11" i="16"/>
  <c r="E18" i="8"/>
  <c r="F18" i="8" s="1"/>
  <c r="Z17" i="8" s="1"/>
  <c r="AA17" i="8" s="1"/>
  <c r="AB27" i="10"/>
  <c r="D18" i="8"/>
  <c r="X17" i="8" s="1"/>
  <c r="Y17" i="8" s="1"/>
  <c r="B18" i="6"/>
  <c r="D18" i="6" s="1"/>
  <c r="T10" i="9"/>
  <c r="R10" i="9"/>
  <c r="X10" i="9"/>
  <c r="AA10" i="9" s="1"/>
  <c r="N18" i="6" s="1"/>
  <c r="Y10" i="9"/>
  <c r="A23" i="5"/>
  <c r="H22" i="5"/>
  <c r="W15" i="11"/>
  <c r="E54" i="10"/>
  <c r="D54" i="10"/>
  <c r="F54" i="10" s="1"/>
  <c r="M92" i="16" l="1"/>
  <c r="N92" i="16" s="1"/>
  <c r="O92" i="16" s="1"/>
  <c r="P92" i="16" s="1"/>
  <c r="Q92" i="16" s="1"/>
  <c r="R92" i="16" s="1"/>
  <c r="S92" i="16" s="1"/>
  <c r="T92" i="16" s="1"/>
  <c r="U92" i="16" s="1"/>
  <c r="V92" i="16" s="1"/>
  <c r="W92" i="16" s="1"/>
  <c r="X92" i="16" s="1"/>
  <c r="Y92" i="16" s="1"/>
  <c r="Z92" i="16" s="1"/>
  <c r="AA92" i="16" s="1"/>
  <c r="AB92" i="16" s="1"/>
  <c r="AC92" i="16" s="1"/>
  <c r="AD92" i="16" s="1"/>
  <c r="AE92" i="16" s="1"/>
  <c r="AF92" i="16" s="1"/>
  <c r="K18" i="16"/>
  <c r="J21" i="16" s="1"/>
  <c r="K21" i="16" s="1"/>
  <c r="P19" i="10"/>
  <c r="O20" i="10"/>
  <c r="B63" i="10"/>
  <c r="O37" i="8"/>
  <c r="P37" i="8" s="1"/>
  <c r="N37" i="8"/>
  <c r="K39" i="8"/>
  <c r="L39" i="8" s="1"/>
  <c r="R38" i="8"/>
  <c r="M38" i="8"/>
  <c r="AX15" i="16"/>
  <c r="L48" i="16"/>
  <c r="M48" i="16"/>
  <c r="E49" i="16"/>
  <c r="C95" i="16"/>
  <c r="C96" i="16" s="1"/>
  <c r="AE35" i="4"/>
  <c r="AG34" i="4"/>
  <c r="AH34" i="4" s="1"/>
  <c r="AF34" i="4"/>
  <c r="G49" i="16"/>
  <c r="AG21" i="3"/>
  <c r="AH20" i="3"/>
  <c r="AI20" i="3" s="1"/>
  <c r="AJ20" i="3" s="1"/>
  <c r="AL20" i="3"/>
  <c r="AM20" i="3" s="1"/>
  <c r="AQ20" i="3"/>
  <c r="AO19" i="3"/>
  <c r="AN19" i="3"/>
  <c r="AJ15" i="7"/>
  <c r="X12" i="9"/>
  <c r="AA12" i="9" s="1"/>
  <c r="N20" i="6" s="1"/>
  <c r="N48" i="16"/>
  <c r="H49" i="16"/>
  <c r="I49" i="16"/>
  <c r="W21" i="11"/>
  <c r="C48" i="16"/>
  <c r="N47" i="16"/>
  <c r="D48" i="16"/>
  <c r="H48" i="16"/>
  <c r="F48" i="16"/>
  <c r="E48" i="16"/>
  <c r="G48" i="16"/>
  <c r="J48" i="16"/>
  <c r="I48" i="16"/>
  <c r="K48" i="16"/>
  <c r="D49" i="16"/>
  <c r="F49" i="16"/>
  <c r="J22" i="16"/>
  <c r="J23" i="16" s="1"/>
  <c r="Q11" i="9"/>
  <c r="C19" i="6"/>
  <c r="E16" i="7"/>
  <c r="F16" i="7" s="1"/>
  <c r="X16" i="7" s="1"/>
  <c r="Y16" i="7" s="1"/>
  <c r="AR16" i="7"/>
  <c r="AF16" i="7"/>
  <c r="D16" i="7"/>
  <c r="V16" i="7" s="1"/>
  <c r="W16" i="7" s="1"/>
  <c r="L22" i="3"/>
  <c r="Y22" i="3"/>
  <c r="P14" i="9"/>
  <c r="Y14" i="9" s="1"/>
  <c r="C70" i="9"/>
  <c r="B6" i="6"/>
  <c r="H36" i="9"/>
  <c r="U10" i="9"/>
  <c r="V10" i="9" s="1"/>
  <c r="X11" i="9"/>
  <c r="AA11" i="9" s="1"/>
  <c r="N19" i="6" s="1"/>
  <c r="G36" i="9"/>
  <c r="B4" i="6"/>
  <c r="C68" i="9"/>
  <c r="C84" i="9" s="1"/>
  <c r="C85" i="9" s="1"/>
  <c r="C86" i="9" s="1"/>
  <c r="C87" i="9" s="1"/>
  <c r="C88" i="9" s="1"/>
  <c r="C89" i="9" s="1"/>
  <c r="C90" i="9" s="1"/>
  <c r="C91" i="9" s="1"/>
  <c r="C92" i="9" s="1"/>
  <c r="C93" i="9" s="1"/>
  <c r="C94" i="9" s="1"/>
  <c r="C95" i="9" s="1"/>
  <c r="C96" i="9" s="1"/>
  <c r="C97" i="9" s="1"/>
  <c r="C98" i="9" s="1"/>
  <c r="C99" i="9" s="1"/>
  <c r="C100" i="9" s="1"/>
  <c r="C101" i="9" s="1"/>
  <c r="C102" i="9" s="1"/>
  <c r="C103" i="9" s="1"/>
  <c r="C104" i="9" s="1"/>
  <c r="C105" i="9" s="1"/>
  <c r="C106" i="9" s="1"/>
  <c r="C107" i="9" s="1"/>
  <c r="C108" i="9" s="1"/>
  <c r="C109" i="9" s="1"/>
  <c r="C110" i="9" s="1"/>
  <c r="Q28" i="3"/>
  <c r="AB27" i="3"/>
  <c r="C20" i="6"/>
  <c r="Q12" i="9"/>
  <c r="C18" i="6"/>
  <c r="Q10" i="9"/>
  <c r="E19" i="5"/>
  <c r="F19" i="5" s="1"/>
  <c r="O19" i="5" s="1"/>
  <c r="P19" i="5" s="1"/>
  <c r="D19" i="5"/>
  <c r="L19" i="5" s="1"/>
  <c r="M19" i="5" s="1"/>
  <c r="N19" i="5" s="1"/>
  <c r="V25" i="4"/>
  <c r="W25" i="4" s="1"/>
  <c r="U26" i="4"/>
  <c r="C21" i="6"/>
  <c r="Q13" i="9"/>
  <c r="BA16" i="3"/>
  <c r="Y13" i="9"/>
  <c r="M24" i="3"/>
  <c r="O23" i="3"/>
  <c r="Z23" i="3" s="1"/>
  <c r="N23" i="3"/>
  <c r="P23" i="3"/>
  <c r="AA23" i="3" s="1"/>
  <c r="AW17" i="3"/>
  <c r="AX17" i="3"/>
  <c r="BA17" i="3" s="1"/>
  <c r="BC17" i="3"/>
  <c r="E81" i="9"/>
  <c r="D82" i="9"/>
  <c r="Y24" i="5"/>
  <c r="Z24" i="5" s="1"/>
  <c r="B20" i="5"/>
  <c r="C20" i="5" s="1"/>
  <c r="J10" i="12"/>
  <c r="AZ16" i="3"/>
  <c r="AZ17" i="3"/>
  <c r="Y24" i="4"/>
  <c r="Z24" i="4" s="1"/>
  <c r="X24" i="4"/>
  <c r="BK20" i="3"/>
  <c r="BH21" i="3"/>
  <c r="P20" i="4"/>
  <c r="Q20" i="4" s="1"/>
  <c r="O20" i="4"/>
  <c r="Z16" i="8"/>
  <c r="AA16" i="8" s="1"/>
  <c r="F18" i="6"/>
  <c r="G18" i="6" s="1"/>
  <c r="Q73" i="9"/>
  <c r="E18" i="6"/>
  <c r="Y17" i="6" s="1"/>
  <c r="Z17" i="6" s="1"/>
  <c r="B64" i="10"/>
  <c r="D63" i="10"/>
  <c r="F63" i="10" s="1"/>
  <c r="C19" i="4"/>
  <c r="B20" i="4"/>
  <c r="BI19" i="3"/>
  <c r="BJ19" i="3" s="1"/>
  <c r="C17" i="7"/>
  <c r="AS17" i="7"/>
  <c r="J87" i="16"/>
  <c r="U12" i="9"/>
  <c r="V12" i="9" s="1"/>
  <c r="E19" i="8"/>
  <c r="F19" i="8" s="1"/>
  <c r="Z18" i="8" s="1"/>
  <c r="AA18" i="8" s="1"/>
  <c r="AB28" i="10"/>
  <c r="D19" i="8"/>
  <c r="X18" i="8" s="1"/>
  <c r="Y18" i="8" s="1"/>
  <c r="F21" i="6"/>
  <c r="G21" i="6" s="1"/>
  <c r="AA20" i="6" s="1"/>
  <c r="AB20" i="6" s="1"/>
  <c r="AC20" i="6" s="1"/>
  <c r="Q76" i="9"/>
  <c r="E21" i="6"/>
  <c r="Y20" i="6" s="1"/>
  <c r="Z20" i="6" s="1"/>
  <c r="AN12" i="16"/>
  <c r="AK13" i="16"/>
  <c r="BG20" i="3"/>
  <c r="A21" i="4"/>
  <c r="H20" i="4"/>
  <c r="F19" i="6"/>
  <c r="G19" i="6" s="1"/>
  <c r="AA18" i="6" s="1"/>
  <c r="AB18" i="6" s="1"/>
  <c r="AC18" i="6" s="1"/>
  <c r="Q74" i="9"/>
  <c r="E19" i="6"/>
  <c r="Y18" i="6" s="1"/>
  <c r="Z18" i="6" s="1"/>
  <c r="B18" i="7"/>
  <c r="A19" i="7"/>
  <c r="H18" i="7"/>
  <c r="AQ18" i="7"/>
  <c r="B22" i="6"/>
  <c r="D22" i="6" s="1"/>
  <c r="O15" i="9"/>
  <c r="T14" i="9"/>
  <c r="R14" i="9"/>
  <c r="E18" i="4"/>
  <c r="F18" i="4" s="1"/>
  <c r="AV18" i="3"/>
  <c r="D18" i="4"/>
  <c r="A24" i="5"/>
  <c r="H23" i="5"/>
  <c r="AC27" i="10"/>
  <c r="AI27" i="10"/>
  <c r="AD27" i="10"/>
  <c r="I21" i="6"/>
  <c r="A22" i="6"/>
  <c r="M21" i="4"/>
  <c r="N21" i="4" s="1"/>
  <c r="L22" i="4"/>
  <c r="U11" i="9"/>
  <c r="V11" i="9" s="1"/>
  <c r="A21" i="8"/>
  <c r="B20" i="8"/>
  <c r="C20" i="8" s="1"/>
  <c r="H20" i="8"/>
  <c r="U13" i="9"/>
  <c r="V13" i="9" s="1"/>
  <c r="AD26" i="10"/>
  <c r="AI26" i="10"/>
  <c r="AC26" i="10"/>
  <c r="L21" i="16"/>
  <c r="F20" i="6"/>
  <c r="G20" i="6" s="1"/>
  <c r="AA19" i="6" s="1"/>
  <c r="AB19" i="6" s="1"/>
  <c r="AC19" i="6" s="1"/>
  <c r="Q75" i="9"/>
  <c r="E20" i="6"/>
  <c r="Y19" i="6" s="1"/>
  <c r="Z19" i="6" s="1"/>
  <c r="O21" i="10" l="1"/>
  <c r="P20" i="10"/>
  <c r="AA28" i="10"/>
  <c r="R19" i="10"/>
  <c r="Q19" i="10"/>
  <c r="O38" i="8"/>
  <c r="P38" i="8" s="1"/>
  <c r="N38" i="8"/>
  <c r="K40" i="8"/>
  <c r="L40" i="8" s="1"/>
  <c r="R39" i="8"/>
  <c r="M39" i="8"/>
  <c r="K22" i="16"/>
  <c r="K23" i="16" s="1"/>
  <c r="K87" i="16" s="1"/>
  <c r="AF35" i="4"/>
  <c r="AG35" i="4"/>
  <c r="AH35" i="4" s="1"/>
  <c r="AE36" i="4"/>
  <c r="AN20" i="3"/>
  <c r="AO20" i="3"/>
  <c r="AG22" i="3"/>
  <c r="AH21" i="3"/>
  <c r="AI21" i="3" s="1"/>
  <c r="AJ21" i="3" s="1"/>
  <c r="AL21" i="3"/>
  <c r="AM21" i="3" s="1"/>
  <c r="AQ21" i="3"/>
  <c r="Q29" i="3"/>
  <c r="AB28" i="3"/>
  <c r="U14" i="9"/>
  <c r="V14" i="9" s="1"/>
  <c r="D20" i="5"/>
  <c r="L20" i="5" s="1"/>
  <c r="M20" i="5" s="1"/>
  <c r="N20" i="5" s="1"/>
  <c r="E20" i="5"/>
  <c r="F20" i="5" s="1"/>
  <c r="O20" i="5" s="1"/>
  <c r="P20" i="5" s="1"/>
  <c r="M25" i="3"/>
  <c r="O24" i="3"/>
  <c r="Z24" i="3" s="1"/>
  <c r="P24" i="3"/>
  <c r="AA24" i="3" s="1"/>
  <c r="N24" i="3"/>
  <c r="AH16" i="7"/>
  <c r="AK16" i="7" s="1"/>
  <c r="AG16" i="7"/>
  <c r="AJ16" i="7" s="1"/>
  <c r="AM16" i="7"/>
  <c r="Y25" i="5"/>
  <c r="Z25" i="5" s="1"/>
  <c r="B21" i="5"/>
  <c r="C21" i="5" s="1"/>
  <c r="J11" i="12"/>
  <c r="Y25" i="4"/>
  <c r="Z25" i="4" s="1"/>
  <c r="X25" i="4"/>
  <c r="Q14" i="9"/>
  <c r="P15" i="9"/>
  <c r="Y15" i="9" s="1"/>
  <c r="C22" i="6"/>
  <c r="X14" i="9"/>
  <c r="AA14" i="9" s="1"/>
  <c r="N22" i="6" s="1"/>
  <c r="D83" i="9"/>
  <c r="E82" i="9"/>
  <c r="L23" i="3"/>
  <c r="Y23" i="3"/>
  <c r="V26" i="4"/>
  <c r="W26" i="4" s="1"/>
  <c r="U27" i="4"/>
  <c r="C20" i="4"/>
  <c r="B21" i="4"/>
  <c r="BI20" i="3"/>
  <c r="BJ20" i="3" s="1"/>
  <c r="M21" i="16"/>
  <c r="O16" i="9"/>
  <c r="B23" i="6"/>
  <c r="D23" i="6" s="1"/>
  <c r="T15" i="9"/>
  <c r="R15" i="9"/>
  <c r="B19" i="7"/>
  <c r="A20" i="7"/>
  <c r="H19" i="7"/>
  <c r="AQ19" i="7"/>
  <c r="AM13" i="16"/>
  <c r="AK14" i="16"/>
  <c r="E19" i="4"/>
  <c r="F19" i="4" s="1"/>
  <c r="AV19" i="3"/>
  <c r="D19" i="4"/>
  <c r="AG27" i="10"/>
  <c r="AG26" i="10"/>
  <c r="B65" i="10"/>
  <c r="D64" i="10"/>
  <c r="F64" i="10" s="1"/>
  <c r="BH22" i="3"/>
  <c r="BK21" i="3"/>
  <c r="AW18" i="3"/>
  <c r="BC18" i="3"/>
  <c r="AX18" i="3"/>
  <c r="AF26" i="10"/>
  <c r="AF27" i="10"/>
  <c r="M22" i="4"/>
  <c r="N22" i="4" s="1"/>
  <c r="L23" i="4"/>
  <c r="F22" i="6"/>
  <c r="G22" i="6" s="1"/>
  <c r="AA21" i="6" s="1"/>
  <c r="AB21" i="6" s="1"/>
  <c r="AC21" i="6" s="1"/>
  <c r="Q77" i="9"/>
  <c r="E22" i="6"/>
  <c r="Y21" i="6" s="1"/>
  <c r="Z21" i="6" s="1"/>
  <c r="C18" i="7"/>
  <c r="AS18" i="7"/>
  <c r="AD28" i="10"/>
  <c r="AG28" i="10" s="1"/>
  <c r="AI28" i="10"/>
  <c r="AC28" i="10"/>
  <c r="R73" i="9"/>
  <c r="X73" i="9"/>
  <c r="S73" i="9"/>
  <c r="B21" i="8"/>
  <c r="C21" i="8" s="1"/>
  <c r="A22" i="8"/>
  <c r="H21" i="8"/>
  <c r="A23" i="6"/>
  <c r="I22" i="6"/>
  <c r="R74" i="9"/>
  <c r="X74" i="9"/>
  <c r="S74" i="9"/>
  <c r="E17" i="7"/>
  <c r="F17" i="7" s="1"/>
  <c r="AF17" i="7"/>
  <c r="AR17" i="7"/>
  <c r="D17" i="7"/>
  <c r="V17" i="7" s="1"/>
  <c r="W17" i="7" s="1"/>
  <c r="R75" i="9"/>
  <c r="X75" i="9"/>
  <c r="S75" i="9"/>
  <c r="E20" i="8"/>
  <c r="F20" i="8" s="1"/>
  <c r="AB29" i="10"/>
  <c r="D20" i="8"/>
  <c r="X19" i="8" s="1"/>
  <c r="Y19" i="8" s="1"/>
  <c r="P21" i="4"/>
  <c r="Q21" i="4" s="1"/>
  <c r="O21" i="4"/>
  <c r="A25" i="5"/>
  <c r="H24" i="5"/>
  <c r="H21" i="4"/>
  <c r="BG21" i="3"/>
  <c r="A22" i="4"/>
  <c r="R76" i="9"/>
  <c r="X76" i="9"/>
  <c r="S76" i="9"/>
  <c r="AA17" i="6"/>
  <c r="AB17" i="6" s="1"/>
  <c r="AC17" i="6" s="1"/>
  <c r="R20" i="10" l="1"/>
  <c r="Q20" i="10"/>
  <c r="AA29" i="10"/>
  <c r="O22" i="10"/>
  <c r="P21" i="10"/>
  <c r="N39" i="8"/>
  <c r="O39" i="8"/>
  <c r="P39" i="8" s="1"/>
  <c r="M40" i="8"/>
  <c r="K41" i="8"/>
  <c r="L41" i="8" s="1"/>
  <c r="R40" i="8"/>
  <c r="L22" i="16"/>
  <c r="L23" i="16" s="1"/>
  <c r="L87" i="16" s="1"/>
  <c r="AG36" i="4"/>
  <c r="AH36" i="4" s="1"/>
  <c r="AF36" i="4"/>
  <c r="AE37" i="4"/>
  <c r="AO21" i="3"/>
  <c r="AN21" i="3"/>
  <c r="AL22" i="3"/>
  <c r="AM22" i="3" s="1"/>
  <c r="AH22" i="3"/>
  <c r="AI22" i="3" s="1"/>
  <c r="AJ22" i="3" s="1"/>
  <c r="AG23" i="3"/>
  <c r="AQ22" i="3"/>
  <c r="V27" i="4"/>
  <c r="W27" i="4" s="1"/>
  <c r="U28" i="4"/>
  <c r="C23" i="6"/>
  <c r="Q15" i="9"/>
  <c r="P16" i="9"/>
  <c r="D21" i="5"/>
  <c r="L21" i="5" s="1"/>
  <c r="M21" i="5" s="1"/>
  <c r="N21" i="5" s="1"/>
  <c r="E21" i="5"/>
  <c r="F21" i="5" s="1"/>
  <c r="O21" i="5" s="1"/>
  <c r="P21" i="5" s="1"/>
  <c r="X26" i="4"/>
  <c r="Y26" i="4"/>
  <c r="Z26" i="4" s="1"/>
  <c r="D84" i="9"/>
  <c r="E83" i="9"/>
  <c r="M26" i="3"/>
  <c r="N25" i="3"/>
  <c r="P25" i="3"/>
  <c r="AA25" i="3" s="1"/>
  <c r="O25" i="3"/>
  <c r="Z25" i="3" s="1"/>
  <c r="X15" i="9"/>
  <c r="AA15" i="9" s="1"/>
  <c r="N23" i="6" s="1"/>
  <c r="Y24" i="3"/>
  <c r="L24" i="3"/>
  <c r="Q30" i="3"/>
  <c r="AB29" i="3"/>
  <c r="U15" i="9"/>
  <c r="V15" i="9" s="1"/>
  <c r="B22" i="5"/>
  <c r="C22" i="5" s="1"/>
  <c r="J12" i="12"/>
  <c r="Y26" i="5"/>
  <c r="Z26" i="5" s="1"/>
  <c r="AH17" i="7"/>
  <c r="AG17" i="7"/>
  <c r="AM17" i="7"/>
  <c r="B22" i="8"/>
  <c r="C22" i="8" s="1"/>
  <c r="A23" i="8"/>
  <c r="H22" i="8"/>
  <c r="U74" i="9"/>
  <c r="U76" i="9"/>
  <c r="U75" i="9"/>
  <c r="U73" i="9"/>
  <c r="X17" i="7"/>
  <c r="Y17" i="7" s="1"/>
  <c r="E21" i="8"/>
  <c r="F21" i="8" s="1"/>
  <c r="Z20" i="8" s="1"/>
  <c r="AA20" i="8" s="1"/>
  <c r="AB30" i="10"/>
  <c r="D21" i="8"/>
  <c r="X20" i="8" s="1"/>
  <c r="Y20" i="8" s="1"/>
  <c r="E18" i="7"/>
  <c r="F18" i="7" s="1"/>
  <c r="X18" i="7" s="1"/>
  <c r="Y18" i="7" s="1"/>
  <c r="AF18" i="7"/>
  <c r="AR18" i="7"/>
  <c r="D18" i="7"/>
  <c r="V18" i="7" s="1"/>
  <c r="W18" i="7" s="1"/>
  <c r="BA18" i="3"/>
  <c r="BK22" i="3"/>
  <c r="BH23" i="3"/>
  <c r="AW19" i="3"/>
  <c r="BC19" i="3"/>
  <c r="AX19" i="3"/>
  <c r="C19" i="7"/>
  <c r="AS19" i="7"/>
  <c r="C21" i="4"/>
  <c r="B22" i="4"/>
  <c r="BI21" i="3"/>
  <c r="BJ21" i="3" s="1"/>
  <c r="P22" i="4"/>
  <c r="Q22" i="4" s="1"/>
  <c r="O22" i="4"/>
  <c r="K88" i="16"/>
  <c r="K93" i="16"/>
  <c r="N123" i="16" s="1"/>
  <c r="AD29" i="10"/>
  <c r="AI29" i="10"/>
  <c r="AC29" i="10"/>
  <c r="I23" i="6"/>
  <c r="A24" i="6"/>
  <c r="V74" i="9"/>
  <c r="V73" i="9"/>
  <c r="V76" i="9"/>
  <c r="V75" i="9"/>
  <c r="F23" i="6"/>
  <c r="G23" i="6" s="1"/>
  <c r="AA22" i="6" s="1"/>
  <c r="AB22" i="6" s="1"/>
  <c r="AC22" i="6" s="1"/>
  <c r="Q78" i="9"/>
  <c r="E23" i="6"/>
  <c r="Y22" i="6" s="1"/>
  <c r="Z22" i="6" s="1"/>
  <c r="E20" i="4"/>
  <c r="F20" i="4" s="1"/>
  <c r="AV20" i="3"/>
  <c r="D20" i="4"/>
  <c r="AK15" i="16"/>
  <c r="AM14" i="16"/>
  <c r="B20" i="7"/>
  <c r="A21" i="7"/>
  <c r="H20" i="7"/>
  <c r="AQ20" i="7"/>
  <c r="A26" i="5"/>
  <c r="H25" i="5"/>
  <c r="BG22" i="3"/>
  <c r="A23" i="4"/>
  <c r="H22" i="4"/>
  <c r="Z19" i="8"/>
  <c r="AA19" i="8" s="1"/>
  <c r="R77" i="9"/>
  <c r="U77" i="9" s="1"/>
  <c r="X77" i="9"/>
  <c r="S77" i="9"/>
  <c r="M23" i="4"/>
  <c r="N23" i="4" s="1"/>
  <c r="L24" i="4"/>
  <c r="AF28" i="10"/>
  <c r="AZ18" i="3"/>
  <c r="AZ19" i="3"/>
  <c r="D65" i="10"/>
  <c r="F65" i="10" s="1"/>
  <c r="B66" i="10"/>
  <c r="B24" i="6"/>
  <c r="D24" i="6" s="1"/>
  <c r="O17" i="9"/>
  <c r="T16" i="9"/>
  <c r="Y16" i="9"/>
  <c r="R16" i="9"/>
  <c r="X16" i="9"/>
  <c r="AA16" i="9" s="1"/>
  <c r="N24" i="6" s="1"/>
  <c r="N21" i="16"/>
  <c r="AA30" i="10" l="1"/>
  <c r="R21" i="10"/>
  <c r="Q21" i="10"/>
  <c r="P22" i="10"/>
  <c r="O23" i="10"/>
  <c r="M22" i="16"/>
  <c r="M23" i="16" s="1"/>
  <c r="M41" i="8"/>
  <c r="K42" i="8"/>
  <c r="L42" i="8" s="1"/>
  <c r="R41" i="8"/>
  <c r="N40" i="8"/>
  <c r="O40" i="8"/>
  <c r="P40" i="8" s="1"/>
  <c r="AE38" i="4"/>
  <c r="AF37" i="4"/>
  <c r="AG37" i="4"/>
  <c r="AH37" i="4" s="1"/>
  <c r="AG24" i="3"/>
  <c r="AQ23" i="3"/>
  <c r="AL23" i="3"/>
  <c r="AM23" i="3" s="1"/>
  <c r="AH23" i="3"/>
  <c r="AI23" i="3" s="1"/>
  <c r="AJ23" i="3" s="1"/>
  <c r="AO22" i="3"/>
  <c r="AN22" i="3"/>
  <c r="Y27" i="5"/>
  <c r="Z27" i="5" s="1"/>
  <c r="B23" i="5"/>
  <c r="C23" i="5" s="1"/>
  <c r="J13" i="12"/>
  <c r="M27" i="3"/>
  <c r="P26" i="3"/>
  <c r="AA26" i="3" s="1"/>
  <c r="N26" i="3"/>
  <c r="O26" i="3"/>
  <c r="Z26" i="3" s="1"/>
  <c r="E22" i="5"/>
  <c r="F22" i="5" s="1"/>
  <c r="O22" i="5" s="1"/>
  <c r="P22" i="5" s="1"/>
  <c r="D22" i="5"/>
  <c r="L22" i="5" s="1"/>
  <c r="M22" i="5" s="1"/>
  <c r="N22" i="5" s="1"/>
  <c r="Q31" i="3"/>
  <c r="AB30" i="3"/>
  <c r="E84" i="9"/>
  <c r="D85" i="9"/>
  <c r="V28" i="4"/>
  <c r="W28" i="4" s="1"/>
  <c r="U29" i="4"/>
  <c r="U16" i="9"/>
  <c r="V16" i="9" s="1"/>
  <c r="Y25" i="3"/>
  <c r="L25" i="3"/>
  <c r="Q16" i="9"/>
  <c r="C24" i="6"/>
  <c r="P17" i="9"/>
  <c r="X17" i="9" s="1"/>
  <c r="AA17" i="9" s="1"/>
  <c r="N25" i="6" s="1"/>
  <c r="X27" i="4"/>
  <c r="Y27" i="4"/>
  <c r="Z27" i="4" s="1"/>
  <c r="D66" i="10"/>
  <c r="F66" i="10" s="1"/>
  <c r="B67" i="10"/>
  <c r="AK16" i="16"/>
  <c r="AM15" i="16"/>
  <c r="R78" i="9"/>
  <c r="X78" i="9"/>
  <c r="S78" i="9"/>
  <c r="V78" i="9" s="1"/>
  <c r="AF29" i="10"/>
  <c r="E19" i="7"/>
  <c r="F19" i="7" s="1"/>
  <c r="AF19" i="7"/>
  <c r="AR19" i="7"/>
  <c r="D19" i="7"/>
  <c r="V19" i="7" s="1"/>
  <c r="W19" i="7" s="1"/>
  <c r="B25" i="6"/>
  <c r="D25" i="6" s="1"/>
  <c r="O18" i="9"/>
  <c r="T17" i="9"/>
  <c r="R17" i="9"/>
  <c r="Y17" i="9"/>
  <c r="B21" i="7"/>
  <c r="A22" i="7"/>
  <c r="H21" i="7"/>
  <c r="AQ21" i="7"/>
  <c r="L88" i="16"/>
  <c r="L93" i="16"/>
  <c r="I24" i="6"/>
  <c r="A25" i="6"/>
  <c r="C22" i="4"/>
  <c r="B23" i="4"/>
  <c r="BI22" i="3"/>
  <c r="BJ22" i="3" s="1"/>
  <c r="AG29" i="10"/>
  <c r="AH18" i="7"/>
  <c r="AK18" i="7" s="1"/>
  <c r="AG18" i="7"/>
  <c r="AM18" i="7"/>
  <c r="AJ17" i="7"/>
  <c r="P23" i="4"/>
  <c r="Q23" i="4" s="1"/>
  <c r="O23" i="4"/>
  <c r="BG23" i="3"/>
  <c r="H23" i="4"/>
  <c r="A24" i="4"/>
  <c r="AW20" i="3"/>
  <c r="BC20" i="3"/>
  <c r="AX20" i="3"/>
  <c r="E22" i="8"/>
  <c r="F22" i="8" s="1"/>
  <c r="Z21" i="8" s="1"/>
  <c r="AA21" i="8" s="1"/>
  <c r="AB31" i="10"/>
  <c r="D22" i="8"/>
  <c r="X21" i="8" s="1"/>
  <c r="Y21" i="8" s="1"/>
  <c r="O21" i="16"/>
  <c r="F24" i="6"/>
  <c r="G24" i="6" s="1"/>
  <c r="Q79" i="9"/>
  <c r="E24" i="6"/>
  <c r="Y23" i="6" s="1"/>
  <c r="Z23" i="6" s="1"/>
  <c r="M24" i="4"/>
  <c r="N24" i="4" s="1"/>
  <c r="L25" i="4"/>
  <c r="A27" i="5"/>
  <c r="H26" i="5"/>
  <c r="C20" i="7"/>
  <c r="AS20" i="7"/>
  <c r="V77" i="9"/>
  <c r="E21" i="4"/>
  <c r="F21" i="4" s="1"/>
  <c r="AV21" i="3"/>
  <c r="D21" i="4"/>
  <c r="BH24" i="3"/>
  <c r="BK23" i="3"/>
  <c r="BA19" i="3"/>
  <c r="AC30" i="10"/>
  <c r="AF30" i="10" s="1"/>
  <c r="AI30" i="10"/>
  <c r="AD30" i="10"/>
  <c r="AG30" i="10" s="1"/>
  <c r="B23" i="8"/>
  <c r="C23" i="8" s="1"/>
  <c r="A24" i="8"/>
  <c r="H23" i="8"/>
  <c r="AK17" i="7"/>
  <c r="N22" i="16" l="1"/>
  <c r="N23" i="16" s="1"/>
  <c r="P23" i="10"/>
  <c r="O24" i="10"/>
  <c r="R22" i="10"/>
  <c r="Q22" i="10"/>
  <c r="AA31" i="10"/>
  <c r="M42" i="8"/>
  <c r="R42" i="8"/>
  <c r="K43" i="8"/>
  <c r="L43" i="8" s="1"/>
  <c r="N41" i="8"/>
  <c r="O41" i="8"/>
  <c r="P41" i="8" s="1"/>
  <c r="AE39" i="4"/>
  <c r="AG38" i="4"/>
  <c r="AH38" i="4" s="1"/>
  <c r="AF38" i="4"/>
  <c r="AO23" i="3"/>
  <c r="AN23" i="3"/>
  <c r="U17" i="9"/>
  <c r="V17" i="9" s="1"/>
  <c r="AH24" i="3"/>
  <c r="AI24" i="3" s="1"/>
  <c r="AJ24" i="3" s="1"/>
  <c r="AL24" i="3"/>
  <c r="AM24" i="3" s="1"/>
  <c r="AG25" i="3"/>
  <c r="AQ24" i="3"/>
  <c r="Y28" i="4"/>
  <c r="Z28" i="4" s="1"/>
  <c r="X28" i="4"/>
  <c r="E23" i="5"/>
  <c r="F23" i="5" s="1"/>
  <c r="O23" i="5" s="1"/>
  <c r="P23" i="5" s="1"/>
  <c r="D23" i="5"/>
  <c r="L23" i="5" s="1"/>
  <c r="M23" i="5" s="1"/>
  <c r="N23" i="5" s="1"/>
  <c r="D86" i="9"/>
  <c r="E85" i="9"/>
  <c r="M28" i="3"/>
  <c r="O27" i="3"/>
  <c r="Z27" i="3" s="1"/>
  <c r="P27" i="3"/>
  <c r="AA27" i="3" s="1"/>
  <c r="N27" i="3"/>
  <c r="Q32" i="3"/>
  <c r="AB31" i="3"/>
  <c r="Y26" i="3"/>
  <c r="L26" i="3"/>
  <c r="C25" i="6"/>
  <c r="P18" i="9"/>
  <c r="Y18" i="9" s="1"/>
  <c r="Q17" i="9"/>
  <c r="V29" i="4"/>
  <c r="W29" i="4" s="1"/>
  <c r="U30" i="4"/>
  <c r="Y28" i="5"/>
  <c r="Z28" i="5" s="1"/>
  <c r="J14" i="12"/>
  <c r="B24" i="5"/>
  <c r="C24" i="5" s="1"/>
  <c r="R79" i="9"/>
  <c r="U79" i="9" s="1"/>
  <c r="X79" i="9"/>
  <c r="S79" i="9"/>
  <c r="X19" i="7"/>
  <c r="Y19" i="7" s="1"/>
  <c r="B26" i="6"/>
  <c r="D26" i="6" s="1"/>
  <c r="O19" i="9"/>
  <c r="T18" i="9"/>
  <c r="R18" i="9"/>
  <c r="O22" i="16"/>
  <c r="O23" i="16" s="1"/>
  <c r="BK24" i="3"/>
  <c r="BH25" i="3"/>
  <c r="A28" i="5"/>
  <c r="H27" i="5"/>
  <c r="M25" i="4"/>
  <c r="N25" i="4" s="1"/>
  <c r="L26" i="4"/>
  <c r="U78" i="9"/>
  <c r="AW21" i="3"/>
  <c r="BC21" i="3"/>
  <c r="AX21" i="3"/>
  <c r="BA21" i="3" s="1"/>
  <c r="P24" i="4"/>
  <c r="Q24" i="4" s="1"/>
  <c r="O24" i="4"/>
  <c r="P21" i="16"/>
  <c r="AD31" i="10"/>
  <c r="AG31" i="10" s="1"/>
  <c r="AC31" i="10"/>
  <c r="AI31" i="10"/>
  <c r="AZ20" i="3"/>
  <c r="C23" i="4"/>
  <c r="B24" i="4"/>
  <c r="BI23" i="3"/>
  <c r="BJ23" i="3" s="1"/>
  <c r="B22" i="7"/>
  <c r="A23" i="7"/>
  <c r="H22" i="7"/>
  <c r="AQ22" i="7"/>
  <c r="F25" i="6"/>
  <c r="G25" i="6" s="1"/>
  <c r="AA24" i="6" s="1"/>
  <c r="AB24" i="6" s="1"/>
  <c r="AC24" i="6" s="1"/>
  <c r="Q80" i="9"/>
  <c r="E25" i="6"/>
  <c r="Y24" i="6" s="1"/>
  <c r="Z24" i="6" s="1"/>
  <c r="E23" i="8"/>
  <c r="F23" i="8" s="1"/>
  <c r="Z22" i="8" s="1"/>
  <c r="AA22" i="8" s="1"/>
  <c r="AB32" i="10"/>
  <c r="D23" i="8"/>
  <c r="X22" i="8" s="1"/>
  <c r="Y22" i="8" s="1"/>
  <c r="AM16" i="16"/>
  <c r="AK17" i="16"/>
  <c r="AA23" i="6"/>
  <c r="AB23" i="6" s="1"/>
  <c r="AC23" i="6" s="1"/>
  <c r="B24" i="8"/>
  <c r="C24" i="8" s="1"/>
  <c r="A25" i="8"/>
  <c r="H24" i="8"/>
  <c r="E20" i="7"/>
  <c r="F20" i="7" s="1"/>
  <c r="X20" i="7" s="1"/>
  <c r="Y20" i="7" s="1"/>
  <c r="AF20" i="7"/>
  <c r="AR20" i="7"/>
  <c r="D20" i="7"/>
  <c r="V20" i="7" s="1"/>
  <c r="W20" i="7" s="1"/>
  <c r="BG24" i="3"/>
  <c r="A25" i="4"/>
  <c r="H24" i="4"/>
  <c r="AJ18" i="7"/>
  <c r="E22" i="4"/>
  <c r="F22" i="4" s="1"/>
  <c r="AV22" i="3"/>
  <c r="D22" i="4"/>
  <c r="I25" i="6"/>
  <c r="A26" i="6"/>
  <c r="C21" i="7"/>
  <c r="AS21" i="7"/>
  <c r="AM19" i="7"/>
  <c r="AH19" i="7"/>
  <c r="AG19" i="7"/>
  <c r="BA20" i="3"/>
  <c r="B68" i="10"/>
  <c r="D67" i="10"/>
  <c r="F67" i="10" s="1"/>
  <c r="O25" i="10" l="1"/>
  <c r="P24" i="10"/>
  <c r="AA32" i="10"/>
  <c r="Q23" i="10"/>
  <c r="R23" i="10"/>
  <c r="K44" i="8"/>
  <c r="L44" i="8" s="1"/>
  <c r="R43" i="8"/>
  <c r="M43" i="8"/>
  <c r="N42" i="8"/>
  <c r="O42" i="8"/>
  <c r="P42" i="8" s="1"/>
  <c r="AF39" i="4"/>
  <c r="AG39" i="4"/>
  <c r="AH39" i="4" s="1"/>
  <c r="AE40" i="4"/>
  <c r="AO24" i="3"/>
  <c r="AN24" i="3"/>
  <c r="AG26" i="3"/>
  <c r="AH25" i="3"/>
  <c r="AI25" i="3" s="1"/>
  <c r="AJ25" i="3" s="1"/>
  <c r="AL25" i="3"/>
  <c r="AM25" i="3" s="1"/>
  <c r="AQ25" i="3"/>
  <c r="V30" i="4"/>
  <c r="W30" i="4" s="1"/>
  <c r="U31" i="4"/>
  <c r="Q33" i="3"/>
  <c r="AB32" i="3"/>
  <c r="E86" i="9"/>
  <c r="D87" i="9"/>
  <c r="D24" i="5"/>
  <c r="L24" i="5" s="1"/>
  <c r="M24" i="5" s="1"/>
  <c r="N24" i="5" s="1"/>
  <c r="E24" i="5"/>
  <c r="F24" i="5" s="1"/>
  <c r="O24" i="5" s="1"/>
  <c r="P24" i="5" s="1"/>
  <c r="X29" i="4"/>
  <c r="Y29" i="4"/>
  <c r="Z29" i="4" s="1"/>
  <c r="L27" i="3"/>
  <c r="Y27" i="3"/>
  <c r="C26" i="6"/>
  <c r="Q18" i="9"/>
  <c r="P19" i="9"/>
  <c r="X19" i="9" s="1"/>
  <c r="AA19" i="9" s="1"/>
  <c r="N27" i="6" s="1"/>
  <c r="X18" i="9"/>
  <c r="AA18" i="9" s="1"/>
  <c r="N26" i="6" s="1"/>
  <c r="M29" i="3"/>
  <c r="N28" i="3"/>
  <c r="P28" i="3"/>
  <c r="AA28" i="3" s="1"/>
  <c r="O28" i="3"/>
  <c r="Z28" i="3" s="1"/>
  <c r="U18" i="9"/>
  <c r="V18" i="9" s="1"/>
  <c r="B25" i="5"/>
  <c r="C25" i="5" s="1"/>
  <c r="Y29" i="5"/>
  <c r="Z29" i="5" s="1"/>
  <c r="J15" i="12"/>
  <c r="E21" i="7"/>
  <c r="F21" i="7" s="1"/>
  <c r="X21" i="7" s="1"/>
  <c r="Y21" i="7" s="1"/>
  <c r="AF21" i="7"/>
  <c r="AR21" i="7"/>
  <c r="D21" i="7"/>
  <c r="V21" i="7" s="1"/>
  <c r="W21" i="7" s="1"/>
  <c r="AW22" i="3"/>
  <c r="BC22" i="3"/>
  <c r="AX22" i="3"/>
  <c r="AK18" i="16"/>
  <c r="AM17" i="16"/>
  <c r="AC32" i="10"/>
  <c r="AI32" i="10"/>
  <c r="AD32" i="10"/>
  <c r="C24" i="4"/>
  <c r="B25" i="4"/>
  <c r="BI24" i="3"/>
  <c r="BJ24" i="3" s="1"/>
  <c r="A29" i="5"/>
  <c r="H28" i="5"/>
  <c r="N88" i="16"/>
  <c r="B27" i="6"/>
  <c r="D27" i="6" s="1"/>
  <c r="O20" i="9"/>
  <c r="Y19" i="9"/>
  <c r="T19" i="9"/>
  <c r="R19" i="9"/>
  <c r="V79" i="9"/>
  <c r="Q21" i="16"/>
  <c r="AK19" i="7"/>
  <c r="AJ19" i="7"/>
  <c r="H25" i="4"/>
  <c r="BG25" i="3"/>
  <c r="A26" i="4"/>
  <c r="AM20" i="7"/>
  <c r="AH20" i="7"/>
  <c r="AG20" i="7"/>
  <c r="AJ20" i="7" s="1"/>
  <c r="B25" i="8"/>
  <c r="C25" i="8" s="1"/>
  <c r="A26" i="8"/>
  <c r="H25" i="8"/>
  <c r="E23" i="4"/>
  <c r="F23" i="4" s="1"/>
  <c r="AV23" i="3"/>
  <c r="D23" i="4"/>
  <c r="AZ21" i="3"/>
  <c r="M26" i="4"/>
  <c r="N26" i="4" s="1"/>
  <c r="L27" i="4"/>
  <c r="BH26" i="3"/>
  <c r="BK25" i="3"/>
  <c r="F26" i="6"/>
  <c r="G26" i="6" s="1"/>
  <c r="AA25" i="6" s="1"/>
  <c r="AB25" i="6" s="1"/>
  <c r="AC25" i="6" s="1"/>
  <c r="Q81" i="9"/>
  <c r="E26" i="6"/>
  <c r="Y25" i="6" s="1"/>
  <c r="Z25" i="6" s="1"/>
  <c r="AF31" i="10"/>
  <c r="C22" i="7"/>
  <c r="AS22" i="7"/>
  <c r="A27" i="6"/>
  <c r="I26" i="6"/>
  <c r="B69" i="10"/>
  <c r="D68" i="10"/>
  <c r="F68" i="10" s="1"/>
  <c r="E24" i="8"/>
  <c r="F24" i="8" s="1"/>
  <c r="Z23" i="8" s="1"/>
  <c r="AA23" i="8" s="1"/>
  <c r="AB33" i="10"/>
  <c r="D24" i="8"/>
  <c r="X23" i="8" s="1"/>
  <c r="Y23" i="8" s="1"/>
  <c r="R80" i="9"/>
  <c r="X80" i="9"/>
  <c r="S80" i="9"/>
  <c r="B23" i="7"/>
  <c r="A24" i="7"/>
  <c r="H23" i="7"/>
  <c r="AQ23" i="7"/>
  <c r="P25" i="4"/>
  <c r="Q25" i="4" s="1"/>
  <c r="O25" i="4"/>
  <c r="P22" i="16"/>
  <c r="AA33" i="10" l="1"/>
  <c r="R24" i="10"/>
  <c r="Q24" i="10"/>
  <c r="O26" i="10"/>
  <c r="P25" i="10"/>
  <c r="O43" i="8"/>
  <c r="P43" i="8" s="1"/>
  <c r="N43" i="8"/>
  <c r="R44" i="8"/>
  <c r="M44" i="8"/>
  <c r="K45" i="8"/>
  <c r="AG40" i="4"/>
  <c r="AH40" i="4" s="1"/>
  <c r="AF40" i="4"/>
  <c r="AE41" i="4"/>
  <c r="AO25" i="3"/>
  <c r="AN25" i="3"/>
  <c r="AG27" i="3"/>
  <c r="AQ26" i="3"/>
  <c r="AL26" i="3"/>
  <c r="AM26" i="3" s="1"/>
  <c r="AH26" i="3"/>
  <c r="AI26" i="3" s="1"/>
  <c r="AJ26" i="3" s="1"/>
  <c r="J16" i="12"/>
  <c r="Y30" i="5"/>
  <c r="Z30" i="5" s="1"/>
  <c r="B26" i="5"/>
  <c r="C26" i="5" s="1"/>
  <c r="V31" i="4"/>
  <c r="U32" i="4"/>
  <c r="U33" i="4" s="1"/>
  <c r="U34" i="4" s="1"/>
  <c r="U35" i="4" s="1"/>
  <c r="U36" i="4" s="1"/>
  <c r="U37" i="4" s="1"/>
  <c r="U38" i="4" s="1"/>
  <c r="U39" i="4" s="1"/>
  <c r="U40" i="4" s="1"/>
  <c r="U41" i="4" s="1"/>
  <c r="U42" i="4" s="1"/>
  <c r="U43" i="4" s="1"/>
  <c r="U44" i="4" s="1"/>
  <c r="U45" i="4" s="1"/>
  <c r="U46" i="4" s="1"/>
  <c r="Q19" i="9"/>
  <c r="C27" i="6"/>
  <c r="P20" i="9"/>
  <c r="Y20" i="9" s="1"/>
  <c r="Y30" i="4"/>
  <c r="Z30" i="4" s="1"/>
  <c r="X30" i="4"/>
  <c r="M30" i="3"/>
  <c r="N29" i="3"/>
  <c r="P29" i="3"/>
  <c r="AA29" i="3" s="1"/>
  <c r="O29" i="3"/>
  <c r="Z29" i="3" s="1"/>
  <c r="Q34" i="3"/>
  <c r="AB33" i="3"/>
  <c r="D88" i="9"/>
  <c r="E87" i="9"/>
  <c r="U19" i="9"/>
  <c r="V19" i="9" s="1"/>
  <c r="E25" i="5"/>
  <c r="F25" i="5" s="1"/>
  <c r="O25" i="5" s="1"/>
  <c r="P25" i="5" s="1"/>
  <c r="D25" i="5"/>
  <c r="L25" i="5" s="1"/>
  <c r="M25" i="5" s="1"/>
  <c r="N25" i="5" s="1"/>
  <c r="L28" i="3"/>
  <c r="Y28" i="3"/>
  <c r="AW23" i="3"/>
  <c r="BC23" i="3"/>
  <c r="AX23" i="3"/>
  <c r="BA23" i="3" s="1"/>
  <c r="Q22" i="16"/>
  <c r="Q23" i="16" s="1"/>
  <c r="Q87" i="16" s="1"/>
  <c r="D69" i="10"/>
  <c r="F69" i="10" s="1"/>
  <c r="B70" i="10"/>
  <c r="BK26" i="3"/>
  <c r="BH27" i="3"/>
  <c r="B26" i="8"/>
  <c r="C26" i="8" s="1"/>
  <c r="A27" i="8"/>
  <c r="H26" i="8"/>
  <c r="V80" i="9"/>
  <c r="B28" i="6"/>
  <c r="D28" i="6" s="1"/>
  <c r="O21" i="9"/>
  <c r="T20" i="9"/>
  <c r="R20" i="9"/>
  <c r="A30" i="5"/>
  <c r="H29" i="5"/>
  <c r="E24" i="4"/>
  <c r="F24" i="4" s="1"/>
  <c r="AV24" i="3"/>
  <c r="D24" i="4"/>
  <c r="AF32" i="10"/>
  <c r="AH21" i="7"/>
  <c r="AK21" i="7" s="1"/>
  <c r="AG21" i="7"/>
  <c r="AM21" i="7"/>
  <c r="I27" i="6"/>
  <c r="A28" i="6"/>
  <c r="AK20" i="7"/>
  <c r="C25" i="4"/>
  <c r="B26" i="4"/>
  <c r="BI25" i="3"/>
  <c r="BJ25" i="3" s="1"/>
  <c r="B24" i="7"/>
  <c r="A25" i="7"/>
  <c r="H24" i="7"/>
  <c r="AQ24" i="7"/>
  <c r="E22" i="7"/>
  <c r="F22" i="7" s="1"/>
  <c r="X22" i="7" s="1"/>
  <c r="Y22" i="7" s="1"/>
  <c r="AF22" i="7"/>
  <c r="AR22" i="7"/>
  <c r="D22" i="7"/>
  <c r="V22" i="7" s="1"/>
  <c r="W22" i="7" s="1"/>
  <c r="R81" i="9"/>
  <c r="X81" i="9"/>
  <c r="S81" i="9"/>
  <c r="V81" i="9" s="1"/>
  <c r="M27" i="4"/>
  <c r="N27" i="4" s="1"/>
  <c r="L28" i="4"/>
  <c r="E25" i="8"/>
  <c r="F25" i="8" s="1"/>
  <c r="Z24" i="8" s="1"/>
  <c r="AA24" i="8" s="1"/>
  <c r="AB34" i="10"/>
  <c r="D25" i="8"/>
  <c r="X24" i="8" s="1"/>
  <c r="Y24" i="8" s="1"/>
  <c r="BG26" i="3"/>
  <c r="A27" i="4"/>
  <c r="H26" i="4"/>
  <c r="P23" i="16"/>
  <c r="P87" i="16" s="1"/>
  <c r="F27" i="6"/>
  <c r="G27" i="6" s="1"/>
  <c r="AA26" i="6" s="1"/>
  <c r="AB26" i="6" s="1"/>
  <c r="AC26" i="6" s="1"/>
  <c r="Q82" i="9"/>
  <c r="E27" i="6"/>
  <c r="Y26" i="6" s="1"/>
  <c r="Z26" i="6" s="1"/>
  <c r="AZ22" i="3"/>
  <c r="U80" i="9"/>
  <c r="R21" i="16"/>
  <c r="BA22" i="3"/>
  <c r="O88" i="16"/>
  <c r="O93" i="16"/>
  <c r="C23" i="7"/>
  <c r="AS23" i="7"/>
  <c r="AC33" i="10"/>
  <c r="AI33" i="10"/>
  <c r="AD33" i="10"/>
  <c r="P26" i="4"/>
  <c r="Q26" i="4" s="1"/>
  <c r="O26" i="4"/>
  <c r="AJ21" i="7"/>
  <c r="AG32" i="10"/>
  <c r="AG33" i="10"/>
  <c r="AK19" i="16"/>
  <c r="AM18" i="16"/>
  <c r="AA34" i="10" l="1"/>
  <c r="Q25" i="10"/>
  <c r="R25" i="10"/>
  <c r="P26" i="10"/>
  <c r="O27" i="10"/>
  <c r="L45" i="8"/>
  <c r="M45" i="8" s="1"/>
  <c r="N45" i="8" s="1"/>
  <c r="O44" i="8"/>
  <c r="P44" i="8" s="1"/>
  <c r="N44" i="8"/>
  <c r="AF41" i="4"/>
  <c r="AG41" i="4"/>
  <c r="AH41" i="4" s="1"/>
  <c r="AE42" i="4"/>
  <c r="AO26" i="3"/>
  <c r="AN26" i="3"/>
  <c r="AL27" i="3"/>
  <c r="AM27" i="3" s="1"/>
  <c r="AQ27" i="3"/>
  <c r="AH27" i="3"/>
  <c r="AI27" i="3" s="1"/>
  <c r="AJ27" i="3" s="1"/>
  <c r="AG28" i="3"/>
  <c r="D89" i="9"/>
  <c r="E88" i="9"/>
  <c r="E26" i="5"/>
  <c r="F26" i="5" s="1"/>
  <c r="O26" i="5" s="1"/>
  <c r="P26" i="5" s="1"/>
  <c r="D26" i="5"/>
  <c r="L26" i="5" s="1"/>
  <c r="M26" i="5" s="1"/>
  <c r="N26" i="5" s="1"/>
  <c r="Y29" i="3"/>
  <c r="L29" i="3"/>
  <c r="Q20" i="9"/>
  <c r="C28" i="6"/>
  <c r="P21" i="9"/>
  <c r="X21" i="9" s="1"/>
  <c r="AA21" i="9" s="1"/>
  <c r="N29" i="6" s="1"/>
  <c r="U20" i="9"/>
  <c r="V20" i="9" s="1"/>
  <c r="Q35" i="3"/>
  <c r="AB34" i="3"/>
  <c r="M31" i="3"/>
  <c r="N30" i="3"/>
  <c r="P30" i="3"/>
  <c r="AA30" i="3" s="1"/>
  <c r="O30" i="3"/>
  <c r="Z30" i="3" s="1"/>
  <c r="Y31" i="5"/>
  <c r="Z31" i="5" s="1"/>
  <c r="B27" i="5"/>
  <c r="C27" i="5" s="1"/>
  <c r="J17" i="12"/>
  <c r="X20" i="9"/>
  <c r="AA20" i="9" s="1"/>
  <c r="N28" i="6" s="1"/>
  <c r="V32" i="4"/>
  <c r="W31" i="4"/>
  <c r="B27" i="8"/>
  <c r="C27" i="8" s="1"/>
  <c r="A28" i="8"/>
  <c r="H27" i="8"/>
  <c r="D70" i="10"/>
  <c r="F70" i="10" s="1"/>
  <c r="B71" i="10"/>
  <c r="R82" i="9"/>
  <c r="X82" i="9"/>
  <c r="S82" i="9"/>
  <c r="M28" i="4"/>
  <c r="N28" i="4" s="1"/>
  <c r="L29" i="4"/>
  <c r="C24" i="7"/>
  <c r="AS24" i="7"/>
  <c r="E25" i="4"/>
  <c r="F25" i="4" s="1"/>
  <c r="AV25" i="3"/>
  <c r="D25" i="4"/>
  <c r="I28" i="6"/>
  <c r="A29" i="6"/>
  <c r="A31" i="5"/>
  <c r="H30" i="5"/>
  <c r="S21" i="16"/>
  <c r="P27" i="4"/>
  <c r="Q27" i="4" s="1"/>
  <c r="O27" i="4"/>
  <c r="AW24" i="3"/>
  <c r="BC24" i="3"/>
  <c r="AX24" i="3"/>
  <c r="E26" i="8"/>
  <c r="F26" i="8" s="1"/>
  <c r="Z25" i="8" s="1"/>
  <c r="AA25" i="8" s="1"/>
  <c r="AB35" i="10"/>
  <c r="D26" i="8"/>
  <c r="X25" i="8" s="1"/>
  <c r="Y25" i="8" s="1"/>
  <c r="AK20" i="16"/>
  <c r="AM19" i="16"/>
  <c r="AC34" i="10"/>
  <c r="AF34" i="10" s="1"/>
  <c r="AI34" i="10"/>
  <c r="AD34" i="10"/>
  <c r="AF33" i="10"/>
  <c r="B29" i="6"/>
  <c r="D29" i="6" s="1"/>
  <c r="O22" i="9"/>
  <c r="T21" i="9"/>
  <c r="R21" i="9"/>
  <c r="Y21" i="9"/>
  <c r="BH28" i="3"/>
  <c r="BK27" i="3"/>
  <c r="E23" i="7"/>
  <c r="F23" i="7" s="1"/>
  <c r="X23" i="7" s="1"/>
  <c r="Y23" i="7" s="1"/>
  <c r="AF23" i="7"/>
  <c r="AR23" i="7"/>
  <c r="D23" i="7"/>
  <c r="V23" i="7" s="1"/>
  <c r="W23" i="7" s="1"/>
  <c r="AZ23" i="3"/>
  <c r="BG27" i="3"/>
  <c r="H27" i="4"/>
  <c r="A28" i="4"/>
  <c r="AH22" i="7"/>
  <c r="AG22" i="7"/>
  <c r="AM22" i="7"/>
  <c r="U81" i="9"/>
  <c r="B25" i="7"/>
  <c r="A26" i="7"/>
  <c r="H25" i="7"/>
  <c r="AQ25" i="7"/>
  <c r="C26" i="4"/>
  <c r="B27" i="4"/>
  <c r="BI26" i="3"/>
  <c r="BJ26" i="3" s="1"/>
  <c r="F28" i="6"/>
  <c r="G28" i="6" s="1"/>
  <c r="AA27" i="6" s="1"/>
  <c r="AB27" i="6" s="1"/>
  <c r="AC27" i="6" s="1"/>
  <c r="Q83" i="9"/>
  <c r="E28" i="6"/>
  <c r="Y27" i="6" s="1"/>
  <c r="Z27" i="6" s="1"/>
  <c r="R22" i="16"/>
  <c r="O45" i="8" l="1"/>
  <c r="P45" i="8" s="1"/>
  <c r="O28" i="10"/>
  <c r="P27" i="10"/>
  <c r="AA35" i="10"/>
  <c r="R26" i="10"/>
  <c r="Q26" i="10"/>
  <c r="O9" i="8"/>
  <c r="AE43" i="4"/>
  <c r="AG42" i="4"/>
  <c r="AH42" i="4" s="1"/>
  <c r="AF42" i="4"/>
  <c r="AO27" i="3"/>
  <c r="AN27" i="3"/>
  <c r="AG29" i="3"/>
  <c r="AH28" i="3"/>
  <c r="AI28" i="3" s="1"/>
  <c r="AJ28" i="3" s="1"/>
  <c r="AL28" i="3"/>
  <c r="AM28" i="3" s="1"/>
  <c r="AQ28" i="3"/>
  <c r="D90" i="9"/>
  <c r="E89" i="9"/>
  <c r="V33" i="4"/>
  <c r="W32" i="4"/>
  <c r="Q36" i="3"/>
  <c r="AB35" i="3"/>
  <c r="Y30" i="3"/>
  <c r="L30" i="3"/>
  <c r="B28" i="5"/>
  <c r="C28" i="5" s="1"/>
  <c r="J18" i="12"/>
  <c r="Y32" i="5"/>
  <c r="Z32" i="5" s="1"/>
  <c r="M32" i="3"/>
  <c r="O31" i="3"/>
  <c r="Z31" i="3" s="1"/>
  <c r="N31" i="3"/>
  <c r="P31" i="3"/>
  <c r="AA31" i="3" s="1"/>
  <c r="C29" i="6"/>
  <c r="P22" i="9"/>
  <c r="Q21" i="9"/>
  <c r="Y31" i="4"/>
  <c r="Z31" i="4" s="1"/>
  <c r="X31" i="4"/>
  <c r="E27" i="5"/>
  <c r="F27" i="5" s="1"/>
  <c r="O27" i="5" s="1"/>
  <c r="P27" i="5" s="1"/>
  <c r="D27" i="5"/>
  <c r="L27" i="5" s="1"/>
  <c r="M27" i="5" s="1"/>
  <c r="N27" i="5" s="1"/>
  <c r="V82" i="9"/>
  <c r="F29" i="6"/>
  <c r="G29" i="6" s="1"/>
  <c r="AA28" i="6" s="1"/>
  <c r="AB28" i="6" s="1"/>
  <c r="AC28" i="6" s="1"/>
  <c r="Q84" i="9"/>
  <c r="E29" i="6"/>
  <c r="Y28" i="6" s="1"/>
  <c r="Z28" i="6" s="1"/>
  <c r="AD35" i="10"/>
  <c r="AC35" i="10"/>
  <c r="AF35" i="10" s="1"/>
  <c r="AI35" i="10"/>
  <c r="BA24" i="3"/>
  <c r="S22" i="16"/>
  <c r="S23" i="16" s="1"/>
  <c r="S81" i="16" s="1"/>
  <c r="S87" i="16" s="1"/>
  <c r="AG34" i="10"/>
  <c r="P88" i="16"/>
  <c r="P93" i="16"/>
  <c r="R23" i="16"/>
  <c r="R87" i="16" s="1"/>
  <c r="E24" i="7"/>
  <c r="F24" i="7" s="1"/>
  <c r="X24" i="7" s="1"/>
  <c r="Y24" i="7" s="1"/>
  <c r="AF24" i="7"/>
  <c r="AR24" i="7"/>
  <c r="D24" i="7"/>
  <c r="V24" i="7" s="1"/>
  <c r="W24" i="7" s="1"/>
  <c r="B28" i="8"/>
  <c r="C28" i="8" s="1"/>
  <c r="A29" i="8"/>
  <c r="H28" i="8"/>
  <c r="AW25" i="3"/>
  <c r="AZ25" i="3" s="1"/>
  <c r="BC25" i="3"/>
  <c r="AX25" i="3"/>
  <c r="M29" i="4"/>
  <c r="N29" i="4" s="1"/>
  <c r="L30" i="4"/>
  <c r="U82" i="9"/>
  <c r="B72" i="10"/>
  <c r="D71" i="10"/>
  <c r="F71" i="10" s="1"/>
  <c r="E27" i="8"/>
  <c r="F27" i="8" s="1"/>
  <c r="Z26" i="8" s="1"/>
  <c r="AA26" i="8" s="1"/>
  <c r="AB36" i="10"/>
  <c r="D27" i="8"/>
  <c r="X26" i="8" s="1"/>
  <c r="Y26" i="8" s="1"/>
  <c r="C27" i="4"/>
  <c r="B28" i="4"/>
  <c r="BI27" i="3"/>
  <c r="BJ27" i="3" s="1"/>
  <c r="B26" i="7"/>
  <c r="A27" i="7"/>
  <c r="H26" i="7"/>
  <c r="AQ26" i="7"/>
  <c r="AJ22" i="7"/>
  <c r="AM23" i="7"/>
  <c r="AH23" i="7"/>
  <c r="AG23" i="7"/>
  <c r="AJ23" i="7" s="1"/>
  <c r="BK28" i="3"/>
  <c r="BH29" i="3"/>
  <c r="U21" i="9"/>
  <c r="V21" i="9" s="1"/>
  <c r="AZ24" i="3"/>
  <c r="Q88" i="16"/>
  <c r="Q93" i="16"/>
  <c r="R83" i="9"/>
  <c r="U83" i="9" s="1"/>
  <c r="X83" i="9"/>
  <c r="S83" i="9"/>
  <c r="V83" i="9" s="1"/>
  <c r="E26" i="4"/>
  <c r="F26" i="4" s="1"/>
  <c r="AV26" i="3"/>
  <c r="D26" i="4"/>
  <c r="C25" i="7"/>
  <c r="AS25" i="7"/>
  <c r="AK23" i="7"/>
  <c r="BG28" i="3"/>
  <c r="A29" i="4"/>
  <c r="H28" i="4"/>
  <c r="B30" i="6"/>
  <c r="D30" i="6" s="1"/>
  <c r="O23" i="9"/>
  <c r="T22" i="9"/>
  <c r="R22" i="9"/>
  <c r="X22" i="9"/>
  <c r="AA22" i="9" s="1"/>
  <c r="N30" i="6" s="1"/>
  <c r="Y22" i="9"/>
  <c r="AM20" i="16"/>
  <c r="AK21" i="16"/>
  <c r="AK22" i="7"/>
  <c r="T21" i="16"/>
  <c r="A32" i="5"/>
  <c r="H31" i="5"/>
  <c r="A30" i="6"/>
  <c r="I29" i="6"/>
  <c r="P28" i="4"/>
  <c r="Q28" i="4" s="1"/>
  <c r="O28" i="4"/>
  <c r="R27" i="10" l="1"/>
  <c r="AA36" i="10"/>
  <c r="Q27" i="10"/>
  <c r="O29" i="10"/>
  <c r="P28" i="10"/>
  <c r="R45" i="8"/>
  <c r="O10" i="8"/>
  <c r="F10" i="13" s="1"/>
  <c r="D12" i="16" s="1"/>
  <c r="AF43" i="4"/>
  <c r="AG43" i="4"/>
  <c r="AH43" i="4" s="1"/>
  <c r="AE44" i="4"/>
  <c r="U22" i="9"/>
  <c r="V22" i="9" s="1"/>
  <c r="AO28" i="3"/>
  <c r="AN28" i="3"/>
  <c r="AG30" i="3"/>
  <c r="AH29" i="3"/>
  <c r="AI29" i="3" s="1"/>
  <c r="AJ29" i="3" s="1"/>
  <c r="AL29" i="3"/>
  <c r="AM29" i="3" s="1"/>
  <c r="AQ29" i="3"/>
  <c r="J19" i="12"/>
  <c r="B29" i="5"/>
  <c r="C29" i="5" s="1"/>
  <c r="Y33" i="5"/>
  <c r="Z33" i="5" s="1"/>
  <c r="E28" i="5"/>
  <c r="F28" i="5" s="1"/>
  <c r="O28" i="5" s="1"/>
  <c r="P28" i="5" s="1"/>
  <c r="D28" i="5"/>
  <c r="L28" i="5" s="1"/>
  <c r="M28" i="5" s="1"/>
  <c r="N28" i="5" s="1"/>
  <c r="V34" i="4"/>
  <c r="W33" i="4"/>
  <c r="M33" i="3"/>
  <c r="P32" i="3"/>
  <c r="AA32" i="3" s="1"/>
  <c r="N32" i="3"/>
  <c r="Y32" i="3" s="1"/>
  <c r="O32" i="3"/>
  <c r="Z32" i="3" s="1"/>
  <c r="L31" i="3"/>
  <c r="Y31" i="3"/>
  <c r="Y32" i="4"/>
  <c r="Z32" i="4" s="1"/>
  <c r="X32" i="4"/>
  <c r="P23" i="9"/>
  <c r="C30" i="6"/>
  <c r="Q22" i="9"/>
  <c r="Q37" i="3"/>
  <c r="AB36" i="3"/>
  <c r="D91" i="9"/>
  <c r="E90" i="9"/>
  <c r="AM21" i="16"/>
  <c r="AK22" i="16"/>
  <c r="BH30" i="3"/>
  <c r="BK29" i="3"/>
  <c r="E27" i="4"/>
  <c r="F27" i="4" s="1"/>
  <c r="AV27" i="3"/>
  <c r="D27" i="4"/>
  <c r="M30" i="4"/>
  <c r="N30" i="4" s="1"/>
  <c r="L31" i="4"/>
  <c r="I30" i="6"/>
  <c r="A31" i="6"/>
  <c r="P29" i="4"/>
  <c r="Q29" i="4" s="1"/>
  <c r="O29" i="4"/>
  <c r="F30" i="6"/>
  <c r="G30" i="6" s="1"/>
  <c r="AA29" i="6" s="1"/>
  <c r="AB29" i="6" s="1"/>
  <c r="AC29" i="6" s="1"/>
  <c r="Q85" i="9"/>
  <c r="E30" i="6"/>
  <c r="Y29" i="6" s="1"/>
  <c r="Z29" i="6" s="1"/>
  <c r="U21" i="16"/>
  <c r="H29" i="4"/>
  <c r="BG29" i="3"/>
  <c r="A30" i="4"/>
  <c r="B31" i="6"/>
  <c r="D31" i="6" s="1"/>
  <c r="O24" i="9"/>
  <c r="T23" i="9"/>
  <c r="X23" i="9"/>
  <c r="AA23" i="9" s="1"/>
  <c r="N31" i="6" s="1"/>
  <c r="R23" i="9"/>
  <c r="AW26" i="3"/>
  <c r="AZ26" i="3" s="1"/>
  <c r="BC26" i="3"/>
  <c r="AX26" i="3"/>
  <c r="B73" i="10"/>
  <c r="D72" i="10"/>
  <c r="F72" i="10" s="1"/>
  <c r="B27" i="7"/>
  <c r="A28" i="7"/>
  <c r="H27" i="7"/>
  <c r="AQ27" i="7"/>
  <c r="AC36" i="10"/>
  <c r="AF36" i="10" s="1"/>
  <c r="AI36" i="10"/>
  <c r="AD36" i="10"/>
  <c r="AG36" i="10" s="1"/>
  <c r="BA25" i="3"/>
  <c r="B29" i="8"/>
  <c r="C29" i="8" s="1"/>
  <c r="A30" i="8"/>
  <c r="H29" i="8"/>
  <c r="A33" i="5"/>
  <c r="H32" i="5"/>
  <c r="E25" i="7"/>
  <c r="F25" i="7" s="1"/>
  <c r="X25" i="7" s="1"/>
  <c r="Y25" i="7" s="1"/>
  <c r="AF25" i="7"/>
  <c r="AR25" i="7"/>
  <c r="D25" i="7"/>
  <c r="V25" i="7" s="1"/>
  <c r="W25" i="7" s="1"/>
  <c r="C26" i="7"/>
  <c r="AS26" i="7"/>
  <c r="C28" i="4"/>
  <c r="B29" i="4"/>
  <c r="BI28" i="3"/>
  <c r="BJ28" i="3" s="1"/>
  <c r="E28" i="8"/>
  <c r="F28" i="8" s="1"/>
  <c r="Z27" i="8" s="1"/>
  <c r="AA27" i="8" s="1"/>
  <c r="AB37" i="10"/>
  <c r="D28" i="8"/>
  <c r="X27" i="8" s="1"/>
  <c r="Y27" i="8" s="1"/>
  <c r="AM24" i="7"/>
  <c r="AH24" i="7"/>
  <c r="AK24" i="7" s="1"/>
  <c r="AG24" i="7"/>
  <c r="AJ24" i="7" s="1"/>
  <c r="S82" i="16"/>
  <c r="T22" i="16"/>
  <c r="T23" i="16" s="1"/>
  <c r="T81" i="16" s="1"/>
  <c r="T87" i="16" s="1"/>
  <c r="AG35" i="10"/>
  <c r="R84" i="9"/>
  <c r="U84" i="9" s="1"/>
  <c r="X84" i="9"/>
  <c r="S84" i="9"/>
  <c r="V84" i="9" s="1"/>
  <c r="Q55" i="16" l="1"/>
  <c r="Q63" i="16"/>
  <c r="R55" i="16"/>
  <c r="R63" i="16"/>
  <c r="Q28" i="10"/>
  <c r="AA37" i="10"/>
  <c r="R28" i="10"/>
  <c r="O30" i="10"/>
  <c r="P29" i="10"/>
  <c r="U23" i="9"/>
  <c r="V23" i="9" s="1"/>
  <c r="AG44" i="4"/>
  <c r="AH44" i="4" s="1"/>
  <c r="AF44" i="4"/>
  <c r="AE46" i="4"/>
  <c r="AE45" i="4"/>
  <c r="AO29" i="3"/>
  <c r="AN29" i="3"/>
  <c r="AH30" i="3"/>
  <c r="AI30" i="3" s="1"/>
  <c r="AJ30" i="3" s="1"/>
  <c r="AL30" i="3"/>
  <c r="AM30" i="3" s="1"/>
  <c r="AG31" i="3"/>
  <c r="AQ30" i="3"/>
  <c r="E29" i="5"/>
  <c r="F29" i="5" s="1"/>
  <c r="O29" i="5" s="1"/>
  <c r="P29" i="5" s="1"/>
  <c r="D29" i="5"/>
  <c r="L29" i="5" s="1"/>
  <c r="M29" i="5" s="1"/>
  <c r="N29" i="5" s="1"/>
  <c r="V35" i="4"/>
  <c r="W34" i="4"/>
  <c r="Q38" i="3"/>
  <c r="AB37" i="3"/>
  <c r="Q23" i="9"/>
  <c r="C31" i="6"/>
  <c r="P24" i="9"/>
  <c r="M34" i="3"/>
  <c r="O33" i="3"/>
  <c r="Z33" i="3" s="1"/>
  <c r="N33" i="3"/>
  <c r="Y33" i="3" s="1"/>
  <c r="P33" i="3"/>
  <c r="AA33" i="3" s="1"/>
  <c r="Y23" i="9"/>
  <c r="D92" i="9"/>
  <c r="E91" i="9"/>
  <c r="Y33" i="4"/>
  <c r="Z33" i="4" s="1"/>
  <c r="X33" i="4"/>
  <c r="B30" i="5"/>
  <c r="C30" i="5" s="1"/>
  <c r="Y34" i="5"/>
  <c r="Z34" i="5" s="1"/>
  <c r="J20" i="12"/>
  <c r="E28" i="4"/>
  <c r="F28" i="4" s="1"/>
  <c r="AV28" i="3"/>
  <c r="D28" i="4"/>
  <c r="BA26" i="3"/>
  <c r="F31" i="6"/>
  <c r="G31" i="6" s="1"/>
  <c r="AA30" i="6" s="1"/>
  <c r="AB30" i="6" s="1"/>
  <c r="AC30" i="6" s="1"/>
  <c r="Q86" i="9"/>
  <c r="E31" i="6"/>
  <c r="Y30" i="6" s="1"/>
  <c r="Z30" i="6" s="1"/>
  <c r="S88" i="16"/>
  <c r="S93" i="16"/>
  <c r="B30" i="8"/>
  <c r="C30" i="8" s="1"/>
  <c r="A31" i="8"/>
  <c r="H30" i="8"/>
  <c r="A32" i="6"/>
  <c r="I31" i="6"/>
  <c r="AW27" i="3"/>
  <c r="AZ27" i="3" s="1"/>
  <c r="BC27" i="3"/>
  <c r="AX27" i="3"/>
  <c r="BA27" i="3" s="1"/>
  <c r="AK23" i="16"/>
  <c r="AM22" i="16"/>
  <c r="A34" i="5"/>
  <c r="H33" i="5"/>
  <c r="C27" i="7"/>
  <c r="AS27" i="7"/>
  <c r="BG30" i="3"/>
  <c r="H30" i="4"/>
  <c r="A31" i="4"/>
  <c r="P30" i="4"/>
  <c r="Q30" i="4" s="1"/>
  <c r="O30" i="4"/>
  <c r="AH25" i="7"/>
  <c r="AK25" i="7" s="1"/>
  <c r="AG25" i="7"/>
  <c r="AJ25" i="7" s="1"/>
  <c r="AM25" i="7"/>
  <c r="R85" i="9"/>
  <c r="U85" i="9" s="1"/>
  <c r="X85" i="9"/>
  <c r="S85" i="9"/>
  <c r="V85" i="9" s="1"/>
  <c r="BK30" i="3"/>
  <c r="BH31" i="3"/>
  <c r="AC37" i="10"/>
  <c r="AF37" i="10" s="1"/>
  <c r="AI37" i="10"/>
  <c r="AD37" i="10"/>
  <c r="AG37" i="10" s="1"/>
  <c r="E26" i="7"/>
  <c r="F26" i="7" s="1"/>
  <c r="X26" i="7" s="1"/>
  <c r="Y26" i="7" s="1"/>
  <c r="AF26" i="7"/>
  <c r="AR26" i="7"/>
  <c r="D26" i="7"/>
  <c r="V26" i="7" s="1"/>
  <c r="W26" i="7" s="1"/>
  <c r="T82" i="16"/>
  <c r="U22" i="16"/>
  <c r="C29" i="4"/>
  <c r="B30" i="4"/>
  <c r="BI29" i="3"/>
  <c r="BJ29" i="3" s="1"/>
  <c r="E29" i="8"/>
  <c r="F29" i="8" s="1"/>
  <c r="Z28" i="8" s="1"/>
  <c r="AA28" i="8" s="1"/>
  <c r="AB38" i="10"/>
  <c r="D29" i="8"/>
  <c r="X28" i="8" s="1"/>
  <c r="Y28" i="8" s="1"/>
  <c r="B28" i="7"/>
  <c r="A29" i="7"/>
  <c r="H28" i="7"/>
  <c r="AQ28" i="7"/>
  <c r="R88" i="16"/>
  <c r="R93" i="16"/>
  <c r="D73" i="10"/>
  <c r="F73" i="10" s="1"/>
  <c r="B74" i="10"/>
  <c r="D74" i="10" s="1"/>
  <c r="F74" i="10" s="1"/>
  <c r="B32" i="6"/>
  <c r="D32" i="6" s="1"/>
  <c r="O25" i="9"/>
  <c r="T24" i="9"/>
  <c r="Y24" i="9"/>
  <c r="R24" i="9"/>
  <c r="X24" i="9"/>
  <c r="AA24" i="9" s="1"/>
  <c r="N32" i="6" s="1"/>
  <c r="V21" i="16"/>
  <c r="M31" i="4"/>
  <c r="L32" i="4"/>
  <c r="L33" i="4" s="1"/>
  <c r="L34" i="4" s="1"/>
  <c r="L35" i="4" s="1"/>
  <c r="L36" i="4" s="1"/>
  <c r="L37" i="4" s="1"/>
  <c r="L38" i="4" s="1"/>
  <c r="L39" i="4" s="1"/>
  <c r="L40" i="4" s="1"/>
  <c r="L41" i="4" s="1"/>
  <c r="L42" i="4" s="1"/>
  <c r="L43" i="4" s="1"/>
  <c r="L44" i="4" s="1"/>
  <c r="L45" i="4" s="1"/>
  <c r="L46" i="4" s="1"/>
  <c r="P30" i="10" l="1"/>
  <c r="O31" i="10"/>
  <c r="AA38" i="10"/>
  <c r="R29" i="10"/>
  <c r="Q29" i="10"/>
  <c r="AF45" i="4"/>
  <c r="AG45" i="4"/>
  <c r="AH45" i="4" s="1"/>
  <c r="AG46" i="4"/>
  <c r="AH46" i="4" s="1"/>
  <c r="AH9" i="4" s="1"/>
  <c r="AH10" i="4" s="1"/>
  <c r="F9" i="13" s="1"/>
  <c r="D11" i="16" s="1"/>
  <c r="AF46" i="4"/>
  <c r="AH31" i="3"/>
  <c r="AI31" i="3" s="1"/>
  <c r="AJ31" i="3" s="1"/>
  <c r="AG32" i="3"/>
  <c r="AL31" i="3"/>
  <c r="AM31" i="3" s="1"/>
  <c r="AQ31" i="3"/>
  <c r="AO30" i="3"/>
  <c r="AN30" i="3"/>
  <c r="Y34" i="4"/>
  <c r="Z34" i="4" s="1"/>
  <c r="X34" i="4"/>
  <c r="E30" i="5"/>
  <c r="F30" i="5" s="1"/>
  <c r="O30" i="5" s="1"/>
  <c r="P30" i="5" s="1"/>
  <c r="D30" i="5"/>
  <c r="L30" i="5" s="1"/>
  <c r="M30" i="5" s="1"/>
  <c r="N30" i="5" s="1"/>
  <c r="E92" i="9"/>
  <c r="D93" i="9"/>
  <c r="V36" i="4"/>
  <c r="W35" i="4"/>
  <c r="M35" i="3"/>
  <c r="O34" i="3"/>
  <c r="Z34" i="3" s="1"/>
  <c r="P34" i="3"/>
  <c r="AA34" i="3" s="1"/>
  <c r="N34" i="3"/>
  <c r="Y34" i="3" s="1"/>
  <c r="Y35" i="5"/>
  <c r="Z35" i="5" s="1"/>
  <c r="B31" i="5"/>
  <c r="C31" i="5" s="1"/>
  <c r="J21" i="12"/>
  <c r="P25" i="9"/>
  <c r="Q24" i="9"/>
  <c r="C32" i="6"/>
  <c r="Q39" i="3"/>
  <c r="AB38" i="3"/>
  <c r="W21" i="16"/>
  <c r="E29" i="4"/>
  <c r="F29" i="4" s="1"/>
  <c r="AV29" i="3"/>
  <c r="D29" i="4"/>
  <c r="F32" i="6"/>
  <c r="G32" i="6" s="1"/>
  <c r="AA31" i="6" s="1"/>
  <c r="AB31" i="6" s="1"/>
  <c r="AC31" i="6" s="1"/>
  <c r="Q87" i="9"/>
  <c r="E32" i="6"/>
  <c r="Y31" i="6" s="1"/>
  <c r="Z31" i="6" s="1"/>
  <c r="C28" i="7"/>
  <c r="AS28" i="7"/>
  <c r="R86" i="9"/>
  <c r="U86" i="9" s="1"/>
  <c r="X86" i="9"/>
  <c r="S86" i="9"/>
  <c r="V86" i="9" s="1"/>
  <c r="AH26" i="7"/>
  <c r="AK26" i="7" s="1"/>
  <c r="AG26" i="7"/>
  <c r="AJ26" i="7" s="1"/>
  <c r="AM26" i="7"/>
  <c r="I32" i="6"/>
  <c r="A33" i="6"/>
  <c r="E30" i="8"/>
  <c r="F30" i="8" s="1"/>
  <c r="Z29" i="8" s="1"/>
  <c r="AA29" i="8" s="1"/>
  <c r="AB39" i="10"/>
  <c r="D30" i="8"/>
  <c r="X29" i="8" s="1"/>
  <c r="Y29" i="8" s="1"/>
  <c r="AW28" i="3"/>
  <c r="AZ28" i="3" s="1"/>
  <c r="BC28" i="3"/>
  <c r="AX28" i="3"/>
  <c r="BA28" i="3" s="1"/>
  <c r="M32" i="4"/>
  <c r="N31" i="4"/>
  <c r="V22" i="16"/>
  <c r="A35" i="5"/>
  <c r="H34" i="5"/>
  <c r="B31" i="8"/>
  <c r="C31" i="8" s="1"/>
  <c r="A32" i="8"/>
  <c r="H31" i="8"/>
  <c r="U23" i="16"/>
  <c r="U81" i="16" s="1"/>
  <c r="U87" i="16" s="1"/>
  <c r="U24" i="9"/>
  <c r="V24" i="9" s="1"/>
  <c r="AC38" i="10"/>
  <c r="AF38" i="10" s="1"/>
  <c r="AI38" i="10"/>
  <c r="AD38" i="10"/>
  <c r="AG38" i="10" s="1"/>
  <c r="B33" i="6"/>
  <c r="D33" i="6" s="1"/>
  <c r="O26" i="9"/>
  <c r="T25" i="9"/>
  <c r="R25" i="9"/>
  <c r="B29" i="7"/>
  <c r="A30" i="7"/>
  <c r="H29" i="7"/>
  <c r="AQ29" i="7"/>
  <c r="C30" i="4"/>
  <c r="B31" i="4"/>
  <c r="BI30" i="3"/>
  <c r="BJ30" i="3" s="1"/>
  <c r="T88" i="16"/>
  <c r="T93" i="16"/>
  <c r="BK31" i="3"/>
  <c r="BH32" i="3"/>
  <c r="A32" i="4"/>
  <c r="H31" i="4"/>
  <c r="BG31" i="3"/>
  <c r="E27" i="7"/>
  <c r="F27" i="7" s="1"/>
  <c r="X27" i="7" s="1"/>
  <c r="Y27" i="7" s="1"/>
  <c r="AF27" i="7"/>
  <c r="AR27" i="7"/>
  <c r="D27" i="7"/>
  <c r="V27" i="7" s="1"/>
  <c r="W27" i="7" s="1"/>
  <c r="AK77" i="16"/>
  <c r="AM23" i="16"/>
  <c r="L64" i="16" l="1"/>
  <c r="P64" i="16"/>
  <c r="L56" i="16"/>
  <c r="Q64" i="16"/>
  <c r="Q56" i="16"/>
  <c r="R64" i="16"/>
  <c r="R56" i="16"/>
  <c r="M64" i="16"/>
  <c r="M56" i="16"/>
  <c r="N56" i="16"/>
  <c r="P56" i="16"/>
  <c r="N64" i="16"/>
  <c r="O64" i="16"/>
  <c r="O56" i="16"/>
  <c r="P31" i="10"/>
  <c r="O32" i="10"/>
  <c r="Q30" i="10"/>
  <c r="R30" i="10"/>
  <c r="AA39" i="10"/>
  <c r="U25" i="9"/>
  <c r="V25" i="9" s="1"/>
  <c r="AN31" i="3"/>
  <c r="AO31" i="3"/>
  <c r="AO51" i="3" s="1"/>
  <c r="AQ32" i="3"/>
  <c r="AG33" i="3"/>
  <c r="AL32" i="3"/>
  <c r="AM32" i="3" s="1"/>
  <c r="AH32" i="3"/>
  <c r="AI32" i="3" s="1"/>
  <c r="AJ32" i="3" s="1"/>
  <c r="Q25" i="9"/>
  <c r="P26" i="9"/>
  <c r="X26" i="9" s="1"/>
  <c r="AA26" i="9" s="1"/>
  <c r="N34" i="6" s="1"/>
  <c r="C33" i="6"/>
  <c r="Y35" i="4"/>
  <c r="Z35" i="4" s="1"/>
  <c r="X35" i="4"/>
  <c r="Y25" i="9"/>
  <c r="J22" i="12"/>
  <c r="B32" i="5"/>
  <c r="C32" i="5" s="1"/>
  <c r="Y36" i="5"/>
  <c r="Z36" i="5" s="1"/>
  <c r="V37" i="4"/>
  <c r="W36" i="4"/>
  <c r="D31" i="5"/>
  <c r="L31" i="5" s="1"/>
  <c r="M31" i="5" s="1"/>
  <c r="N31" i="5" s="1"/>
  <c r="E31" i="5"/>
  <c r="F31" i="5" s="1"/>
  <c r="O31" i="5" s="1"/>
  <c r="P31" i="5" s="1"/>
  <c r="E93" i="9"/>
  <c r="D94" i="9"/>
  <c r="X25" i="9"/>
  <c r="AA25" i="9" s="1"/>
  <c r="N33" i="6" s="1"/>
  <c r="Q40" i="3"/>
  <c r="AB39" i="3"/>
  <c r="N35" i="3"/>
  <c r="Y35" i="3" s="1"/>
  <c r="O35" i="3"/>
  <c r="Z35" i="3" s="1"/>
  <c r="M36" i="3"/>
  <c r="P35" i="3"/>
  <c r="AA35" i="3" s="1"/>
  <c r="B30" i="7"/>
  <c r="A31" i="7"/>
  <c r="H30" i="7"/>
  <c r="AQ30" i="7"/>
  <c r="W22" i="16"/>
  <c r="W23" i="16" s="1"/>
  <c r="W81" i="16" s="1"/>
  <c r="W87" i="16" s="1"/>
  <c r="R87" i="9"/>
  <c r="U87" i="9" s="1"/>
  <c r="X87" i="9"/>
  <c r="Y87" i="9" s="1"/>
  <c r="S87" i="9"/>
  <c r="V87" i="9" s="1"/>
  <c r="BK32" i="3"/>
  <c r="BH33" i="3"/>
  <c r="E30" i="4"/>
  <c r="F30" i="4" s="1"/>
  <c r="AV30" i="3"/>
  <c r="D30" i="4"/>
  <c r="C29" i="7"/>
  <c r="AS29" i="7"/>
  <c r="A36" i="5"/>
  <c r="H35" i="5"/>
  <c r="AD39" i="10"/>
  <c r="AG39" i="10" s="1"/>
  <c r="AC39" i="10"/>
  <c r="AF39" i="10" s="1"/>
  <c r="AI39" i="10"/>
  <c r="AJ39" i="10" s="1"/>
  <c r="X21" i="16"/>
  <c r="C31" i="4"/>
  <c r="B32" i="4"/>
  <c r="BI31" i="3"/>
  <c r="BJ31" i="3" s="1"/>
  <c r="M33" i="4"/>
  <c r="N32" i="4"/>
  <c r="B34" i="6"/>
  <c r="D34" i="6" s="1"/>
  <c r="O27" i="9"/>
  <c r="T26" i="9"/>
  <c r="R26" i="9"/>
  <c r="Y26" i="9"/>
  <c r="B32" i="8"/>
  <c r="C32" i="8" s="1"/>
  <c r="A33" i="8"/>
  <c r="H32" i="8"/>
  <c r="U82" i="16"/>
  <c r="E28" i="7"/>
  <c r="F28" i="7" s="1"/>
  <c r="X28" i="7" s="1"/>
  <c r="Y28" i="7" s="1"/>
  <c r="AF28" i="7"/>
  <c r="AR28" i="7"/>
  <c r="D28" i="7"/>
  <c r="V28" i="7" s="1"/>
  <c r="W28" i="7" s="1"/>
  <c r="AM27" i="7"/>
  <c r="AH27" i="7"/>
  <c r="AK27" i="7" s="1"/>
  <c r="AG27" i="7"/>
  <c r="AJ27" i="7" s="1"/>
  <c r="A33" i="4"/>
  <c r="BG32" i="3"/>
  <c r="H32" i="4"/>
  <c r="AM77" i="16"/>
  <c r="AK78" i="16"/>
  <c r="F33" i="6"/>
  <c r="G33" i="6" s="1"/>
  <c r="AA32" i="6" s="1"/>
  <c r="AB32" i="6" s="1"/>
  <c r="AC32" i="6" s="1"/>
  <c r="Q88" i="9"/>
  <c r="E33" i="6"/>
  <c r="Y32" i="6" s="1"/>
  <c r="Z32" i="6" s="1"/>
  <c r="E31" i="8"/>
  <c r="F31" i="8" s="1"/>
  <c r="Z30" i="8" s="1"/>
  <c r="AA30" i="8" s="1"/>
  <c r="AB40" i="10"/>
  <c r="D31" i="8"/>
  <c r="X30" i="8" s="1"/>
  <c r="Y30" i="8" s="1"/>
  <c r="P31" i="4"/>
  <c r="Q31" i="4" s="1"/>
  <c r="O31" i="4"/>
  <c r="A34" i="6"/>
  <c r="I33" i="6"/>
  <c r="AW29" i="3"/>
  <c r="AZ29" i="3" s="1"/>
  <c r="BC29" i="3"/>
  <c r="AX29" i="3"/>
  <c r="BA29" i="3" s="1"/>
  <c r="V23" i="16"/>
  <c r="V81" i="16" s="1"/>
  <c r="V87" i="16" s="1"/>
  <c r="AA40" i="10" l="1"/>
  <c r="Q31" i="10"/>
  <c r="R31" i="10"/>
  <c r="O33" i="10"/>
  <c r="P32" i="10"/>
  <c r="AN32" i="3"/>
  <c r="AO32" i="3"/>
  <c r="AO46" i="3" s="1"/>
  <c r="AQ33" i="3"/>
  <c r="AG34" i="3"/>
  <c r="AH33" i="3"/>
  <c r="AI33" i="3" s="1"/>
  <c r="AJ33" i="3" s="1"/>
  <c r="AL33" i="3"/>
  <c r="AM33" i="3" s="1"/>
  <c r="AN46" i="3"/>
  <c r="AN51" i="3"/>
  <c r="E32" i="5"/>
  <c r="F32" i="5" s="1"/>
  <c r="O32" i="5" s="1"/>
  <c r="P32" i="5" s="1"/>
  <c r="D32" i="5"/>
  <c r="L32" i="5" s="1"/>
  <c r="M32" i="5" s="1"/>
  <c r="N32" i="5" s="1"/>
  <c r="E94" i="9"/>
  <c r="D95" i="9"/>
  <c r="X36" i="4"/>
  <c r="Y36" i="4"/>
  <c r="Z36" i="4" s="1"/>
  <c r="B33" i="5"/>
  <c r="C33" i="5" s="1"/>
  <c r="J23" i="12"/>
  <c r="Y37" i="5"/>
  <c r="Z37" i="5" s="1"/>
  <c r="V38" i="4"/>
  <c r="W37" i="4"/>
  <c r="C34" i="6"/>
  <c r="P27" i="9"/>
  <c r="Q26" i="9"/>
  <c r="N36" i="3"/>
  <c r="Y36" i="3" s="1"/>
  <c r="P36" i="3"/>
  <c r="AA36" i="3" s="1"/>
  <c r="O36" i="3"/>
  <c r="Z36" i="3" s="1"/>
  <c r="M37" i="3"/>
  <c r="Q41" i="3"/>
  <c r="AB40" i="3"/>
  <c r="W82" i="16"/>
  <c r="X22" i="16"/>
  <c r="X23" i="16" s="1"/>
  <c r="X81" i="16" s="1"/>
  <c r="X87" i="16" s="1"/>
  <c r="AM28" i="7"/>
  <c r="AH28" i="7"/>
  <c r="AK28" i="7" s="1"/>
  <c r="AG28" i="7"/>
  <c r="AJ28" i="7" s="1"/>
  <c r="B33" i="8"/>
  <c r="C33" i="8" s="1"/>
  <c r="A34" i="8"/>
  <c r="H33" i="8"/>
  <c r="E29" i="7"/>
  <c r="F29" i="7" s="1"/>
  <c r="X29" i="7" s="1"/>
  <c r="Y29" i="7" s="1"/>
  <c r="AF29" i="7"/>
  <c r="AR29" i="7"/>
  <c r="D29" i="7"/>
  <c r="V29" i="7" s="1"/>
  <c r="W29" i="7" s="1"/>
  <c r="BK33" i="3"/>
  <c r="BH34" i="3"/>
  <c r="B31" i="7"/>
  <c r="A32" i="7"/>
  <c r="H31" i="7"/>
  <c r="AQ31" i="7"/>
  <c r="S88" i="9"/>
  <c r="V88" i="9" s="1"/>
  <c r="X88" i="9"/>
  <c r="Y88" i="9" s="1"/>
  <c r="R88" i="9"/>
  <c r="U88" i="9" s="1"/>
  <c r="E32" i="8"/>
  <c r="F32" i="8" s="1"/>
  <c r="Z31" i="8" s="1"/>
  <c r="AA31" i="8" s="1"/>
  <c r="AB41" i="10"/>
  <c r="D32" i="8"/>
  <c r="X31" i="8" s="1"/>
  <c r="Y31" i="8" s="1"/>
  <c r="U26" i="9"/>
  <c r="V26" i="9" s="1"/>
  <c r="P32" i="4"/>
  <c r="Q32" i="4" s="1"/>
  <c r="O32" i="4"/>
  <c r="V82" i="16"/>
  <c r="C30" i="7"/>
  <c r="AS30" i="7"/>
  <c r="F34" i="6"/>
  <c r="G34" i="6" s="1"/>
  <c r="AA33" i="6" s="1"/>
  <c r="AB33" i="6" s="1"/>
  <c r="AC33" i="6" s="1"/>
  <c r="Q89" i="9"/>
  <c r="E34" i="6"/>
  <c r="Y33" i="6" s="1"/>
  <c r="Z33" i="6" s="1"/>
  <c r="E31" i="4"/>
  <c r="F31" i="4" s="1"/>
  <c r="AV31" i="3"/>
  <c r="D31" i="4"/>
  <c r="I34" i="6"/>
  <c r="A35" i="6"/>
  <c r="AD40" i="10"/>
  <c r="AG40" i="10" s="1"/>
  <c r="AC40" i="10"/>
  <c r="AF40" i="10" s="1"/>
  <c r="AI40" i="10"/>
  <c r="AJ40" i="10" s="1"/>
  <c r="AK79" i="16"/>
  <c r="AM78" i="16"/>
  <c r="H33" i="4"/>
  <c r="BG33" i="3"/>
  <c r="A34" i="4"/>
  <c r="U88" i="16"/>
  <c r="U93" i="16"/>
  <c r="B35" i="6"/>
  <c r="D35" i="6" s="1"/>
  <c r="O28" i="9"/>
  <c r="Y27" i="9"/>
  <c r="T27" i="9"/>
  <c r="X27" i="9"/>
  <c r="AA27" i="9" s="1"/>
  <c r="N35" i="6" s="1"/>
  <c r="R27" i="9"/>
  <c r="N33" i="4"/>
  <c r="M34" i="4"/>
  <c r="C32" i="4"/>
  <c r="B33" i="4"/>
  <c r="BI32" i="3"/>
  <c r="BJ32" i="3" s="1"/>
  <c r="Y21" i="16"/>
  <c r="A37" i="5"/>
  <c r="H36" i="5"/>
  <c r="AW30" i="3"/>
  <c r="AZ30" i="3" s="1"/>
  <c r="BC30" i="3"/>
  <c r="AX30" i="3"/>
  <c r="BA30" i="3" s="1"/>
  <c r="U27" i="9" l="1"/>
  <c r="V27" i="9" s="1"/>
  <c r="AA41" i="10"/>
  <c r="R32" i="10"/>
  <c r="Q32" i="10"/>
  <c r="O34" i="10"/>
  <c r="P33" i="10"/>
  <c r="AN33" i="3"/>
  <c r="AO33" i="3"/>
  <c r="AH34" i="3"/>
  <c r="AI34" i="3" s="1"/>
  <c r="AJ34" i="3" s="1"/>
  <c r="AG35" i="3"/>
  <c r="AQ34" i="3"/>
  <c r="AL34" i="3"/>
  <c r="AM34" i="3" s="1"/>
  <c r="O37" i="3"/>
  <c r="Z37" i="3" s="1"/>
  <c r="N37" i="3"/>
  <c r="Y37" i="3" s="1"/>
  <c r="P37" i="3"/>
  <c r="AA37" i="3" s="1"/>
  <c r="M38" i="3"/>
  <c r="J24" i="12"/>
  <c r="Y38" i="5"/>
  <c r="Z38" i="5" s="1"/>
  <c r="B34" i="5"/>
  <c r="C34" i="5" s="1"/>
  <c r="D96" i="9"/>
  <c r="E95" i="9"/>
  <c r="Y37" i="4"/>
  <c r="Z37" i="4" s="1"/>
  <c r="X37" i="4"/>
  <c r="D33" i="5"/>
  <c r="L33" i="5" s="1"/>
  <c r="M33" i="5" s="1"/>
  <c r="N33" i="5" s="1"/>
  <c r="E33" i="5"/>
  <c r="F33" i="5" s="1"/>
  <c r="O33" i="5" s="1"/>
  <c r="P33" i="5" s="1"/>
  <c r="V39" i="4"/>
  <c r="V40" i="4" s="1"/>
  <c r="V41" i="4" s="1"/>
  <c r="V42" i="4" s="1"/>
  <c r="V43" i="4" s="1"/>
  <c r="V44" i="4" s="1"/>
  <c r="V45" i="4" s="1"/>
  <c r="V46" i="4" s="1"/>
  <c r="W38" i="4"/>
  <c r="Q42" i="3"/>
  <c r="AB41" i="3"/>
  <c r="C35" i="6"/>
  <c r="P28" i="9"/>
  <c r="Y28" i="9" s="1"/>
  <c r="Q27" i="9"/>
  <c r="C31" i="7"/>
  <c r="AS31" i="7"/>
  <c r="E33" i="8"/>
  <c r="F33" i="8" s="1"/>
  <c r="Z32" i="8" s="1"/>
  <c r="AA32" i="8" s="1"/>
  <c r="AB42" i="10"/>
  <c r="D33" i="8"/>
  <c r="X32" i="8" s="1"/>
  <c r="Y32" i="8" s="1"/>
  <c r="F35" i="6"/>
  <c r="G35" i="6" s="1"/>
  <c r="AA34" i="6" s="1"/>
  <c r="AB34" i="6" s="1"/>
  <c r="AC34" i="6" s="1"/>
  <c r="Q90" i="9"/>
  <c r="E35" i="6"/>
  <c r="Y34" i="6" s="1"/>
  <c r="Z34" i="6" s="1"/>
  <c r="E30" i="7"/>
  <c r="F30" i="7" s="1"/>
  <c r="X30" i="7" s="1"/>
  <c r="Y30" i="7" s="1"/>
  <c r="AF30" i="7"/>
  <c r="D30" i="7"/>
  <c r="V30" i="7" s="1"/>
  <c r="W30" i="7" s="1"/>
  <c r="AR30" i="7"/>
  <c r="Z21" i="16"/>
  <c r="N34" i="4"/>
  <c r="M35" i="4"/>
  <c r="R89" i="9"/>
  <c r="U89" i="9" s="1"/>
  <c r="X89" i="9"/>
  <c r="Y89" i="9" s="1"/>
  <c r="S89" i="9"/>
  <c r="V89" i="9" s="1"/>
  <c r="V88" i="16"/>
  <c r="V93" i="16"/>
  <c r="W88" i="16"/>
  <c r="W93" i="16"/>
  <c r="E32" i="4"/>
  <c r="F32" i="4" s="1"/>
  <c r="AV32" i="3"/>
  <c r="D32" i="4"/>
  <c r="AW31" i="3"/>
  <c r="AZ31" i="3" s="1"/>
  <c r="BC31" i="3"/>
  <c r="BD31" i="3" s="1"/>
  <c r="AX31" i="3"/>
  <c r="BA31" i="3" s="1"/>
  <c r="AD41" i="10"/>
  <c r="AG41" i="10" s="1"/>
  <c r="AC41" i="10"/>
  <c r="AF41" i="10" s="1"/>
  <c r="AI41" i="10"/>
  <c r="AJ41" i="10" s="1"/>
  <c r="BK34" i="3"/>
  <c r="BH35" i="3"/>
  <c r="AH29" i="7"/>
  <c r="AK29" i="7" s="1"/>
  <c r="AG29" i="7"/>
  <c r="AJ29" i="7" s="1"/>
  <c r="AM29" i="7"/>
  <c r="AN29" i="7" s="1"/>
  <c r="A38" i="5"/>
  <c r="H37" i="5"/>
  <c r="P33" i="4"/>
  <c r="Q33" i="4" s="1"/>
  <c r="O33" i="4"/>
  <c r="C33" i="4"/>
  <c r="B34" i="4"/>
  <c r="BI33" i="3"/>
  <c r="BJ33" i="3" s="1"/>
  <c r="B36" i="6"/>
  <c r="D36" i="6" s="1"/>
  <c r="O29" i="9"/>
  <c r="T28" i="9"/>
  <c r="R28" i="9"/>
  <c r="BG34" i="3"/>
  <c r="H34" i="4"/>
  <c r="A35" i="4"/>
  <c r="AK80" i="16"/>
  <c r="AM79" i="16"/>
  <c r="A36" i="6"/>
  <c r="I35" i="6"/>
  <c r="B32" i="7"/>
  <c r="A33" i="7"/>
  <c r="H32" i="7"/>
  <c r="AQ32" i="7"/>
  <c r="B34" i="8"/>
  <c r="C34" i="8" s="1"/>
  <c r="A35" i="8"/>
  <c r="H34" i="8"/>
  <c r="X82" i="16"/>
  <c r="Y22" i="16"/>
  <c r="Y23" i="16" s="1"/>
  <c r="Y81" i="16" s="1"/>
  <c r="Y87" i="16" s="1"/>
  <c r="Q33" i="10" l="1"/>
  <c r="AA42" i="10"/>
  <c r="R33" i="10"/>
  <c r="P34" i="10"/>
  <c r="O35" i="10"/>
  <c r="AN34" i="3"/>
  <c r="AO34" i="3"/>
  <c r="AL35" i="3"/>
  <c r="AM35" i="3" s="1"/>
  <c r="AH35" i="3"/>
  <c r="AI35" i="3" s="1"/>
  <c r="AJ35" i="3" s="1"/>
  <c r="AG36" i="3"/>
  <c r="AQ35" i="3"/>
  <c r="X28" i="9"/>
  <c r="AA28" i="9" s="1"/>
  <c r="N36" i="6" s="1"/>
  <c r="W39" i="4"/>
  <c r="E34" i="5"/>
  <c r="F34" i="5" s="1"/>
  <c r="O34" i="5" s="1"/>
  <c r="P34" i="5" s="1"/>
  <c r="D34" i="5"/>
  <c r="L34" i="5" s="1"/>
  <c r="M34" i="5" s="1"/>
  <c r="N34" i="5" s="1"/>
  <c r="P38" i="3"/>
  <c r="AA38" i="3" s="1"/>
  <c r="N38" i="3"/>
  <c r="Y38" i="3" s="1"/>
  <c r="O38" i="3"/>
  <c r="Z38" i="3" s="1"/>
  <c r="M39" i="3"/>
  <c r="AB42" i="3"/>
  <c r="Q43" i="3"/>
  <c r="D97" i="9"/>
  <c r="E96" i="9"/>
  <c r="U28" i="9"/>
  <c r="V28" i="9" s="1"/>
  <c r="Q28" i="9"/>
  <c r="P29" i="9"/>
  <c r="Y29" i="9" s="1"/>
  <c r="C36" i="6"/>
  <c r="Y38" i="4"/>
  <c r="Z38" i="4" s="1"/>
  <c r="X38" i="4"/>
  <c r="B35" i="5"/>
  <c r="C35" i="5" s="1"/>
  <c r="J25" i="12"/>
  <c r="Y39" i="5"/>
  <c r="Z39" i="5" s="1"/>
  <c r="B35" i="8"/>
  <c r="C35" i="8" s="1"/>
  <c r="A36" i="8"/>
  <c r="H35" i="8"/>
  <c r="B33" i="7"/>
  <c r="A34" i="7"/>
  <c r="H33" i="7"/>
  <c r="AQ33" i="7"/>
  <c r="AK81" i="16"/>
  <c r="AM80" i="16"/>
  <c r="B37" i="6"/>
  <c r="D37" i="6" s="1"/>
  <c r="O30" i="9"/>
  <c r="T29" i="9"/>
  <c r="X29" i="9"/>
  <c r="AA29" i="9" s="1"/>
  <c r="N37" i="6" s="1"/>
  <c r="R29" i="9"/>
  <c r="A39" i="5"/>
  <c r="H38" i="5"/>
  <c r="BK35" i="3"/>
  <c r="BH36" i="3"/>
  <c r="P34" i="4"/>
  <c r="Q34" i="4" s="1"/>
  <c r="O34" i="4"/>
  <c r="AD42" i="10"/>
  <c r="AG42" i="10" s="1"/>
  <c r="AC42" i="10"/>
  <c r="AF42" i="10" s="1"/>
  <c r="AI42" i="10"/>
  <c r="AJ42" i="10" s="1"/>
  <c r="E34" i="8"/>
  <c r="F34" i="8" s="1"/>
  <c r="Z33" i="8" s="1"/>
  <c r="AA33" i="8" s="1"/>
  <c r="AB43" i="10"/>
  <c r="D34" i="8"/>
  <c r="X33" i="8" s="1"/>
  <c r="Y33" i="8" s="1"/>
  <c r="C32" i="7"/>
  <c r="AS32" i="7"/>
  <c r="A36" i="4"/>
  <c r="H35" i="4"/>
  <c r="BG35" i="3"/>
  <c r="F36" i="6"/>
  <c r="G36" i="6" s="1"/>
  <c r="AA35" i="6" s="1"/>
  <c r="AB35" i="6" s="1"/>
  <c r="AC35" i="6" s="1"/>
  <c r="Q91" i="9"/>
  <c r="E36" i="6"/>
  <c r="Y35" i="6" s="1"/>
  <c r="Z35" i="6" s="1"/>
  <c r="C34" i="4"/>
  <c r="B35" i="4"/>
  <c r="BI34" i="3"/>
  <c r="BJ34" i="3" s="1"/>
  <c r="AA21" i="16"/>
  <c r="R90" i="9"/>
  <c r="U90" i="9" s="1"/>
  <c r="X90" i="9"/>
  <c r="Y90" i="9" s="1"/>
  <c r="S90" i="9"/>
  <c r="V90" i="9" s="1"/>
  <c r="E31" i="7"/>
  <c r="F31" i="7" s="1"/>
  <c r="X31" i="7" s="1"/>
  <c r="Y31" i="7" s="1"/>
  <c r="AF31" i="7"/>
  <c r="AR31" i="7"/>
  <c r="D31" i="7"/>
  <c r="V31" i="7" s="1"/>
  <c r="W31" i="7" s="1"/>
  <c r="M36" i="4"/>
  <c r="N35" i="4"/>
  <c r="Y82" i="16"/>
  <c r="Z22" i="16"/>
  <c r="X88" i="16"/>
  <c r="X93" i="16"/>
  <c r="I36" i="6"/>
  <c r="A37" i="6"/>
  <c r="E33" i="4"/>
  <c r="F33" i="4" s="1"/>
  <c r="AV33" i="3"/>
  <c r="D33" i="4"/>
  <c r="AX32" i="3"/>
  <c r="BA32" i="3" s="1"/>
  <c r="AW32" i="3"/>
  <c r="AZ32" i="3" s="1"/>
  <c r="BC32" i="3"/>
  <c r="BD32" i="3" s="1"/>
  <c r="AH30" i="7"/>
  <c r="AK30" i="7" s="1"/>
  <c r="AG30" i="7"/>
  <c r="AJ30" i="7" s="1"/>
  <c r="AM30" i="7"/>
  <c r="AN30" i="7" s="1"/>
  <c r="P35" i="10" l="1"/>
  <c r="O36" i="10"/>
  <c r="AA43" i="10"/>
  <c r="Q34" i="10"/>
  <c r="R34" i="10"/>
  <c r="AL36" i="3"/>
  <c r="AM36" i="3" s="1"/>
  <c r="AG37" i="3"/>
  <c r="AQ36" i="3"/>
  <c r="AH36" i="3"/>
  <c r="AI36" i="3" s="1"/>
  <c r="AJ36" i="3" s="1"/>
  <c r="AN35" i="3"/>
  <c r="AO35" i="3"/>
  <c r="P39" i="3"/>
  <c r="AA39" i="3" s="1"/>
  <c r="N39" i="3"/>
  <c r="Y39" i="3" s="1"/>
  <c r="O39" i="3"/>
  <c r="Z39" i="3" s="1"/>
  <c r="M40" i="3"/>
  <c r="J26" i="12"/>
  <c r="Y40" i="5"/>
  <c r="Z40" i="5" s="1"/>
  <c r="B36" i="5"/>
  <c r="C36" i="5" s="1"/>
  <c r="Q44" i="3"/>
  <c r="AB43" i="3"/>
  <c r="X39" i="4"/>
  <c r="Y39" i="4"/>
  <c r="Z39" i="4" s="1"/>
  <c r="E35" i="5"/>
  <c r="F35" i="5" s="1"/>
  <c r="O35" i="5" s="1"/>
  <c r="P35" i="5" s="1"/>
  <c r="D35" i="5"/>
  <c r="L35" i="5" s="1"/>
  <c r="M35" i="5" s="1"/>
  <c r="N35" i="5" s="1"/>
  <c r="Q29" i="9"/>
  <c r="C37" i="6"/>
  <c r="P30" i="9"/>
  <c r="Y30" i="9" s="1"/>
  <c r="E97" i="9"/>
  <c r="D98" i="9"/>
  <c r="W40" i="4"/>
  <c r="AM31" i="7"/>
  <c r="AN31" i="7" s="1"/>
  <c r="AH31" i="7"/>
  <c r="AK31" i="7" s="1"/>
  <c r="AG31" i="7"/>
  <c r="AJ31" i="7" s="1"/>
  <c r="E32" i="7"/>
  <c r="F32" i="7" s="1"/>
  <c r="X32" i="7" s="1"/>
  <c r="Y32" i="7" s="1"/>
  <c r="D32" i="7"/>
  <c r="V32" i="7" s="1"/>
  <c r="W32" i="7" s="1"/>
  <c r="AF32" i="7"/>
  <c r="AR32" i="7"/>
  <c r="AA22" i="16"/>
  <c r="AA23" i="16" s="1"/>
  <c r="AA81" i="16" s="1"/>
  <c r="AA87" i="16" s="1"/>
  <c r="M37" i="4"/>
  <c r="N36" i="4"/>
  <c r="AB21" i="16"/>
  <c r="A40" i="5"/>
  <c r="H39" i="5"/>
  <c r="U29" i="9"/>
  <c r="V29" i="9" s="1"/>
  <c r="AM81" i="16"/>
  <c r="AK82" i="16"/>
  <c r="C33" i="7"/>
  <c r="AS33" i="7"/>
  <c r="E34" i="4"/>
  <c r="F34" i="4" s="1"/>
  <c r="AV34" i="3"/>
  <c r="D34" i="4"/>
  <c r="E35" i="8"/>
  <c r="F35" i="8" s="1"/>
  <c r="Z34" i="8" s="1"/>
  <c r="AA34" i="8" s="1"/>
  <c r="AB44" i="10"/>
  <c r="D35" i="8"/>
  <c r="X34" i="8" s="1"/>
  <c r="Y34" i="8" s="1"/>
  <c r="A38" i="6"/>
  <c r="I37" i="6"/>
  <c r="S91" i="9"/>
  <c r="V91" i="9" s="1"/>
  <c r="X91" i="9"/>
  <c r="Y91" i="9" s="1"/>
  <c r="R91" i="9"/>
  <c r="U91" i="9" s="1"/>
  <c r="A37" i="4"/>
  <c r="BG36" i="3"/>
  <c r="H36" i="4"/>
  <c r="AD43" i="10"/>
  <c r="AG43" i="10" s="1"/>
  <c r="AC43" i="10"/>
  <c r="AF43" i="10" s="1"/>
  <c r="AI43" i="10"/>
  <c r="AJ43" i="10" s="1"/>
  <c r="BK36" i="3"/>
  <c r="BH37" i="3"/>
  <c r="B38" i="6"/>
  <c r="D38" i="6" s="1"/>
  <c r="O31" i="9"/>
  <c r="T30" i="9"/>
  <c r="R30" i="9"/>
  <c r="X30" i="9"/>
  <c r="AA30" i="9" s="1"/>
  <c r="N38" i="6" s="1"/>
  <c r="AW33" i="3"/>
  <c r="AZ33" i="3" s="1"/>
  <c r="BC33" i="3"/>
  <c r="BD33" i="3" s="1"/>
  <c r="AX33" i="3"/>
  <c r="BA33" i="3" s="1"/>
  <c r="P35" i="4"/>
  <c r="Q35" i="4" s="1"/>
  <c r="O35" i="4"/>
  <c r="B34" i="7"/>
  <c r="A35" i="7"/>
  <c r="H34" i="7"/>
  <c r="AQ34" i="7"/>
  <c r="Y88" i="16"/>
  <c r="Y93" i="16"/>
  <c r="Z23" i="16"/>
  <c r="Z81" i="16" s="1"/>
  <c r="Z87" i="16" s="1"/>
  <c r="C35" i="4"/>
  <c r="B36" i="4"/>
  <c r="BI35" i="3"/>
  <c r="BJ35" i="3" s="1"/>
  <c r="F37" i="6"/>
  <c r="G37" i="6" s="1"/>
  <c r="AA36" i="6" s="1"/>
  <c r="AB36" i="6" s="1"/>
  <c r="AC36" i="6" s="1"/>
  <c r="Q92" i="9"/>
  <c r="E37" i="6"/>
  <c r="Y36" i="6" s="1"/>
  <c r="Z36" i="6" s="1"/>
  <c r="B36" i="8"/>
  <c r="C36" i="8" s="1"/>
  <c r="A37" i="8"/>
  <c r="H36" i="8"/>
  <c r="O37" i="10" l="1"/>
  <c r="P36" i="10"/>
  <c r="AA44" i="10"/>
  <c r="Q35" i="10"/>
  <c r="R35" i="10"/>
  <c r="AH37" i="3"/>
  <c r="AI37" i="3" s="1"/>
  <c r="AJ37" i="3" s="1"/>
  <c r="AQ37" i="3"/>
  <c r="AL37" i="3"/>
  <c r="AM37" i="3" s="1"/>
  <c r="AG38" i="3"/>
  <c r="AN36" i="3"/>
  <c r="AO36" i="3"/>
  <c r="X40" i="4"/>
  <c r="Y40" i="4"/>
  <c r="Z40" i="4" s="1"/>
  <c r="C38" i="6"/>
  <c r="Q30" i="9"/>
  <c r="P31" i="9"/>
  <c r="X31" i="9" s="1"/>
  <c r="AA31" i="9" s="1"/>
  <c r="N39" i="6" s="1"/>
  <c r="Q45" i="3"/>
  <c r="AB45" i="3" s="1"/>
  <c r="AB44" i="3"/>
  <c r="M41" i="3"/>
  <c r="N40" i="3"/>
  <c r="Y40" i="3" s="1"/>
  <c r="O40" i="3"/>
  <c r="Z40" i="3" s="1"/>
  <c r="P40" i="3"/>
  <c r="AA40" i="3" s="1"/>
  <c r="D99" i="9"/>
  <c r="E98" i="9"/>
  <c r="Y41" i="5"/>
  <c r="Z41" i="5" s="1"/>
  <c r="J27" i="12"/>
  <c r="B37" i="5"/>
  <c r="C37" i="5" s="1"/>
  <c r="W41" i="4"/>
  <c r="D36" i="5"/>
  <c r="L36" i="5" s="1"/>
  <c r="M36" i="5" s="1"/>
  <c r="N36" i="5" s="1"/>
  <c r="E36" i="5"/>
  <c r="F36" i="5" s="1"/>
  <c r="O36" i="5" s="1"/>
  <c r="P36" i="5" s="1"/>
  <c r="B39" i="6"/>
  <c r="D39" i="6" s="1"/>
  <c r="O32" i="9"/>
  <c r="T31" i="9"/>
  <c r="R31" i="9"/>
  <c r="P36" i="4"/>
  <c r="Q36" i="4" s="1"/>
  <c r="O36" i="4"/>
  <c r="F38" i="6"/>
  <c r="G38" i="6" s="1"/>
  <c r="AA37" i="6" s="1"/>
  <c r="AB37" i="6" s="1"/>
  <c r="AC37" i="6" s="1"/>
  <c r="Q93" i="9"/>
  <c r="E38" i="6"/>
  <c r="Y37" i="6" s="1"/>
  <c r="Z37" i="6" s="1"/>
  <c r="AD44" i="10"/>
  <c r="AG44" i="10" s="1"/>
  <c r="AC44" i="10"/>
  <c r="AF44" i="10" s="1"/>
  <c r="AI44" i="10"/>
  <c r="AJ44" i="10" s="1"/>
  <c r="E33" i="7"/>
  <c r="F33" i="7" s="1"/>
  <c r="X33" i="7" s="1"/>
  <c r="Y33" i="7" s="1"/>
  <c r="AF33" i="7"/>
  <c r="AR33" i="7"/>
  <c r="D33" i="7"/>
  <c r="V33" i="7" s="1"/>
  <c r="W33" i="7" s="1"/>
  <c r="AC21" i="16"/>
  <c r="N37" i="4"/>
  <c r="M38" i="4"/>
  <c r="H37" i="4"/>
  <c r="BG37" i="3"/>
  <c r="A38" i="4"/>
  <c r="S92" i="9"/>
  <c r="V92" i="9" s="1"/>
  <c r="R92" i="9"/>
  <c r="U92" i="9" s="1"/>
  <c r="X92" i="9"/>
  <c r="Y92" i="9" s="1"/>
  <c r="C34" i="7"/>
  <c r="AS34" i="7"/>
  <c r="BK37" i="3"/>
  <c r="BH38" i="3"/>
  <c r="AM82" i="16"/>
  <c r="AK83" i="16"/>
  <c r="A41" i="5"/>
  <c r="H40" i="5"/>
  <c r="AA82" i="16"/>
  <c r="AB22" i="16"/>
  <c r="AM32" i="7"/>
  <c r="AN32" i="7" s="1"/>
  <c r="AH32" i="7"/>
  <c r="AK32" i="7" s="1"/>
  <c r="AG32" i="7"/>
  <c r="AJ32" i="7" s="1"/>
  <c r="C36" i="4"/>
  <c r="B37" i="4"/>
  <c r="BI36" i="3"/>
  <c r="BJ36" i="3" s="1"/>
  <c r="AW34" i="3"/>
  <c r="AZ34" i="3" s="1"/>
  <c r="BC34" i="3"/>
  <c r="BD34" i="3" s="1"/>
  <c r="AX34" i="3"/>
  <c r="BA34" i="3" s="1"/>
  <c r="Z82" i="16"/>
  <c r="E35" i="4"/>
  <c r="F35" i="4" s="1"/>
  <c r="AV35" i="3"/>
  <c r="D35" i="4"/>
  <c r="B35" i="7"/>
  <c r="A36" i="7"/>
  <c r="H35" i="7"/>
  <c r="AQ35" i="7"/>
  <c r="B37" i="8"/>
  <c r="C37" i="8" s="1"/>
  <c r="A38" i="8"/>
  <c r="H37" i="8"/>
  <c r="E36" i="8"/>
  <c r="F36" i="8" s="1"/>
  <c r="Z35" i="8" s="1"/>
  <c r="AA35" i="8" s="1"/>
  <c r="AB45" i="10"/>
  <c r="D36" i="8"/>
  <c r="X35" i="8" s="1"/>
  <c r="Y35" i="8" s="1"/>
  <c r="U30" i="9"/>
  <c r="V30" i="9" s="1"/>
  <c r="I38" i="6"/>
  <c r="A39" i="6"/>
  <c r="AA45" i="10" l="1"/>
  <c r="R36" i="10"/>
  <c r="Q36" i="10"/>
  <c r="U31" i="9"/>
  <c r="V31" i="9" s="1"/>
  <c r="O38" i="10"/>
  <c r="P37" i="10"/>
  <c r="AG39" i="3"/>
  <c r="AH38" i="3"/>
  <c r="AI38" i="3" s="1"/>
  <c r="AJ38" i="3" s="1"/>
  <c r="AQ38" i="3"/>
  <c r="AL38" i="3"/>
  <c r="AM38" i="3" s="1"/>
  <c r="AN37" i="3"/>
  <c r="AO37" i="3"/>
  <c r="E37" i="5"/>
  <c r="F37" i="5" s="1"/>
  <c r="O37" i="5" s="1"/>
  <c r="P37" i="5" s="1"/>
  <c r="D37" i="5"/>
  <c r="L37" i="5" s="1"/>
  <c r="M37" i="5" s="1"/>
  <c r="N37" i="5" s="1"/>
  <c r="Y42" i="5"/>
  <c r="Z42" i="5" s="1"/>
  <c r="B38" i="5"/>
  <c r="C38" i="5" s="1"/>
  <c r="J28" i="12"/>
  <c r="P32" i="9"/>
  <c r="C39" i="6"/>
  <c r="Q31" i="9"/>
  <c r="Y31" i="9"/>
  <c r="Y41" i="4"/>
  <c r="Z41" i="4" s="1"/>
  <c r="X41" i="4"/>
  <c r="E99" i="9"/>
  <c r="D100" i="9"/>
  <c r="O41" i="3"/>
  <c r="Z41" i="3" s="1"/>
  <c r="M42" i="3"/>
  <c r="P41" i="3"/>
  <c r="AA41" i="3" s="1"/>
  <c r="N41" i="3"/>
  <c r="Y41" i="3" s="1"/>
  <c r="W42" i="4"/>
  <c r="A40" i="6"/>
  <c r="I39" i="6"/>
  <c r="AD45" i="10"/>
  <c r="AG45" i="10" s="1"/>
  <c r="AC45" i="10"/>
  <c r="AF45" i="10" s="1"/>
  <c r="AI45" i="10"/>
  <c r="AJ45" i="10" s="1"/>
  <c r="E37" i="8"/>
  <c r="F37" i="8" s="1"/>
  <c r="Z36" i="8" s="1"/>
  <c r="AA36" i="8" s="1"/>
  <c r="AB46" i="10"/>
  <c r="D37" i="8"/>
  <c r="X36" i="8" s="1"/>
  <c r="Y36" i="8" s="1"/>
  <c r="C35" i="7"/>
  <c r="AS35" i="7"/>
  <c r="Z88" i="16"/>
  <c r="Z93" i="16"/>
  <c r="E36" i="4"/>
  <c r="F36" i="4" s="1"/>
  <c r="AV36" i="3"/>
  <c r="D36" i="4"/>
  <c r="AC22" i="16"/>
  <c r="AC23" i="16" s="1"/>
  <c r="AC81" i="16" s="1"/>
  <c r="AC87" i="16" s="1"/>
  <c r="A42" i="5"/>
  <c r="H41" i="5"/>
  <c r="E34" i="7"/>
  <c r="F34" i="7" s="1"/>
  <c r="X34" i="7" s="1"/>
  <c r="Y34" i="7" s="1"/>
  <c r="AF34" i="7"/>
  <c r="D34" i="7"/>
  <c r="V34" i="7" s="1"/>
  <c r="W34" i="7" s="1"/>
  <c r="AR34" i="7"/>
  <c r="AH33" i="7"/>
  <c r="AK33" i="7" s="1"/>
  <c r="AG33" i="7"/>
  <c r="AJ33" i="7" s="1"/>
  <c r="AM33" i="7"/>
  <c r="AN33" i="7" s="1"/>
  <c r="B38" i="8"/>
  <c r="C38" i="8" s="1"/>
  <c r="A39" i="8"/>
  <c r="H38" i="8"/>
  <c r="C37" i="4"/>
  <c r="B38" i="4"/>
  <c r="BI37" i="3"/>
  <c r="BJ37" i="3" s="1"/>
  <c r="AD21" i="16"/>
  <c r="AM83" i="16"/>
  <c r="AK84" i="16"/>
  <c r="BK38" i="3"/>
  <c r="BH39" i="3"/>
  <c r="N38" i="4"/>
  <c r="M39" i="4"/>
  <c r="AB23" i="16"/>
  <c r="AB81" i="16" s="1"/>
  <c r="AB87" i="16" s="1"/>
  <c r="R93" i="9"/>
  <c r="U93" i="9" s="1"/>
  <c r="X93" i="9"/>
  <c r="Y93" i="9" s="1"/>
  <c r="S93" i="9"/>
  <c r="V93" i="9" s="1"/>
  <c r="B40" i="6"/>
  <c r="D40" i="6" s="1"/>
  <c r="O33" i="9"/>
  <c r="T32" i="9"/>
  <c r="Y32" i="9"/>
  <c r="R32" i="9"/>
  <c r="X32" i="9"/>
  <c r="AA32" i="9" s="1"/>
  <c r="N40" i="6" s="1"/>
  <c r="B36" i="7"/>
  <c r="A37" i="7"/>
  <c r="H36" i="7"/>
  <c r="AQ36" i="7"/>
  <c r="AW35" i="3"/>
  <c r="AZ35" i="3" s="1"/>
  <c r="BC35" i="3"/>
  <c r="BD35" i="3" s="1"/>
  <c r="AX35" i="3"/>
  <c r="BA35" i="3" s="1"/>
  <c r="AA88" i="16"/>
  <c r="AA93" i="16"/>
  <c r="BG38" i="3"/>
  <c r="H38" i="4"/>
  <c r="A39" i="4"/>
  <c r="P37" i="4"/>
  <c r="Q37" i="4" s="1"/>
  <c r="O37" i="4"/>
  <c r="F39" i="6"/>
  <c r="G39" i="6" s="1"/>
  <c r="AA38" i="6" s="1"/>
  <c r="AB38" i="6" s="1"/>
  <c r="AC38" i="6" s="1"/>
  <c r="Q94" i="9"/>
  <c r="E39" i="6"/>
  <c r="Y38" i="6" s="1"/>
  <c r="Z38" i="6" s="1"/>
  <c r="AA46" i="10" l="1"/>
  <c r="R37" i="10"/>
  <c r="Q37" i="10"/>
  <c r="P38" i="10"/>
  <c r="O39" i="10"/>
  <c r="U32" i="9"/>
  <c r="V32" i="9" s="1"/>
  <c r="AN38" i="3"/>
  <c r="AO38" i="3"/>
  <c r="AL39" i="3"/>
  <c r="AM39" i="3" s="1"/>
  <c r="AG40" i="3"/>
  <c r="AQ39" i="3"/>
  <c r="AH39" i="3"/>
  <c r="AI39" i="3" s="1"/>
  <c r="AJ39" i="3" s="1"/>
  <c r="X42" i="4"/>
  <c r="Y42" i="4"/>
  <c r="Z42" i="4" s="1"/>
  <c r="O42" i="3"/>
  <c r="Z42" i="3" s="1"/>
  <c r="M43" i="3"/>
  <c r="P42" i="3"/>
  <c r="AA42" i="3" s="1"/>
  <c r="N42" i="3"/>
  <c r="Y42" i="3" s="1"/>
  <c r="Y43" i="5"/>
  <c r="Z43" i="5" s="1"/>
  <c r="B39" i="5"/>
  <c r="C39" i="5" s="1"/>
  <c r="J29" i="12"/>
  <c r="W43" i="4"/>
  <c r="P33" i="9"/>
  <c r="Y33" i="9" s="1"/>
  <c r="C40" i="6"/>
  <c r="Q32" i="9"/>
  <c r="D38" i="5"/>
  <c r="L38" i="5" s="1"/>
  <c r="M38" i="5" s="1"/>
  <c r="N38" i="5" s="1"/>
  <c r="E38" i="5"/>
  <c r="F38" i="5" s="1"/>
  <c r="O38" i="5" s="1"/>
  <c r="P38" i="5" s="1"/>
  <c r="E100" i="9"/>
  <c r="D101" i="9"/>
  <c r="P38" i="4"/>
  <c r="Q38" i="4" s="1"/>
  <c r="O38" i="4"/>
  <c r="BK39" i="3"/>
  <c r="BH40" i="3"/>
  <c r="AE21" i="16"/>
  <c r="AH34" i="7"/>
  <c r="AK34" i="7" s="1"/>
  <c r="AG34" i="7"/>
  <c r="AJ34" i="7" s="1"/>
  <c r="AM34" i="7"/>
  <c r="AN34" i="7" s="1"/>
  <c r="AC82" i="16"/>
  <c r="AD22" i="16"/>
  <c r="AX36" i="3"/>
  <c r="BA36" i="3" s="1"/>
  <c r="AW36" i="3"/>
  <c r="AZ36" i="3" s="1"/>
  <c r="BC36" i="3"/>
  <c r="BD36" i="3" s="1"/>
  <c r="C36" i="7"/>
  <c r="AS36" i="7"/>
  <c r="R94" i="9"/>
  <c r="U94" i="9" s="1"/>
  <c r="X94" i="9"/>
  <c r="Y94" i="9" s="1"/>
  <c r="S94" i="9"/>
  <c r="V94" i="9" s="1"/>
  <c r="B41" i="6"/>
  <c r="D41" i="6" s="1"/>
  <c r="O34" i="9"/>
  <c r="T33" i="9"/>
  <c r="R33" i="9"/>
  <c r="B39" i="8"/>
  <c r="C39" i="8" s="1"/>
  <c r="A40" i="8"/>
  <c r="H39" i="8"/>
  <c r="E35" i="7"/>
  <c r="F35" i="7" s="1"/>
  <c r="X35" i="7" s="1"/>
  <c r="Y35" i="7" s="1"/>
  <c r="AF35" i="7"/>
  <c r="AR35" i="7"/>
  <c r="D35" i="7"/>
  <c r="V35" i="7" s="1"/>
  <c r="W35" i="7" s="1"/>
  <c r="I40" i="6"/>
  <c r="A41" i="6"/>
  <c r="A40" i="4"/>
  <c r="H39" i="4"/>
  <c r="BG39" i="3"/>
  <c r="F40" i="6"/>
  <c r="G40" i="6" s="1"/>
  <c r="AA39" i="6" s="1"/>
  <c r="AB39" i="6" s="1"/>
  <c r="AC39" i="6" s="1"/>
  <c r="Q95" i="9"/>
  <c r="E40" i="6"/>
  <c r="Y39" i="6" s="1"/>
  <c r="Z39" i="6" s="1"/>
  <c r="AM84" i="16"/>
  <c r="AK85" i="16"/>
  <c r="C38" i="4"/>
  <c r="B39" i="4"/>
  <c r="BI38" i="3"/>
  <c r="BJ38" i="3" s="1"/>
  <c r="E38" i="8"/>
  <c r="F38" i="8" s="1"/>
  <c r="Z37" i="8" s="1"/>
  <c r="AA37" i="8" s="1"/>
  <c r="AB47" i="10"/>
  <c r="D38" i="8"/>
  <c r="X37" i="8" s="1"/>
  <c r="Y37" i="8" s="1"/>
  <c r="AB82" i="16"/>
  <c r="B37" i="7"/>
  <c r="A38" i="7"/>
  <c r="H37" i="7"/>
  <c r="AQ37" i="7"/>
  <c r="M40" i="4"/>
  <c r="N39" i="4"/>
  <c r="E37" i="4"/>
  <c r="F37" i="4" s="1"/>
  <c r="AV37" i="3"/>
  <c r="D37" i="4"/>
  <c r="A43" i="5"/>
  <c r="H42" i="5"/>
  <c r="AD46" i="10"/>
  <c r="AG46" i="10" s="1"/>
  <c r="AC46" i="10"/>
  <c r="AF46" i="10" s="1"/>
  <c r="AI46" i="10"/>
  <c r="AJ46" i="10" s="1"/>
  <c r="X33" i="9" l="1"/>
  <c r="AA33" i="9" s="1"/>
  <c r="N41" i="6" s="1"/>
  <c r="P39" i="10"/>
  <c r="O40" i="10"/>
  <c r="Q38" i="10"/>
  <c r="AA47" i="10"/>
  <c r="R38" i="10"/>
  <c r="AQ40" i="3"/>
  <c r="AL40" i="3"/>
  <c r="AM40" i="3" s="1"/>
  <c r="AG41" i="3"/>
  <c r="AH40" i="3"/>
  <c r="AI40" i="3" s="1"/>
  <c r="AJ40" i="3" s="1"/>
  <c r="AO39" i="3"/>
  <c r="AN39" i="3"/>
  <c r="D102" i="9"/>
  <c r="E101" i="9"/>
  <c r="C41" i="6"/>
  <c r="P34" i="9"/>
  <c r="X34" i="9" s="1"/>
  <c r="AA34" i="9" s="1"/>
  <c r="N42" i="6" s="1"/>
  <c r="Q33" i="9"/>
  <c r="D39" i="5"/>
  <c r="L39" i="5" s="1"/>
  <c r="M39" i="5" s="1"/>
  <c r="N39" i="5" s="1"/>
  <c r="E39" i="5"/>
  <c r="F39" i="5" s="1"/>
  <c r="O39" i="5" s="1"/>
  <c r="P39" i="5" s="1"/>
  <c r="N43" i="3"/>
  <c r="Y43" i="3" s="1"/>
  <c r="O43" i="3"/>
  <c r="Z43" i="3" s="1"/>
  <c r="M44" i="3"/>
  <c r="P43" i="3"/>
  <c r="AA43" i="3" s="1"/>
  <c r="X43" i="4"/>
  <c r="Y43" i="4"/>
  <c r="Z43" i="4" s="1"/>
  <c r="W44" i="4"/>
  <c r="U33" i="9"/>
  <c r="V33" i="9" s="1"/>
  <c r="B40" i="5"/>
  <c r="C40" i="5" s="1"/>
  <c r="Y44" i="5"/>
  <c r="Z44" i="5" s="1"/>
  <c r="J30" i="12"/>
  <c r="P39" i="4"/>
  <c r="Q39" i="4" s="1"/>
  <c r="O39" i="4"/>
  <c r="E38" i="4"/>
  <c r="F38" i="4" s="1"/>
  <c r="AV38" i="3"/>
  <c r="D38" i="4"/>
  <c r="B40" i="8"/>
  <c r="C40" i="8" s="1"/>
  <c r="A41" i="8"/>
  <c r="H40" i="8"/>
  <c r="AE22" i="16"/>
  <c r="AE23" i="16" s="1"/>
  <c r="AE81" i="16" s="1"/>
  <c r="AE87" i="16" s="1"/>
  <c r="AD23" i="16"/>
  <c r="AD81" i="16" s="1"/>
  <c r="AD87" i="16" s="1"/>
  <c r="AB88" i="16"/>
  <c r="AB93" i="16"/>
  <c r="M41" i="4"/>
  <c r="N40" i="4"/>
  <c r="A41" i="4"/>
  <c r="BG40" i="3"/>
  <c r="H40" i="4"/>
  <c r="E39" i="8"/>
  <c r="F39" i="8" s="1"/>
  <c r="Z38" i="8" s="1"/>
  <c r="AA38" i="8" s="1"/>
  <c r="AB48" i="10"/>
  <c r="D39" i="8"/>
  <c r="X38" i="8" s="1"/>
  <c r="Y38" i="8" s="1"/>
  <c r="O35" i="9"/>
  <c r="B42" i="6"/>
  <c r="D42" i="6" s="1"/>
  <c r="T34" i="9"/>
  <c r="R34" i="9"/>
  <c r="BK40" i="3"/>
  <c r="BH41" i="3"/>
  <c r="A44" i="5"/>
  <c r="H43" i="5"/>
  <c r="B38" i="7"/>
  <c r="A39" i="7"/>
  <c r="H38" i="7"/>
  <c r="AQ38" i="7"/>
  <c r="R95" i="9"/>
  <c r="U95" i="9" s="1"/>
  <c r="S95" i="9"/>
  <c r="V95" i="9" s="1"/>
  <c r="X95" i="9"/>
  <c r="Y95" i="9" s="1"/>
  <c r="C37" i="7"/>
  <c r="AS37" i="7"/>
  <c r="AM85" i="16"/>
  <c r="AK86" i="16"/>
  <c r="AM35" i="7"/>
  <c r="AN35" i="7" s="1"/>
  <c r="AH35" i="7"/>
  <c r="AK35" i="7" s="1"/>
  <c r="AG35" i="7"/>
  <c r="AJ35" i="7" s="1"/>
  <c r="AW37" i="3"/>
  <c r="AZ37" i="3" s="1"/>
  <c r="BC37" i="3"/>
  <c r="BD37" i="3" s="1"/>
  <c r="AX37" i="3"/>
  <c r="BA37" i="3" s="1"/>
  <c r="AD47" i="10"/>
  <c r="AG47" i="10" s="1"/>
  <c r="AC47" i="10"/>
  <c r="AF47" i="10" s="1"/>
  <c r="AI47" i="10"/>
  <c r="AJ47" i="10" s="1"/>
  <c r="C39" i="4"/>
  <c r="B40" i="4"/>
  <c r="BI39" i="3"/>
  <c r="BJ39" i="3" s="1"/>
  <c r="A42" i="6"/>
  <c r="I41" i="6"/>
  <c r="F41" i="6"/>
  <c r="G41" i="6" s="1"/>
  <c r="AA40" i="6" s="1"/>
  <c r="AB40" i="6" s="1"/>
  <c r="AC40" i="6" s="1"/>
  <c r="Q96" i="9"/>
  <c r="E41" i="6"/>
  <c r="Y40" i="6" s="1"/>
  <c r="Z40" i="6" s="1"/>
  <c r="E36" i="7"/>
  <c r="F36" i="7" s="1"/>
  <c r="X36" i="7" s="1"/>
  <c r="Y36" i="7" s="1"/>
  <c r="D36" i="7"/>
  <c r="V36" i="7" s="1"/>
  <c r="W36" i="7" s="1"/>
  <c r="AF36" i="7"/>
  <c r="AR36" i="7"/>
  <c r="AC88" i="16"/>
  <c r="AC93" i="16"/>
  <c r="AF21" i="16"/>
  <c r="Y34" i="9" l="1"/>
  <c r="P40" i="10"/>
  <c r="O41" i="10"/>
  <c r="R39" i="10"/>
  <c r="Q39" i="10"/>
  <c r="AA48" i="10"/>
  <c r="AH41" i="3"/>
  <c r="AI41" i="3" s="1"/>
  <c r="AJ41" i="3" s="1"/>
  <c r="AL41" i="3"/>
  <c r="AM41" i="3" s="1"/>
  <c r="AG42" i="3"/>
  <c r="AQ41" i="3"/>
  <c r="AN40" i="3"/>
  <c r="AO40" i="3"/>
  <c r="U34" i="9"/>
  <c r="V34" i="9" s="1"/>
  <c r="W46" i="4"/>
  <c r="W45" i="4"/>
  <c r="Q34" i="9"/>
  <c r="P35" i="9"/>
  <c r="C42" i="6"/>
  <c r="E40" i="5"/>
  <c r="F40" i="5" s="1"/>
  <c r="O40" i="5" s="1"/>
  <c r="P40" i="5" s="1"/>
  <c r="D40" i="5"/>
  <c r="L40" i="5" s="1"/>
  <c r="M40" i="5" s="1"/>
  <c r="N40" i="5" s="1"/>
  <c r="O44" i="3"/>
  <c r="Z44" i="3" s="1"/>
  <c r="M45" i="3"/>
  <c r="N44" i="3"/>
  <c r="Y44" i="3" s="1"/>
  <c r="P44" i="3"/>
  <c r="AA44" i="3" s="1"/>
  <c r="J31" i="12"/>
  <c r="Y45" i="5"/>
  <c r="Z45" i="5" s="1"/>
  <c r="B41" i="5"/>
  <c r="C41" i="5" s="1"/>
  <c r="Y44" i="4"/>
  <c r="Z44" i="4" s="1"/>
  <c r="X44" i="4"/>
  <c r="D103" i="9"/>
  <c r="E102" i="9"/>
  <c r="E37" i="7"/>
  <c r="F37" i="7" s="1"/>
  <c r="X37" i="7" s="1"/>
  <c r="Y37" i="7" s="1"/>
  <c r="AF37" i="7"/>
  <c r="AR37" i="7"/>
  <c r="D37" i="7"/>
  <c r="V37" i="7" s="1"/>
  <c r="W37" i="7" s="1"/>
  <c r="N41" i="4"/>
  <c r="M42" i="4"/>
  <c r="AD82" i="16"/>
  <c r="AW38" i="3"/>
  <c r="AZ38" i="3" s="1"/>
  <c r="BC38" i="3"/>
  <c r="BD38" i="3" s="1"/>
  <c r="AX38" i="3"/>
  <c r="BA38" i="3" s="1"/>
  <c r="C40" i="4"/>
  <c r="B41" i="4"/>
  <c r="BI40" i="3"/>
  <c r="BJ40" i="3" s="1"/>
  <c r="A45" i="5"/>
  <c r="H44" i="5"/>
  <c r="AD48" i="10"/>
  <c r="AG48" i="10" s="1"/>
  <c r="AC48" i="10"/>
  <c r="AF48" i="10" s="1"/>
  <c r="AI48" i="10"/>
  <c r="AJ48" i="10" s="1"/>
  <c r="H41" i="4"/>
  <c r="BG41" i="3"/>
  <c r="A42" i="4"/>
  <c r="B41" i="8"/>
  <c r="C41" i="8" s="1"/>
  <c r="A42" i="8"/>
  <c r="H41" i="8"/>
  <c r="I42" i="6"/>
  <c r="A43" i="6"/>
  <c r="AM86" i="16"/>
  <c r="AK87" i="16"/>
  <c r="AM36" i="7"/>
  <c r="AN36" i="7" s="1"/>
  <c r="AH36" i="7"/>
  <c r="AK36" i="7" s="1"/>
  <c r="AG36" i="7"/>
  <c r="AJ36" i="7" s="1"/>
  <c r="S96" i="9"/>
  <c r="V96" i="9" s="1"/>
  <c r="X96" i="9"/>
  <c r="Y96" i="9" s="1"/>
  <c r="R96" i="9"/>
  <c r="U96" i="9" s="1"/>
  <c r="E39" i="4"/>
  <c r="F39" i="4" s="1"/>
  <c r="AV39" i="3"/>
  <c r="D39" i="4"/>
  <c r="B39" i="7"/>
  <c r="A40" i="7"/>
  <c r="H39" i="7"/>
  <c r="AQ39" i="7"/>
  <c r="BK41" i="3"/>
  <c r="BH42" i="3"/>
  <c r="F42" i="6"/>
  <c r="G42" i="6" s="1"/>
  <c r="AA41" i="6" s="1"/>
  <c r="AB41" i="6" s="1"/>
  <c r="AC41" i="6" s="1"/>
  <c r="Q97" i="9"/>
  <c r="E42" i="6"/>
  <c r="Y41" i="6" s="1"/>
  <c r="Z41" i="6" s="1"/>
  <c r="AE82" i="16"/>
  <c r="AF22" i="16"/>
  <c r="AF23" i="16" s="1"/>
  <c r="AF81" i="16" s="1"/>
  <c r="AF87" i="16" s="1"/>
  <c r="E40" i="8"/>
  <c r="F40" i="8" s="1"/>
  <c r="Z39" i="8" s="1"/>
  <c r="AA39" i="8" s="1"/>
  <c r="AB49" i="10"/>
  <c r="D40" i="8"/>
  <c r="X39" i="8" s="1"/>
  <c r="Y39" i="8" s="1"/>
  <c r="C38" i="7"/>
  <c r="AS38" i="7"/>
  <c r="B43" i="6"/>
  <c r="D43" i="6" s="1"/>
  <c r="O36" i="9"/>
  <c r="Y35" i="9"/>
  <c r="T35" i="9"/>
  <c r="X35" i="9"/>
  <c r="AA35" i="9" s="1"/>
  <c r="N43" i="6" s="1"/>
  <c r="R35" i="9"/>
  <c r="P40" i="4"/>
  <c r="Q40" i="4" s="1"/>
  <c r="O40" i="4"/>
  <c r="O42" i="10" l="1"/>
  <c r="P41" i="10"/>
  <c r="AA49" i="10"/>
  <c r="R40" i="10"/>
  <c r="Q40" i="10"/>
  <c r="U35" i="9"/>
  <c r="V35" i="9" s="1"/>
  <c r="AH42" i="3"/>
  <c r="AI42" i="3" s="1"/>
  <c r="AJ42" i="3" s="1"/>
  <c r="AL42" i="3"/>
  <c r="AM42" i="3" s="1"/>
  <c r="AQ42" i="3"/>
  <c r="AG43" i="3"/>
  <c r="AN41" i="3"/>
  <c r="AO41" i="3"/>
  <c r="D104" i="9"/>
  <c r="E103" i="9"/>
  <c r="O45" i="3"/>
  <c r="Z45" i="3" s="1"/>
  <c r="P45" i="3"/>
  <c r="AA45" i="3" s="1"/>
  <c r="N45" i="3"/>
  <c r="Y45" i="3" s="1"/>
  <c r="X45" i="4"/>
  <c r="Y45" i="4"/>
  <c r="Z45" i="4" s="1"/>
  <c r="B42" i="5"/>
  <c r="C42" i="5" s="1"/>
  <c r="J32" i="12"/>
  <c r="Y46" i="5"/>
  <c r="Z46" i="5" s="1"/>
  <c r="Y46" i="4"/>
  <c r="Z46" i="4" s="1"/>
  <c r="Z9" i="4" s="1"/>
  <c r="Z10" i="4" s="1"/>
  <c r="E9" i="13" s="1"/>
  <c r="C11" i="16" s="1"/>
  <c r="K64" i="16" s="1"/>
  <c r="X46" i="4"/>
  <c r="D41" i="5"/>
  <c r="L41" i="5" s="1"/>
  <c r="M41" i="5" s="1"/>
  <c r="N41" i="5" s="1"/>
  <c r="E41" i="5"/>
  <c r="F41" i="5" s="1"/>
  <c r="O41" i="5" s="1"/>
  <c r="P41" i="5" s="1"/>
  <c r="P36" i="9"/>
  <c r="Q35" i="9"/>
  <c r="C43" i="6"/>
  <c r="E38" i="7"/>
  <c r="F38" i="7" s="1"/>
  <c r="X38" i="7" s="1"/>
  <c r="Y38" i="7" s="1"/>
  <c r="AR38" i="7"/>
  <c r="AF38" i="7"/>
  <c r="D38" i="7"/>
  <c r="V38" i="7" s="1"/>
  <c r="W38" i="7" s="1"/>
  <c r="AW39" i="3"/>
  <c r="AZ39" i="3" s="1"/>
  <c r="BC39" i="3"/>
  <c r="BD39" i="3" s="1"/>
  <c r="AX39" i="3"/>
  <c r="BA39" i="3" s="1"/>
  <c r="AM87" i="16"/>
  <c r="AK88" i="16"/>
  <c r="N42" i="4"/>
  <c r="M43" i="4"/>
  <c r="AH37" i="7"/>
  <c r="AK37" i="7" s="1"/>
  <c r="AG37" i="7"/>
  <c r="AJ37" i="7" s="1"/>
  <c r="AM37" i="7"/>
  <c r="AN37" i="7" s="1"/>
  <c r="B44" i="6"/>
  <c r="D44" i="6" s="1"/>
  <c r="O37" i="9"/>
  <c r="T36" i="9"/>
  <c r="R36" i="9"/>
  <c r="AE88" i="16"/>
  <c r="AE93" i="16"/>
  <c r="BK42" i="3"/>
  <c r="BH43" i="3"/>
  <c r="B40" i="7"/>
  <c r="A41" i="7"/>
  <c r="H40" i="7"/>
  <c r="AQ40" i="7"/>
  <c r="B42" i="8"/>
  <c r="C42" i="8" s="1"/>
  <c r="A43" i="8"/>
  <c r="H42" i="8"/>
  <c r="P41" i="4"/>
  <c r="Q41" i="4" s="1"/>
  <c r="O41" i="4"/>
  <c r="F43" i="6"/>
  <c r="G43" i="6" s="1"/>
  <c r="AA42" i="6" s="1"/>
  <c r="AB42" i="6" s="1"/>
  <c r="AC42" i="6" s="1"/>
  <c r="Q98" i="9"/>
  <c r="E43" i="6"/>
  <c r="Y42" i="6" s="1"/>
  <c r="Z42" i="6" s="1"/>
  <c r="AD49" i="10"/>
  <c r="AG49" i="10" s="1"/>
  <c r="AC49" i="10"/>
  <c r="AF49" i="10" s="1"/>
  <c r="AI49" i="10"/>
  <c r="AJ49" i="10" s="1"/>
  <c r="C39" i="7"/>
  <c r="AS39" i="7"/>
  <c r="A44" i="6"/>
  <c r="I43" i="6"/>
  <c r="E41" i="8"/>
  <c r="F41" i="8" s="1"/>
  <c r="Z40" i="8" s="1"/>
  <c r="AA40" i="8" s="1"/>
  <c r="AB50" i="10"/>
  <c r="D41" i="8"/>
  <c r="X40" i="8" s="1"/>
  <c r="Y40" i="8" s="1"/>
  <c r="A46" i="5"/>
  <c r="H45" i="5"/>
  <c r="C41" i="4"/>
  <c r="B42" i="4"/>
  <c r="BI41" i="3"/>
  <c r="BJ41" i="3" s="1"/>
  <c r="AF82" i="16"/>
  <c r="R97" i="9"/>
  <c r="U97" i="9" s="1"/>
  <c r="X97" i="9"/>
  <c r="Y97" i="9" s="1"/>
  <c r="S97" i="9"/>
  <c r="V97" i="9" s="1"/>
  <c r="BG42" i="3"/>
  <c r="H42" i="4"/>
  <c r="A43" i="4"/>
  <c r="E40" i="4"/>
  <c r="F40" i="4" s="1"/>
  <c r="AV40" i="3"/>
  <c r="D40" i="4"/>
  <c r="AD88" i="16"/>
  <c r="AD93" i="16"/>
  <c r="R41" i="10" l="1"/>
  <c r="Q41" i="10"/>
  <c r="AA50" i="10"/>
  <c r="P42" i="10"/>
  <c r="O43" i="10"/>
  <c r="AH43" i="3"/>
  <c r="AI43" i="3" s="1"/>
  <c r="AJ43" i="3" s="1"/>
  <c r="AG44" i="3"/>
  <c r="AQ43" i="3"/>
  <c r="AL43" i="3"/>
  <c r="AM43" i="3" s="1"/>
  <c r="AO42" i="3"/>
  <c r="AN42" i="3"/>
  <c r="P37" i="9"/>
  <c r="Y37" i="9" s="1"/>
  <c r="Q36" i="9"/>
  <c r="C44" i="6"/>
  <c r="K56" i="16"/>
  <c r="K65" i="16"/>
  <c r="J56" i="16"/>
  <c r="J64" i="16"/>
  <c r="X36" i="9"/>
  <c r="AA36" i="9" s="1"/>
  <c r="N44" i="6" s="1"/>
  <c r="J33" i="12"/>
  <c r="Y47" i="5"/>
  <c r="Z47" i="5" s="1"/>
  <c r="B43" i="5"/>
  <c r="C43" i="5" s="1"/>
  <c r="E104" i="9"/>
  <c r="D105" i="9"/>
  <c r="Y36" i="9"/>
  <c r="E42" i="5"/>
  <c r="F42" i="5" s="1"/>
  <c r="O42" i="5" s="1"/>
  <c r="P42" i="5" s="1"/>
  <c r="D42" i="5"/>
  <c r="L42" i="5" s="1"/>
  <c r="M42" i="5" s="1"/>
  <c r="N42" i="5" s="1"/>
  <c r="AX40" i="3"/>
  <c r="BA40" i="3" s="1"/>
  <c r="AW40" i="3"/>
  <c r="AZ40" i="3" s="1"/>
  <c r="BC40" i="3"/>
  <c r="BD40" i="3" s="1"/>
  <c r="A44" i="4"/>
  <c r="H43" i="4"/>
  <c r="BG43" i="3"/>
  <c r="C42" i="4"/>
  <c r="B43" i="4"/>
  <c r="BI42" i="3"/>
  <c r="BJ42" i="3" s="1"/>
  <c r="I44" i="6"/>
  <c r="A45" i="6"/>
  <c r="B43" i="8"/>
  <c r="C43" i="8" s="1"/>
  <c r="A44" i="8"/>
  <c r="H43" i="8"/>
  <c r="B41" i="7"/>
  <c r="A42" i="7"/>
  <c r="H41" i="7"/>
  <c r="AQ41" i="7"/>
  <c r="U36" i="9"/>
  <c r="V36" i="9" s="1"/>
  <c r="E41" i="4"/>
  <c r="F41" i="4" s="1"/>
  <c r="AV41" i="3"/>
  <c r="D41" i="4"/>
  <c r="AD50" i="10"/>
  <c r="AF50" i="10" s="1"/>
  <c r="AC50" i="10"/>
  <c r="AI50" i="10"/>
  <c r="R98" i="9"/>
  <c r="U98" i="9" s="1"/>
  <c r="X98" i="9"/>
  <c r="Y98" i="9" s="1"/>
  <c r="S98" i="9"/>
  <c r="V98" i="9" s="1"/>
  <c r="E42" i="8"/>
  <c r="F42" i="8" s="1"/>
  <c r="Z41" i="8" s="1"/>
  <c r="AA41" i="8" s="1"/>
  <c r="AB51" i="10"/>
  <c r="D42" i="8"/>
  <c r="X41" i="8" s="1"/>
  <c r="Y41" i="8" s="1"/>
  <c r="C40" i="7"/>
  <c r="AS40" i="7"/>
  <c r="B45" i="6"/>
  <c r="D45" i="6" s="1"/>
  <c r="O38" i="9"/>
  <c r="T37" i="9"/>
  <c r="X37" i="9"/>
  <c r="AA37" i="9" s="1"/>
  <c r="N45" i="6" s="1"/>
  <c r="R37" i="9"/>
  <c r="M44" i="4"/>
  <c r="N43" i="4"/>
  <c r="AH38" i="7"/>
  <c r="AK38" i="7" s="1"/>
  <c r="AG38" i="7"/>
  <c r="AJ38" i="7" s="1"/>
  <c r="AM38" i="7"/>
  <c r="AN38" i="7" s="1"/>
  <c r="E39" i="7"/>
  <c r="F39" i="7" s="1"/>
  <c r="X39" i="7" s="1"/>
  <c r="Y39" i="7" s="1"/>
  <c r="AF39" i="7"/>
  <c r="AR39" i="7"/>
  <c r="D39" i="7"/>
  <c r="V39" i="7" s="1"/>
  <c r="W39" i="7" s="1"/>
  <c r="BK43" i="3"/>
  <c r="BH44" i="3"/>
  <c r="F44" i="6"/>
  <c r="G44" i="6" s="1"/>
  <c r="AA43" i="6" s="1"/>
  <c r="AB43" i="6" s="1"/>
  <c r="AC43" i="6" s="1"/>
  <c r="Q99" i="9"/>
  <c r="E44" i="6"/>
  <c r="Y43" i="6" s="1"/>
  <c r="Z43" i="6" s="1"/>
  <c r="P42" i="4"/>
  <c r="Q42" i="4" s="1"/>
  <c r="O42" i="4"/>
  <c r="AF88" i="16"/>
  <c r="AF93" i="16"/>
  <c r="A47" i="5"/>
  <c r="H46" i="5"/>
  <c r="AM88" i="16"/>
  <c r="AK89" i="16"/>
  <c r="P43" i="10" l="1"/>
  <c r="O44" i="10"/>
  <c r="AA51" i="10"/>
  <c r="Q42" i="10"/>
  <c r="R42" i="10"/>
  <c r="AN43" i="3"/>
  <c r="AO43" i="3"/>
  <c r="AL44" i="3"/>
  <c r="AM44" i="3" s="1"/>
  <c r="AH44" i="3"/>
  <c r="AI44" i="3" s="1"/>
  <c r="AJ44" i="3" s="1"/>
  <c r="AQ44" i="3"/>
  <c r="AG45" i="3"/>
  <c r="D43" i="5"/>
  <c r="L43" i="5" s="1"/>
  <c r="M43" i="5" s="1"/>
  <c r="N43" i="5" s="1"/>
  <c r="E43" i="5"/>
  <c r="F43" i="5" s="1"/>
  <c r="O43" i="5" s="1"/>
  <c r="P43" i="5" s="1"/>
  <c r="D106" i="9"/>
  <c r="E105" i="9"/>
  <c r="J34" i="12"/>
  <c r="Y48" i="5"/>
  <c r="Z48" i="5" s="1"/>
  <c r="B44" i="5"/>
  <c r="C44" i="5" s="1"/>
  <c r="C45" i="6"/>
  <c r="P38" i="9"/>
  <c r="X38" i="9" s="1"/>
  <c r="AA38" i="9" s="1"/>
  <c r="N46" i="6" s="1"/>
  <c r="Q37" i="9"/>
  <c r="AC51" i="10"/>
  <c r="AI51" i="10"/>
  <c r="AD51" i="10"/>
  <c r="AF51" i="10" s="1"/>
  <c r="C41" i="7"/>
  <c r="AS41" i="7"/>
  <c r="C43" i="4"/>
  <c r="B44" i="4"/>
  <c r="BI43" i="3"/>
  <c r="BJ43" i="3" s="1"/>
  <c r="A45" i="4"/>
  <c r="BG44" i="3"/>
  <c r="H44" i="4"/>
  <c r="H47" i="5"/>
  <c r="A48" i="5"/>
  <c r="BK44" i="3"/>
  <c r="BH45" i="3"/>
  <c r="AM39" i="7"/>
  <c r="AN39" i="7" s="1"/>
  <c r="AH39" i="7"/>
  <c r="AK39" i="7" s="1"/>
  <c r="AG39" i="7"/>
  <c r="AJ39" i="7" s="1"/>
  <c r="AM89" i="16"/>
  <c r="AK90" i="16"/>
  <c r="AM90" i="16" s="1"/>
  <c r="P43" i="4"/>
  <c r="Q43" i="4" s="1"/>
  <c r="O43" i="4"/>
  <c r="E42" i="4"/>
  <c r="F42" i="4" s="1"/>
  <c r="AV42" i="3"/>
  <c r="D42" i="4"/>
  <c r="B46" i="6"/>
  <c r="D46" i="6" s="1"/>
  <c r="O39" i="9"/>
  <c r="T38" i="9"/>
  <c r="R38" i="9"/>
  <c r="F45" i="6"/>
  <c r="G45" i="6" s="1"/>
  <c r="AA44" i="6" s="1"/>
  <c r="AB44" i="6" s="1"/>
  <c r="AC44" i="6" s="1"/>
  <c r="Q100" i="9"/>
  <c r="E45" i="6"/>
  <c r="Y44" i="6" s="1"/>
  <c r="Z44" i="6" s="1"/>
  <c r="S99" i="9"/>
  <c r="V99" i="9" s="1"/>
  <c r="X99" i="9"/>
  <c r="Y99" i="9" s="1"/>
  <c r="R99" i="9"/>
  <c r="U99" i="9" s="1"/>
  <c r="M45" i="4"/>
  <c r="N44" i="4"/>
  <c r="U37" i="9"/>
  <c r="V37" i="9" s="1"/>
  <c r="E40" i="7"/>
  <c r="F40" i="7" s="1"/>
  <c r="X40" i="7" s="1"/>
  <c r="Y40" i="7" s="1"/>
  <c r="D40" i="7"/>
  <c r="V40" i="7" s="1"/>
  <c r="W40" i="7" s="1"/>
  <c r="AF40" i="7"/>
  <c r="AR40" i="7"/>
  <c r="AW41" i="3"/>
  <c r="AZ41" i="3" s="1"/>
  <c r="BC41" i="3"/>
  <c r="BD41" i="3" s="1"/>
  <c r="AX41" i="3"/>
  <c r="BA41" i="3" s="1"/>
  <c r="B44" i="8"/>
  <c r="C44" i="8" s="1"/>
  <c r="A45" i="8"/>
  <c r="B45" i="8" s="1"/>
  <c r="C45" i="8" s="1"/>
  <c r="H44" i="8"/>
  <c r="B42" i="7"/>
  <c r="A43" i="7"/>
  <c r="H42" i="7"/>
  <c r="AQ42" i="7"/>
  <c r="E43" i="8"/>
  <c r="F43" i="8" s="1"/>
  <c r="Z42" i="8" s="1"/>
  <c r="AA42" i="8" s="1"/>
  <c r="AB52" i="10"/>
  <c r="D43" i="8"/>
  <c r="X42" i="8" s="1"/>
  <c r="Y42" i="8" s="1"/>
  <c r="A46" i="6"/>
  <c r="I45" i="6"/>
  <c r="O45" i="10" l="1"/>
  <c r="P45" i="10" s="1"/>
  <c r="P44" i="10"/>
  <c r="R43" i="10"/>
  <c r="Q43" i="10"/>
  <c r="AA52" i="10"/>
  <c r="AL45" i="3"/>
  <c r="AM45" i="3" s="1"/>
  <c r="AH45" i="3"/>
  <c r="AI45" i="3" s="1"/>
  <c r="AJ45" i="3" s="1"/>
  <c r="AQ45" i="3"/>
  <c r="Y38" i="9"/>
  <c r="AO44" i="3"/>
  <c r="AN44" i="3"/>
  <c r="U38" i="9"/>
  <c r="V38" i="9" s="1"/>
  <c r="D44" i="5"/>
  <c r="L44" i="5" s="1"/>
  <c r="M44" i="5" s="1"/>
  <c r="N44" i="5" s="1"/>
  <c r="E44" i="5"/>
  <c r="F44" i="5" s="1"/>
  <c r="O44" i="5" s="1"/>
  <c r="P44" i="5" s="1"/>
  <c r="D107" i="9"/>
  <c r="E106" i="9"/>
  <c r="P39" i="9"/>
  <c r="C46" i="6"/>
  <c r="Q38" i="9"/>
  <c r="Y49" i="5"/>
  <c r="Z49" i="5" s="1"/>
  <c r="B45" i="5"/>
  <c r="C45" i="5" s="1"/>
  <c r="J35" i="12"/>
  <c r="C42" i="7"/>
  <c r="AS42" i="7"/>
  <c r="AM40" i="7"/>
  <c r="AN40" i="7" s="1"/>
  <c r="AH40" i="7"/>
  <c r="AK40" i="7" s="1"/>
  <c r="AG40" i="7"/>
  <c r="AJ40" i="7" s="1"/>
  <c r="P44" i="4"/>
  <c r="Q44" i="4" s="1"/>
  <c r="O44" i="4"/>
  <c r="F46" i="6"/>
  <c r="G46" i="6" s="1"/>
  <c r="AA45" i="6" s="1"/>
  <c r="AB45" i="6" s="1"/>
  <c r="AC45" i="6" s="1"/>
  <c r="Q101" i="9"/>
  <c r="E46" i="6"/>
  <c r="Y45" i="6" s="1"/>
  <c r="Z45" i="6" s="1"/>
  <c r="H45" i="4"/>
  <c r="BG45" i="3"/>
  <c r="A46" i="4"/>
  <c r="BG46" i="3" s="1"/>
  <c r="C44" i="4"/>
  <c r="B45" i="4"/>
  <c r="BI44" i="3"/>
  <c r="BJ44" i="3" s="1"/>
  <c r="E45" i="8"/>
  <c r="F45" i="8" s="1"/>
  <c r="AB54" i="10"/>
  <c r="D45" i="8"/>
  <c r="X44" i="8" s="1"/>
  <c r="Y44" i="8" s="1"/>
  <c r="I46" i="6"/>
  <c r="A47" i="6"/>
  <c r="E44" i="8"/>
  <c r="F44" i="8" s="1"/>
  <c r="Z43" i="8" s="1"/>
  <c r="AA43" i="8" s="1"/>
  <c r="AB53" i="10"/>
  <c r="D44" i="8"/>
  <c r="X43" i="8" s="1"/>
  <c r="Y43" i="8" s="1"/>
  <c r="B47" i="6"/>
  <c r="D47" i="6" s="1"/>
  <c r="Y39" i="9"/>
  <c r="T39" i="9"/>
  <c r="R39" i="9"/>
  <c r="O40" i="9"/>
  <c r="AC52" i="10"/>
  <c r="AI52" i="10"/>
  <c r="AD52" i="10"/>
  <c r="AF52" i="10" s="1"/>
  <c r="B43" i="7"/>
  <c r="A44" i="7"/>
  <c r="H43" i="7"/>
  <c r="AQ43" i="7"/>
  <c r="N45" i="4"/>
  <c r="M46" i="4"/>
  <c r="N46" i="4" s="1"/>
  <c r="S100" i="9"/>
  <c r="V100" i="9" s="1"/>
  <c r="R100" i="9"/>
  <c r="U100" i="9" s="1"/>
  <c r="X100" i="9"/>
  <c r="Y100" i="9" s="1"/>
  <c r="E43" i="4"/>
  <c r="F43" i="4" s="1"/>
  <c r="AV43" i="3"/>
  <c r="D43" i="4"/>
  <c r="AW42" i="3"/>
  <c r="AZ42" i="3" s="1"/>
  <c r="BC42" i="3"/>
  <c r="BD42" i="3" s="1"/>
  <c r="AX42" i="3"/>
  <c r="BA42" i="3" s="1"/>
  <c r="BK45" i="3"/>
  <c r="BH46" i="3"/>
  <c r="E41" i="7"/>
  <c r="F41" i="7" s="1"/>
  <c r="X41" i="7" s="1"/>
  <c r="Y41" i="7" s="1"/>
  <c r="AF41" i="7"/>
  <c r="AR41" i="7"/>
  <c r="D41" i="7"/>
  <c r="V41" i="7" s="1"/>
  <c r="W41" i="7" s="1"/>
  <c r="AA53" i="10" l="1"/>
  <c r="R44" i="10"/>
  <c r="Q44" i="10"/>
  <c r="AA54" i="10"/>
  <c r="R45" i="10"/>
  <c r="Q45" i="10"/>
  <c r="AN45" i="3"/>
  <c r="AO45" i="3"/>
  <c r="Y50" i="5"/>
  <c r="Z50" i="5" s="1"/>
  <c r="B46" i="5"/>
  <c r="C46" i="5" s="1"/>
  <c r="J36" i="12"/>
  <c r="E45" i="5"/>
  <c r="F45" i="5" s="1"/>
  <c r="O45" i="5" s="1"/>
  <c r="P45" i="5" s="1"/>
  <c r="D45" i="5"/>
  <c r="L45" i="5" s="1"/>
  <c r="M45" i="5" s="1"/>
  <c r="N45" i="5" s="1"/>
  <c r="P40" i="9"/>
  <c r="Q40" i="9" s="1"/>
  <c r="C47" i="6"/>
  <c r="Q39" i="9"/>
  <c r="X39" i="9"/>
  <c r="AA39" i="9" s="1"/>
  <c r="N47" i="6" s="1"/>
  <c r="D108" i="9"/>
  <c r="E107" i="9"/>
  <c r="P45" i="4"/>
  <c r="Q45" i="4" s="1"/>
  <c r="O45" i="4"/>
  <c r="C43" i="7"/>
  <c r="AS43" i="7"/>
  <c r="T40" i="9"/>
  <c r="R40" i="9"/>
  <c r="AD54" i="10"/>
  <c r="AC54" i="10"/>
  <c r="AI54" i="10"/>
  <c r="AH41" i="7"/>
  <c r="AK41" i="7" s="1"/>
  <c r="AG41" i="7"/>
  <c r="AJ41" i="7" s="1"/>
  <c r="AM41" i="7"/>
  <c r="AN41" i="7" s="1"/>
  <c r="F47" i="6"/>
  <c r="G47" i="6" s="1"/>
  <c r="Q102" i="9"/>
  <c r="E47" i="6"/>
  <c r="Y46" i="6" s="1"/>
  <c r="Z46" i="6" s="1"/>
  <c r="Z44" i="8"/>
  <c r="AA44" i="8" s="1"/>
  <c r="E9" i="8"/>
  <c r="C45" i="4"/>
  <c r="B46" i="4"/>
  <c r="BI45" i="3"/>
  <c r="BJ45" i="3" s="1"/>
  <c r="AW43" i="3"/>
  <c r="AZ43" i="3" s="1"/>
  <c r="BC43" i="3"/>
  <c r="BD43" i="3" s="1"/>
  <c r="AX43" i="3"/>
  <c r="BA43" i="3" s="1"/>
  <c r="E44" i="4"/>
  <c r="F44" i="4" s="1"/>
  <c r="AV44" i="3"/>
  <c r="D44" i="4"/>
  <c r="BK46" i="3"/>
  <c r="BI46" i="3"/>
  <c r="BJ46" i="3" s="1"/>
  <c r="P46" i="4"/>
  <c r="Q46" i="4" s="1"/>
  <c r="Q9" i="4" s="1"/>
  <c r="Q10" i="4" s="1"/>
  <c r="D9" i="13" s="1"/>
  <c r="O46" i="4"/>
  <c r="B44" i="7"/>
  <c r="AQ44" i="7"/>
  <c r="U39" i="9"/>
  <c r="V39" i="9" s="1"/>
  <c r="AC53" i="10"/>
  <c r="AI53" i="10"/>
  <c r="AD53" i="10"/>
  <c r="AF53" i="10" s="1"/>
  <c r="R101" i="9"/>
  <c r="U101" i="9" s="1"/>
  <c r="X101" i="9"/>
  <c r="Y101" i="9" s="1"/>
  <c r="S101" i="9"/>
  <c r="V101" i="9" s="1"/>
  <c r="E42" i="7"/>
  <c r="F42" i="7" s="1"/>
  <c r="X42" i="7" s="1"/>
  <c r="Y42" i="7" s="1"/>
  <c r="AR42" i="7"/>
  <c r="AF42" i="7"/>
  <c r="D42" i="7"/>
  <c r="V42" i="7" s="1"/>
  <c r="W42" i="7" s="1"/>
  <c r="X40" i="9" l="1"/>
  <c r="AA40" i="9" s="1"/>
  <c r="Y51" i="5"/>
  <c r="Z51" i="5" s="1"/>
  <c r="B47" i="5"/>
  <c r="C47" i="5" s="1"/>
  <c r="J37" i="12"/>
  <c r="Y40" i="9"/>
  <c r="D109" i="9"/>
  <c r="E108" i="9"/>
  <c r="E46" i="5"/>
  <c r="F46" i="5" s="1"/>
  <c r="O46" i="5" s="1"/>
  <c r="P46" i="5" s="1"/>
  <c r="D46" i="5"/>
  <c r="L46" i="5" s="1"/>
  <c r="M46" i="5" s="1"/>
  <c r="N46" i="5" s="1"/>
  <c r="AH42" i="7"/>
  <c r="AK42" i="7" s="1"/>
  <c r="AG42" i="7"/>
  <c r="AJ42" i="7" s="1"/>
  <c r="AM42" i="7"/>
  <c r="AN42" i="7" s="1"/>
  <c r="E45" i="4"/>
  <c r="F45" i="4" s="1"/>
  <c r="AV45" i="3"/>
  <c r="D45" i="4"/>
  <c r="R102" i="9"/>
  <c r="U102" i="9" s="1"/>
  <c r="X102" i="9"/>
  <c r="Y102" i="9" s="1"/>
  <c r="S102" i="9"/>
  <c r="V102" i="9" s="1"/>
  <c r="B11" i="16"/>
  <c r="E10" i="8"/>
  <c r="H45" i="8"/>
  <c r="Z46" i="8"/>
  <c r="AB47" i="8"/>
  <c r="AB48" i="8" s="1"/>
  <c r="AA46" i="6"/>
  <c r="AB46" i="6" s="1"/>
  <c r="AC46" i="6" s="1"/>
  <c r="AC47" i="6" s="1"/>
  <c r="G11" i="6"/>
  <c r="AF54" i="10"/>
  <c r="U40" i="9"/>
  <c r="V40" i="9" s="1"/>
  <c r="C44" i="7"/>
  <c r="AS44" i="7"/>
  <c r="AX44" i="3"/>
  <c r="BA44" i="3" s="1"/>
  <c r="AW44" i="3"/>
  <c r="AZ44" i="3" s="1"/>
  <c r="BC44" i="3"/>
  <c r="BD44" i="3" s="1"/>
  <c r="C46" i="4"/>
  <c r="E43" i="7"/>
  <c r="F43" i="7" s="1"/>
  <c r="X43" i="7" s="1"/>
  <c r="Y43" i="7" s="1"/>
  <c r="AF43" i="7"/>
  <c r="AR43" i="7"/>
  <c r="D43" i="7"/>
  <c r="V43" i="7" s="1"/>
  <c r="W43" i="7" s="1"/>
  <c r="I64" i="16" l="1"/>
  <c r="H56" i="16"/>
  <c r="D64" i="16"/>
  <c r="I56" i="16"/>
  <c r="G56" i="16"/>
  <c r="H64" i="16"/>
  <c r="F56" i="16"/>
  <c r="F64" i="16"/>
  <c r="C56" i="16"/>
  <c r="E64" i="16"/>
  <c r="G64" i="16"/>
  <c r="E56" i="16"/>
  <c r="D56" i="16"/>
  <c r="C64" i="16"/>
  <c r="B48" i="5"/>
  <c r="C48" i="5" s="1"/>
  <c r="Y52" i="5"/>
  <c r="Z52" i="5" s="1"/>
  <c r="E47" i="5"/>
  <c r="F47" i="5" s="1"/>
  <c r="O47" i="5" s="1"/>
  <c r="P47" i="5" s="1"/>
  <c r="D47" i="5"/>
  <c r="L47" i="5" s="1"/>
  <c r="M47" i="5" s="1"/>
  <c r="N47" i="5" s="1"/>
  <c r="D110" i="9"/>
  <c r="E110" i="9" s="1"/>
  <c r="E109" i="9"/>
  <c r="B12" i="16"/>
  <c r="C10" i="13"/>
  <c r="E44" i="7"/>
  <c r="F44" i="7" s="1"/>
  <c r="AR44" i="7"/>
  <c r="D44" i="7"/>
  <c r="V44" i="7" s="1"/>
  <c r="W44" i="7" s="1"/>
  <c r="AF44" i="7"/>
  <c r="T56" i="16"/>
  <c r="X56" i="16"/>
  <c r="AB56" i="16"/>
  <c r="AF56" i="16"/>
  <c r="U56" i="16"/>
  <c r="Y56" i="16"/>
  <c r="AC56" i="16"/>
  <c r="V56" i="16"/>
  <c r="Z56" i="16"/>
  <c r="AD56" i="16"/>
  <c r="S56" i="16"/>
  <c r="W56" i="16"/>
  <c r="AA56" i="16"/>
  <c r="AE56" i="16"/>
  <c r="S61" i="16"/>
  <c r="T61" i="16"/>
  <c r="U61" i="16"/>
  <c r="V61" i="16"/>
  <c r="W61" i="16"/>
  <c r="X61" i="16"/>
  <c r="Y61" i="16"/>
  <c r="Z61" i="16"/>
  <c r="AA61" i="16"/>
  <c r="AB61" i="16"/>
  <c r="AC61" i="16"/>
  <c r="AD61" i="16"/>
  <c r="AE61" i="16"/>
  <c r="AF61" i="16"/>
  <c r="AM43" i="7"/>
  <c r="AN43" i="7" s="1"/>
  <c r="AH43" i="7"/>
  <c r="AK43" i="7" s="1"/>
  <c r="AG43" i="7"/>
  <c r="AJ43" i="7" s="1"/>
  <c r="E46" i="4"/>
  <c r="F46" i="4" s="1"/>
  <c r="AV46" i="3"/>
  <c r="D46" i="4"/>
  <c r="G12" i="6"/>
  <c r="I47" i="6"/>
  <c r="AA48" i="6"/>
  <c r="AC49" i="6"/>
  <c r="AC50" i="6" s="1"/>
  <c r="AW45" i="3"/>
  <c r="AZ45" i="3" s="1"/>
  <c r="BC45" i="3"/>
  <c r="BD45" i="3" s="1"/>
  <c r="AX45" i="3"/>
  <c r="BA45" i="3" s="1"/>
  <c r="L63" i="16" l="1"/>
  <c r="O63" i="16"/>
  <c r="O55" i="16"/>
  <c r="P63" i="16"/>
  <c r="P55" i="16"/>
  <c r="N63" i="16"/>
  <c r="N55" i="16"/>
  <c r="M63" i="16"/>
  <c r="M55" i="16"/>
  <c r="L55" i="16"/>
  <c r="I63" i="16"/>
  <c r="D48" i="5"/>
  <c r="L48" i="5" s="1"/>
  <c r="M48" i="5" s="1"/>
  <c r="N48" i="5" s="1"/>
  <c r="E48" i="5"/>
  <c r="F48" i="5" s="1"/>
  <c r="O48" i="5" s="1"/>
  <c r="P48" i="5" s="1"/>
  <c r="K63" i="16"/>
  <c r="K55" i="16"/>
  <c r="J55" i="16"/>
  <c r="J63" i="16"/>
  <c r="AW46" i="3"/>
  <c r="AZ46" i="3" s="1"/>
  <c r="BC46" i="3"/>
  <c r="BD46" i="3" s="1"/>
  <c r="AX46" i="3"/>
  <c r="BA46" i="3" s="1"/>
  <c r="AM44" i="7"/>
  <c r="AN44" i="7" s="1"/>
  <c r="AH44" i="7"/>
  <c r="AK44" i="7" s="1"/>
  <c r="AG44" i="7"/>
  <c r="AJ44" i="7" s="1"/>
  <c r="B13" i="16"/>
  <c r="C11" i="13"/>
  <c r="D13" i="16" s="1"/>
  <c r="F9" i="4"/>
  <c r="C9" i="13" s="1"/>
  <c r="AH56" i="16"/>
  <c r="AL55" i="16" s="1"/>
  <c r="X44" i="7"/>
  <c r="Y44" i="7" s="1"/>
  <c r="F8" i="7"/>
  <c r="I55" i="16"/>
  <c r="D55" i="16"/>
  <c r="E55" i="16"/>
  <c r="U55" i="16"/>
  <c r="Y55" i="16"/>
  <c r="AC55" i="16"/>
  <c r="F55" i="16"/>
  <c r="V55" i="16"/>
  <c r="Z55" i="16"/>
  <c r="AD55" i="16"/>
  <c r="G55" i="16"/>
  <c r="C55" i="16"/>
  <c r="S55" i="16"/>
  <c r="W55" i="16"/>
  <c r="AA55" i="16"/>
  <c r="AE55" i="16"/>
  <c r="H55" i="16"/>
  <c r="T55" i="16"/>
  <c r="X55" i="16"/>
  <c r="AB55" i="16"/>
  <c r="AF55" i="16"/>
  <c r="Q68" i="16" l="1"/>
  <c r="R60" i="16"/>
  <c r="Q60" i="16"/>
  <c r="R68" i="16"/>
  <c r="O60" i="16"/>
  <c r="P68" i="16"/>
  <c r="P60" i="16"/>
  <c r="N68" i="16"/>
  <c r="N60" i="16"/>
  <c r="O68" i="16"/>
  <c r="L60" i="16"/>
  <c r="L68" i="16"/>
  <c r="M60" i="16"/>
  <c r="M68" i="16"/>
  <c r="F11" i="5"/>
  <c r="K68" i="16"/>
  <c r="K60" i="16"/>
  <c r="J60" i="16"/>
  <c r="J68" i="16"/>
  <c r="F10" i="4"/>
  <c r="H46" i="4"/>
  <c r="AH55" i="16"/>
  <c r="AL56" i="16" s="1"/>
  <c r="F9" i="7"/>
  <c r="H44" i="7"/>
  <c r="X46" i="7"/>
  <c r="Z47" i="7"/>
  <c r="Z48" i="7" s="1"/>
  <c r="I68" i="16"/>
  <c r="I60" i="16"/>
  <c r="D60" i="16"/>
  <c r="H60" i="16"/>
  <c r="F68" i="16"/>
  <c r="S60" i="16"/>
  <c r="V68" i="16"/>
  <c r="V74" i="16" s="1"/>
  <c r="V101" i="16" s="1"/>
  <c r="W60" i="16"/>
  <c r="Z68" i="16"/>
  <c r="Z74" i="16" s="1"/>
  <c r="Z101" i="16" s="1"/>
  <c r="AA60" i="16"/>
  <c r="AD68" i="16"/>
  <c r="AD74" i="16" s="1"/>
  <c r="AD101" i="16" s="1"/>
  <c r="AE60" i="16"/>
  <c r="E60" i="16"/>
  <c r="G68" i="16"/>
  <c r="S68" i="16"/>
  <c r="S74" i="16" s="1"/>
  <c r="S101" i="16" s="1"/>
  <c r="T60" i="16"/>
  <c r="W68" i="16"/>
  <c r="W74" i="16" s="1"/>
  <c r="W101" i="16" s="1"/>
  <c r="X60" i="16"/>
  <c r="AA68" i="16"/>
  <c r="AA74" i="16" s="1"/>
  <c r="AA101" i="16" s="1"/>
  <c r="AB60" i="16"/>
  <c r="AE68" i="16"/>
  <c r="AE74" i="16" s="1"/>
  <c r="AE101" i="16" s="1"/>
  <c r="AF60" i="16"/>
  <c r="F60" i="16"/>
  <c r="D68" i="16"/>
  <c r="D74" i="16" s="1"/>
  <c r="H68" i="16"/>
  <c r="T68" i="16"/>
  <c r="T74" i="16" s="1"/>
  <c r="T101" i="16" s="1"/>
  <c r="U60" i="16"/>
  <c r="X68" i="16"/>
  <c r="X74" i="16" s="1"/>
  <c r="X101" i="16" s="1"/>
  <c r="Y60" i="16"/>
  <c r="AB68" i="16"/>
  <c r="AB74" i="16" s="1"/>
  <c r="AB101" i="16" s="1"/>
  <c r="AC60" i="16"/>
  <c r="AF68" i="16"/>
  <c r="AF74" i="16" s="1"/>
  <c r="AF101" i="16" s="1"/>
  <c r="G60" i="16"/>
  <c r="E68" i="16"/>
  <c r="E74" i="16" s="1"/>
  <c r="C68" i="16"/>
  <c r="C74" i="16" s="1"/>
  <c r="C60" i="16"/>
  <c r="U68" i="16"/>
  <c r="U74" i="16" s="1"/>
  <c r="U101" i="16" s="1"/>
  <c r="V60" i="16"/>
  <c r="Y68" i="16"/>
  <c r="Y74" i="16" s="1"/>
  <c r="Y101" i="16" s="1"/>
  <c r="Z60" i="16"/>
  <c r="AC68" i="16"/>
  <c r="AC74" i="16" s="1"/>
  <c r="AC101" i="16" s="1"/>
  <c r="AD60" i="16"/>
  <c r="H74" i="16" l="1"/>
  <c r="H101" i="16" s="1"/>
  <c r="G74" i="16"/>
  <c r="G101" i="16" s="1"/>
  <c r="F74" i="16"/>
  <c r="F101" i="16" s="1"/>
  <c r="P50" i="5"/>
  <c r="F12" i="5"/>
  <c r="H48" i="5"/>
  <c r="E101" i="16"/>
  <c r="D101" i="16"/>
  <c r="AH68" i="16"/>
  <c r="AH60" i="16"/>
  <c r="B9" i="16"/>
  <c r="C7" i="13"/>
  <c r="M61" i="16" l="1"/>
  <c r="P53" i="16"/>
  <c r="O53" i="16"/>
  <c r="N53" i="16"/>
  <c r="P61" i="16"/>
  <c r="O61" i="16"/>
  <c r="N61" i="16"/>
  <c r="L61" i="16"/>
  <c r="L53" i="16"/>
  <c r="M53" i="16"/>
  <c r="I61" i="16"/>
  <c r="B10" i="16"/>
  <c r="C8" i="13"/>
  <c r="F8" i="13" s="1"/>
  <c r="D10" i="16" s="1"/>
  <c r="K53" i="16"/>
  <c r="K61" i="16"/>
  <c r="AL60" i="16"/>
  <c r="J53" i="16"/>
  <c r="J61" i="16"/>
  <c r="I53" i="16"/>
  <c r="D53" i="16"/>
  <c r="G53" i="16"/>
  <c r="C53" i="16"/>
  <c r="S53" i="16"/>
  <c r="W53" i="16"/>
  <c r="AA53" i="16"/>
  <c r="AE53" i="16"/>
  <c r="H53" i="16"/>
  <c r="T53" i="16"/>
  <c r="X53" i="16"/>
  <c r="AB53" i="16"/>
  <c r="AF53" i="16"/>
  <c r="E53" i="16"/>
  <c r="U53" i="16"/>
  <c r="Y53" i="16"/>
  <c r="AC53" i="16"/>
  <c r="F53" i="16"/>
  <c r="V53" i="16"/>
  <c r="Z53" i="16"/>
  <c r="AD53" i="16"/>
  <c r="C101" i="16"/>
  <c r="Q62" i="16" l="1"/>
  <c r="Q74" i="16" s="1"/>
  <c r="Q101" i="16" s="1"/>
  <c r="R62" i="16"/>
  <c r="R74" i="16" s="1"/>
  <c r="R101" i="16" s="1"/>
  <c r="N62" i="16"/>
  <c r="N74" i="16" s="1"/>
  <c r="O62" i="16"/>
  <c r="O74" i="16" s="1"/>
  <c r="O101" i="16" s="1"/>
  <c r="P62" i="16"/>
  <c r="P74" i="16" s="1"/>
  <c r="P101" i="16" s="1"/>
  <c r="M62" i="16"/>
  <c r="L62" i="16"/>
  <c r="R54" i="16"/>
  <c r="N54" i="16"/>
  <c r="O54" i="16"/>
  <c r="P54" i="16"/>
  <c r="Q54" i="16"/>
  <c r="Q73" i="16" s="1"/>
  <c r="M54" i="16"/>
  <c r="M73" i="16" s="1"/>
  <c r="L54" i="16"/>
  <c r="L74" i="16"/>
  <c r="L101" i="16" s="1"/>
  <c r="M74" i="16"/>
  <c r="I62" i="16"/>
  <c r="I74" i="16" s="1"/>
  <c r="I101" i="16" s="1"/>
  <c r="I107" i="16" s="1"/>
  <c r="J62" i="16"/>
  <c r="J74" i="16" s="1"/>
  <c r="D54" i="16"/>
  <c r="D73" i="16" s="1"/>
  <c r="AA54" i="16"/>
  <c r="AA73" i="16" s="1"/>
  <c r="AA100" i="16" s="1"/>
  <c r="AA103" i="16" s="1"/>
  <c r="AF54" i="16"/>
  <c r="AF73" i="16" s="1"/>
  <c r="AF100" i="16" s="1"/>
  <c r="AF103" i="16" s="1"/>
  <c r="S54" i="16"/>
  <c r="S73" i="16" s="1"/>
  <c r="S100" i="16" s="1"/>
  <c r="S103" i="16" s="1"/>
  <c r="H54" i="16"/>
  <c r="H73" i="16" s="1"/>
  <c r="H75" i="16" s="1"/>
  <c r="K62" i="16"/>
  <c r="K74" i="16" s="1"/>
  <c r="K101" i="16" s="1"/>
  <c r="F54" i="16"/>
  <c r="F73" i="16" s="1"/>
  <c r="Z54" i="16"/>
  <c r="Z73" i="16" s="1"/>
  <c r="Z100" i="16" s="1"/>
  <c r="Z103" i="16" s="1"/>
  <c r="O73" i="16"/>
  <c r="O100" i="16" s="1"/>
  <c r="AE54" i="16"/>
  <c r="AE73" i="16" s="1"/>
  <c r="AE100" i="16" s="1"/>
  <c r="AE103" i="16" s="1"/>
  <c r="T54" i="16"/>
  <c r="T73" i="16" s="1"/>
  <c r="T100" i="16" s="1"/>
  <c r="T103" i="16" s="1"/>
  <c r="E54" i="16"/>
  <c r="E73" i="16" s="1"/>
  <c r="Y54" i="16"/>
  <c r="Y73" i="16" s="1"/>
  <c r="Y100" i="16" s="1"/>
  <c r="Y103" i="16" s="1"/>
  <c r="K54" i="16"/>
  <c r="K73" i="16" s="1"/>
  <c r="AC54" i="16"/>
  <c r="AC73" i="16" s="1"/>
  <c r="AC100" i="16" s="1"/>
  <c r="AC103" i="16" s="1"/>
  <c r="J54" i="16"/>
  <c r="J73" i="16" s="1"/>
  <c r="I54" i="16"/>
  <c r="I73" i="16" s="1"/>
  <c r="R73" i="16"/>
  <c r="G54" i="16"/>
  <c r="W54" i="16"/>
  <c r="W73" i="16" s="1"/>
  <c r="W100" i="16" s="1"/>
  <c r="W103" i="16" s="1"/>
  <c r="L73" i="16"/>
  <c r="AB54" i="16"/>
  <c r="AB73" i="16" s="1"/>
  <c r="AB100" i="16" s="1"/>
  <c r="AB103" i="16" s="1"/>
  <c r="V54" i="16"/>
  <c r="V73" i="16" s="1"/>
  <c r="V100" i="16" s="1"/>
  <c r="V103" i="16" s="1"/>
  <c r="C54" i="16"/>
  <c r="C73" i="16" s="1"/>
  <c r="C75" i="16" s="1"/>
  <c r="P73" i="16"/>
  <c r="P100" i="16" s="1"/>
  <c r="U54" i="16"/>
  <c r="U73" i="16" s="1"/>
  <c r="U100" i="16" s="1"/>
  <c r="U103" i="16" s="1"/>
  <c r="N73" i="16"/>
  <c r="AD54" i="16"/>
  <c r="AD73" i="16" s="1"/>
  <c r="AD100" i="16" s="1"/>
  <c r="AD103" i="16" s="1"/>
  <c r="X54" i="16"/>
  <c r="X73" i="16" s="1"/>
  <c r="X100" i="16" s="1"/>
  <c r="X103" i="16" s="1"/>
  <c r="H107" i="16"/>
  <c r="C107" i="16"/>
  <c r="E107" i="16"/>
  <c r="F107" i="16"/>
  <c r="G107" i="16"/>
  <c r="D107" i="16"/>
  <c r="AH53" i="16"/>
  <c r="AL53" i="16" s="1"/>
  <c r="N100" i="16" l="1"/>
  <c r="O125" i="16"/>
  <c r="O103" i="16"/>
  <c r="P103" i="16"/>
  <c r="R100" i="16"/>
  <c r="R103" i="16" s="1"/>
  <c r="Q100" i="16"/>
  <c r="Q103" i="16" s="1"/>
  <c r="L100" i="16"/>
  <c r="L103" i="16" s="1"/>
  <c r="K75" i="16"/>
  <c r="D75" i="16"/>
  <c r="D100" i="16"/>
  <c r="D103" i="16" s="1"/>
  <c r="D117" i="16" s="1"/>
  <c r="I75" i="16"/>
  <c r="I100" i="16"/>
  <c r="I103" i="16" s="1"/>
  <c r="I117" i="16" s="1"/>
  <c r="J75" i="16"/>
  <c r="J100" i="16"/>
  <c r="E75" i="16"/>
  <c r="E100" i="16"/>
  <c r="E103" i="16" s="1"/>
  <c r="E117" i="16" s="1"/>
  <c r="F75" i="16"/>
  <c r="F100" i="16"/>
  <c r="F103" i="16" s="1"/>
  <c r="F117" i="16" s="1"/>
  <c r="K100" i="16"/>
  <c r="K103" i="16" s="1"/>
  <c r="G73" i="16"/>
  <c r="G75" i="16" s="1"/>
  <c r="H100" i="16"/>
  <c r="H103" i="16" s="1"/>
  <c r="H118" i="16" s="1"/>
  <c r="J101" i="16"/>
  <c r="L107" i="16" s="1"/>
  <c r="AH74" i="16"/>
  <c r="AH54" i="16"/>
  <c r="AL54" i="16" s="1"/>
  <c r="AL68" i="16" s="1"/>
  <c r="C100" i="16"/>
  <c r="E118" i="16" l="1"/>
  <c r="E119" i="16" s="1"/>
  <c r="H117" i="16"/>
  <c r="H119" i="16" s="1"/>
  <c r="D118" i="16"/>
  <c r="D119" i="16" s="1"/>
  <c r="F118" i="16"/>
  <c r="F119" i="16" s="1"/>
  <c r="AH75" i="16"/>
  <c r="I118" i="16"/>
  <c r="I119" i="16" s="1"/>
  <c r="K118" i="16"/>
  <c r="K117" i="16"/>
  <c r="G100" i="16"/>
  <c r="G103" i="16" s="1"/>
  <c r="AH73" i="16"/>
  <c r="K107" i="16"/>
  <c r="J107" i="16"/>
  <c r="J103" i="16"/>
  <c r="C106" i="16"/>
  <c r="C103" i="16"/>
  <c r="F106" i="16"/>
  <c r="F109" i="16" s="1"/>
  <c r="D106" i="16"/>
  <c r="D109" i="16" s="1"/>
  <c r="E106" i="16"/>
  <c r="E109" i="16" s="1"/>
  <c r="L106" i="16" l="1"/>
  <c r="J106" i="16"/>
  <c r="J109" i="16" s="1"/>
  <c r="H106" i="16"/>
  <c r="H109" i="16" s="1"/>
  <c r="K106" i="16"/>
  <c r="K109" i="16" s="1"/>
  <c r="N112" i="16" s="1"/>
  <c r="O123" i="16" s="1"/>
  <c r="P123" i="16" s="1"/>
  <c r="K119" i="16"/>
  <c r="G106" i="16"/>
  <c r="G109" i="16" s="1"/>
  <c r="I106" i="16"/>
  <c r="I109" i="16" s="1"/>
  <c r="I112" i="16" s="1"/>
  <c r="G117" i="16"/>
  <c r="G118" i="16"/>
  <c r="L109" i="16"/>
  <c r="J118" i="16"/>
  <c r="K112" i="16"/>
  <c r="N116" i="16" s="1"/>
  <c r="J117" i="16"/>
  <c r="C118" i="16"/>
  <c r="C117" i="16"/>
  <c r="K115" i="16"/>
  <c r="C109" i="16"/>
  <c r="E16" i="23" s="1"/>
  <c r="K111" i="16" l="1"/>
  <c r="G119" i="16"/>
  <c r="C119" i="16"/>
  <c r="K113" i="16"/>
  <c r="J119" i="16"/>
  <c r="M87" i="16" l="1"/>
  <c r="M100" i="16" l="1"/>
  <c r="O124" i="16"/>
  <c r="N106" i="16"/>
  <c r="M106" i="16"/>
  <c r="P106" i="16"/>
  <c r="O106" i="16"/>
  <c r="S106" i="16"/>
  <c r="W106" i="16"/>
  <c r="AC106" i="16"/>
  <c r="T106" i="16"/>
  <c r="AA106" i="16"/>
  <c r="AF106" i="16"/>
  <c r="AD106" i="16"/>
  <c r="Q106" i="16"/>
  <c r="Y106" i="16"/>
  <c r="V106" i="16"/>
  <c r="U106" i="16"/>
  <c r="AB106" i="16"/>
  <c r="X106" i="16"/>
  <c r="Z106" i="16"/>
  <c r="AH100" i="16"/>
  <c r="R106" i="16"/>
  <c r="AE106" i="16"/>
  <c r="M93" i="16"/>
  <c r="N124" i="16" s="1"/>
  <c r="M88" i="16"/>
  <c r="P124" i="16" l="1"/>
  <c r="M101" i="16"/>
  <c r="N93" i="16"/>
  <c r="N125" i="16" s="1"/>
  <c r="P125" i="16" s="1"/>
  <c r="P126" i="16" l="1"/>
  <c r="Q124" i="16"/>
  <c r="N101" i="16"/>
  <c r="N103" i="16" s="1"/>
  <c r="M103" i="16"/>
  <c r="N114" i="16" s="1"/>
  <c r="M107" i="16"/>
  <c r="M109" i="16" s="1"/>
  <c r="O107" i="16"/>
  <c r="O109" i="16" s="1"/>
  <c r="P107" i="16"/>
  <c r="P109" i="16" s="1"/>
  <c r="X107" i="16"/>
  <c r="X109" i="16" s="1"/>
  <c r="T107" i="16"/>
  <c r="T109" i="16" s="1"/>
  <c r="S107" i="16"/>
  <c r="S109" i="16" s="1"/>
  <c r="U107" i="16"/>
  <c r="U109" i="16" s="1"/>
  <c r="AF107" i="16"/>
  <c r="AF109" i="16" s="1"/>
  <c r="AH109" i="16" s="1"/>
  <c r="V107" i="16"/>
  <c r="V109" i="16" s="1"/>
  <c r="W107" i="16"/>
  <c r="W109" i="16" s="1"/>
  <c r="Q107" i="16"/>
  <c r="Q109" i="16" s="1"/>
  <c r="AD107" i="16" l="1"/>
  <c r="AD109" i="16" s="1"/>
  <c r="Z107" i="16"/>
  <c r="Z109" i="16" s="1"/>
  <c r="AC107" i="16"/>
  <c r="AC109" i="16" s="1"/>
  <c r="AB107" i="16"/>
  <c r="AB109" i="16" s="1"/>
  <c r="N107" i="16"/>
  <c r="N109" i="16" s="1"/>
  <c r="AA107" i="16"/>
  <c r="AA109" i="16" s="1"/>
  <c r="Y107" i="16"/>
  <c r="Y109" i="16" s="1"/>
  <c r="R107" i="16"/>
  <c r="R109" i="16" s="1"/>
  <c r="AE107" i="16"/>
  <c r="AE109" i="16" s="1"/>
  <c r="AH101" i="16"/>
  <c r="AH105" i="16" s="1"/>
  <c r="P113" i="16"/>
  <c r="P114" i="16" s="1"/>
  <c r="AJ54" i="10" l="1"/>
  <c r="AJ51" i="10"/>
  <c r="AJ52" i="10"/>
  <c r="AJ50" i="10"/>
  <c r="AJ53" i="10"/>
</calcChain>
</file>

<file path=xl/sharedStrings.xml><?xml version="1.0" encoding="utf-8"?>
<sst xmlns="http://schemas.openxmlformats.org/spreadsheetml/2006/main" count="2081" uniqueCount="895">
  <si>
    <t>poor soil quality</t>
    <phoneticPr fontId="6" type="noConversion"/>
  </si>
  <si>
    <t>Discount</t>
    <phoneticPr fontId="6" type="noConversion"/>
  </si>
  <si>
    <t>moisture (%)</t>
    <phoneticPr fontId="6" type="noConversion"/>
  </si>
  <si>
    <t>References</t>
    <phoneticPr fontId="6" type="noConversion"/>
  </si>
  <si>
    <t>Region</t>
    <phoneticPr fontId="6" type="noConversion"/>
  </si>
  <si>
    <t>http://www.indjsrt.com/admin/UploadFiles/15-28.pdf</t>
  </si>
  <si>
    <t>Growth Curves</t>
    <phoneticPr fontId="6" type="noConversion"/>
  </si>
  <si>
    <t>References</t>
    <phoneticPr fontId="6" type="noConversion"/>
  </si>
  <si>
    <t>Biomass Equations</t>
    <phoneticPr fontId="6" type="noConversion"/>
  </si>
  <si>
    <t>Fitted</t>
    <phoneticPr fontId="6" type="noConversion"/>
  </si>
  <si>
    <t>Trendline</t>
    <phoneticPr fontId="6" type="noConversion"/>
  </si>
  <si>
    <t>Brown (1997)</t>
    <phoneticPr fontId="6" type="noConversion"/>
  </si>
  <si>
    <t>exp(-1.17 + 2.119(DBH))</t>
    <phoneticPr fontId="6" type="noConversion"/>
  </si>
  <si>
    <t>Growth curve, DBH=</t>
    <phoneticPr fontId="6" type="noConversion"/>
  </si>
  <si>
    <t>Vid &amp; Par (2014)</t>
    <phoneticPr fontId="6" type="noConversion"/>
  </si>
  <si>
    <t>Brown (1997)</t>
    <phoneticPr fontId="6" type="noConversion"/>
  </si>
  <si>
    <t>Rana et al (2011)</t>
    <phoneticPr fontId="6" type="noConversion"/>
  </si>
  <si>
    <t>NREL (1992)</t>
    <phoneticPr fontId="6" type="noConversion"/>
  </si>
  <si>
    <t>East Timor</t>
    <phoneticPr fontId="6" type="noConversion"/>
  </si>
  <si>
    <t>BEF=</t>
    <phoneticPr fontId="6" type="noConversion"/>
  </si>
  <si>
    <t>Marques (2010)</t>
    <phoneticPr fontId="6" type="noConversion"/>
  </si>
  <si>
    <t>Age (yr)</t>
    <phoneticPr fontId="6" type="noConversion"/>
  </si>
  <si>
    <t>H (m)</t>
    <phoneticPr fontId="6" type="noConversion"/>
  </si>
  <si>
    <t>Las &amp; Card (2005)</t>
    <phoneticPr fontId="6" type="noConversion"/>
  </si>
  <si>
    <t>Total AGB</t>
    <phoneticPr fontId="6" type="noConversion"/>
  </si>
  <si>
    <t>B (t dm/tree/yr)</t>
    <phoneticPr fontId="6" type="noConversion"/>
  </si>
  <si>
    <t>RS</t>
    <phoneticPr fontId="6" type="noConversion"/>
  </si>
  <si>
    <t>B (t dm/tree/yr)</t>
    <phoneticPr fontId="6" type="noConversion"/>
  </si>
  <si>
    <t xml:space="preserve">THOMAS F. GEARY Forestry Consultant Washington, DC </t>
  </si>
  <si>
    <t>Uma et al (2013)</t>
    <phoneticPr fontId="6" type="noConversion"/>
  </si>
  <si>
    <t>Halos (1983)</t>
    <phoneticPr fontId="6" type="noConversion"/>
  </si>
  <si>
    <t>Geary (2003)</t>
    <phoneticPr fontId="6" type="noConversion"/>
  </si>
  <si>
    <t xml:space="preserve"> http://www.rngr.net/publications/ttsm/species/PDF.2003-12-08.1302/at_download/file</t>
  </si>
  <si>
    <t xml:space="preserve">rainfall of 3229 mm, </t>
  </si>
  <si>
    <t>1012 mm rainfall</t>
    <phoneticPr fontId="6" type="noConversion"/>
  </si>
  <si>
    <t>Uses The most common uses of Casuarina equisetifolia are for coastal sand dune stabilization, shelter-belts, land reclamation and erosion control. It is a popular agroforestry tree in coastal and saline areas. In Sarawak it is protected because of its importance in controlling coastal erosion. Many areas of occurrence are susceptible to tropical cyclones or typhoons and Casuarina equisetifolia's general tolerance to strong winds has encouraged its use in protective plantings. A 3000 km long belt along the coast of southern China is planted to Casuarina equisetifolia for this purpose.|The wood is highly regarded as a fuel. It burns even when green and produces high quality charcoal. The small branch litter is often collected for domestic fuel and is sometimes used to fuel pottery and brick kilns. Poles are popular as masts for fishing boats, piles, posts and tool handles. Sawn timber is only used for small items like roofing shingles. The wood is used to produce paper pulp using neutral sulphate and semi-chemical processes and as raw material for rayon fibres. In Egypt it is used to make chipboard.|The bark has been used for tanning and is still occasionally used by amateur tanners. Medicinal use is made of the roots to treat dysentery, diarrhoea and stomach ache. In West Malaysia, a decoction of the twigs is used for treating swellings and the powdered bark is used for treating facial pimples.</t>
  </si>
  <si>
    <t xml:space="preserve">In Australia, C. equisetifolia subsp. equisetifolia is mainly a small tree, 8-16 m tall, in contrast to populations in South-East Asia where the tree may attain heights of 35 m with diameters to 50 cm. </t>
  </si>
  <si>
    <t>http://www.cabi.org/isc/datasheet/16718</t>
  </si>
  <si>
    <t>(tdm/ tree/yr)</t>
    <phoneticPr fontId="6" type="noConversion"/>
  </si>
  <si>
    <t>Krishnawati et. al. (2012)</t>
    <phoneticPr fontId="6" type="noConversion"/>
  </si>
  <si>
    <r>
      <t>V=0.000026D</t>
    </r>
    <r>
      <rPr>
        <vertAlign val="superscript"/>
        <sz val="10"/>
        <rFont val="Verdana"/>
        <family val="2"/>
      </rPr>
      <t>2.2290</t>
    </r>
    <r>
      <rPr>
        <sz val="10"/>
        <rFont val="Verdana"/>
        <family val="2"/>
      </rPr>
      <t>H</t>
    </r>
    <r>
      <rPr>
        <vertAlign val="superscript"/>
        <sz val="10"/>
        <rFont val="Verdana"/>
        <family val="2"/>
      </rPr>
      <t>0.8333</t>
    </r>
    <phoneticPr fontId="6" type="noConversion"/>
  </si>
  <si>
    <t>(m3)</t>
    <phoneticPr fontId="6" type="noConversion"/>
  </si>
  <si>
    <t>Latifah et. Al. (2014)</t>
    <phoneticPr fontId="6" type="noConversion"/>
  </si>
  <si>
    <t>Growth and development Casuarina equisetifolia has a life span of 40—50 years and displays fast early growth. Under favourable conditions early growth in height may exceed 3 m per year. At 10 years a height exceeding 10 m and a diameter of 20 cm may be reached.</t>
    <phoneticPr fontId="6" type="noConversion"/>
  </si>
  <si>
    <t>http://proseanet.org/prosea/e-prosea_detail.php?frt=e&amp;id=2993</t>
  </si>
  <si>
    <t>Midgley, S.J. &amp; Sylvester, R., 1997. Casuarina equisetifolia L.[Internet] Record from Proseabase. Faridah Hanum, I &amp; van der Maesen, L.J.G. (Editors).</t>
  </si>
  <si>
    <t>Accessed from Internet: 09-Nov-2014</t>
  </si>
  <si>
    <t>Harvesting Rotation periods vary from 6—15 years when harvesting for fuelwood.</t>
  </si>
  <si>
    <t>Yield On favourable sites, Casuarina equisetifolia can reach an annual increment of 15 m3/ha at 10 years. In India, plantations using 1—2 m x 1—2 m spacing on 6—15 year rotations yield 50—200 t of wood per ha. Dry weight of stems, branches and twigs per tree ranges from 15 to 25 kg at 3 years of age, depending on site quality. Up to 4 t/ha of litter and twigs may be harvested for fuel.</t>
  </si>
  <si>
    <t>Owra et al. (2009)</t>
    <phoneticPr fontId="6" type="noConversion"/>
  </si>
  <si>
    <t>Siregar (2011)</t>
    <phoneticPr fontId="6" type="noConversion"/>
  </si>
  <si>
    <r>
      <t>Perez (2005)</t>
    </r>
    <r>
      <rPr>
        <vertAlign val="superscript"/>
        <sz val="10"/>
        <rFont val="Verdana"/>
        <family val="2"/>
      </rPr>
      <t>a</t>
    </r>
    <phoneticPr fontId="6" type="noConversion"/>
  </si>
  <si>
    <r>
      <t>Siregar (2011), indonesia, R</t>
    </r>
    <r>
      <rPr>
        <vertAlign val="superscript"/>
        <sz val="10"/>
        <rFont val="Verdana"/>
        <family val="2"/>
      </rPr>
      <t>2</t>
    </r>
    <r>
      <rPr>
        <sz val="10"/>
        <rFont val="Verdana"/>
        <family val="2"/>
      </rPr>
      <t>=0.97</t>
    </r>
    <phoneticPr fontId="6" type="noConversion"/>
  </si>
  <si>
    <t>Adjustment %</t>
    <phoneticPr fontId="6" type="noConversion"/>
  </si>
  <si>
    <t>selected for conservativeness</t>
    <phoneticPr fontId="6" type="noConversion"/>
  </si>
  <si>
    <t>DBH curve</t>
    <phoneticPr fontId="6" type="noConversion"/>
  </si>
  <si>
    <t>Schneider et al. (2009)</t>
    <phoneticPr fontId="6" type="noConversion"/>
  </si>
  <si>
    <t>Develop Forest Carbon Standard and Carbon Accounting System for Small-scale Plantation Based on Local Experiences</t>
    <phoneticPr fontId="6" type="noConversion"/>
  </si>
  <si>
    <t>http://www.itto.int/files/itto_project_db_input/2954/Technical/Develop%20Forest%20Carbon%20Standard%20and%20Carbon%20Accounting%20System%20for%20Smallscale%20Plantation%20based%20on%20Local%20Experiences.pdf</t>
    <phoneticPr fontId="6" type="noConversion"/>
  </si>
  <si>
    <t>Enhancing Forest Carbon Stock to Reduce Emission from Deforestation and Degradation</t>
    <phoneticPr fontId="6" type="noConversion"/>
  </si>
  <si>
    <t>through Sustainable Forest Management (SFM) Initiatives in Indonesia</t>
    <phoneticPr fontId="6" type="noConversion"/>
  </si>
  <si>
    <t>Indonesia’s Ministry of Forestry – International Tropical Timber Organization</t>
    <phoneticPr fontId="6" type="noConversion"/>
  </si>
  <si>
    <t>RED-PD 007/09 Rev. 2 (F)</t>
    <phoneticPr fontId="6" type="noConversion"/>
  </si>
  <si>
    <t>http://proseanet.org/prosea/e-prosea_detail.php?frt=&amp;id=3012</t>
    <phoneticPr fontId="6" type="noConversion"/>
  </si>
  <si>
    <t>Euc Uro</t>
    <phoneticPr fontId="6" type="noConversion"/>
  </si>
  <si>
    <t>Sein &amp; Motlinhoner</t>
    <phoneticPr fontId="6" type="noConversion"/>
  </si>
  <si>
    <t>V</t>
    <phoneticPr fontId="6" type="noConversion"/>
  </si>
  <si>
    <t>(m3/ tree/yr)</t>
    <phoneticPr fontId="6" type="noConversion"/>
  </si>
  <si>
    <t>MARDI(2001)</t>
    <phoneticPr fontId="6" type="noConversion"/>
  </si>
  <si>
    <t>(?)</t>
    <phoneticPr fontId="6" type="noConversion"/>
  </si>
  <si>
    <t>B</t>
    <phoneticPr fontId="6" type="noConversion"/>
  </si>
  <si>
    <r>
      <t>0.093D</t>
    </r>
    <r>
      <rPr>
        <vertAlign val="superscript"/>
        <sz val="10"/>
        <rFont val="Verdana"/>
        <family val="2"/>
      </rPr>
      <t>2.462</t>
    </r>
    <phoneticPr fontId="6" type="noConversion"/>
  </si>
  <si>
    <t>Siregar, C.A. (2011)</t>
    <phoneticPr fontId="6" type="noConversion"/>
  </si>
  <si>
    <t>pp. 32</t>
    <phoneticPr fontId="6" type="noConversion"/>
  </si>
  <si>
    <t>DBH</t>
    <phoneticPr fontId="6" type="noConversion"/>
  </si>
  <si>
    <t>(cm)</t>
  </si>
  <si>
    <t>Perez (2005)</t>
    <phoneticPr fontId="6" type="noConversion"/>
  </si>
  <si>
    <r>
      <t>60[1-e</t>
    </r>
    <r>
      <rPr>
        <vertAlign val="superscript"/>
        <sz val="10"/>
        <rFont val="Verdana"/>
        <family val="2"/>
      </rPr>
      <t>-0.07t</t>
    </r>
    <r>
      <rPr>
        <sz val="10"/>
        <rFont val="Verdana"/>
        <family val="2"/>
      </rPr>
      <t>]</t>
    </r>
    <r>
      <rPr>
        <vertAlign val="superscript"/>
        <sz val="10"/>
        <rFont val="Verdana"/>
        <family val="2"/>
      </rPr>
      <t>1.165</t>
    </r>
    <phoneticPr fontId="6" type="noConversion"/>
  </si>
  <si>
    <t>Perez (2005)</t>
    <phoneticPr fontId="6" type="noConversion"/>
  </si>
  <si>
    <t>IPCC (2006), Vol 4, Chapter 4, moist climate (&lt; 125 t/ha), Kraezenel et al. (2003) - mean 0.16 at 20 years</t>
    <phoneticPr fontId="6" type="noConversion"/>
  </si>
  <si>
    <t>Kurniawan and Yuniati (2012)</t>
    <phoneticPr fontId="6" type="noConversion"/>
  </si>
  <si>
    <t xml:space="preserve">Initial growth of the tree is rapid. At an age of 5 years, an average height of 13 m and 10 cm dbh is not unusual; after 10 years, 16.5 m and 15 cm; after 20 years, 21.5 m and 23.5 cm. After 15 or 20 years, growth slows down. In stands of 80-year-old trees, maximum height is about 45 m, with a maximum diameter of 75 cm. Thinning takes place 4 times, at 5-, 10-, 18- and 28-year intervals after planting. The rotation period is approximately 80 years. </t>
    <phoneticPr fontId="6" type="noConversion"/>
  </si>
  <si>
    <t xml:space="preserve">Owra et al. (2009) reported that Tectona grandis experiences a rapid initial growth and by 5 years reaches an average height of 13 m and 10 cm DBH.  After 10 years, its height is approximately 16.5 m with a DBH of 15 cm. After 20 years, height - 21.5 m and DBH - 23.5 cm. After 15 to 20 years, growth slows down. In stands of 80-year-old trees, maximum height is about 45 m, with a maximum diameter of 75 cm. </t>
  </si>
  <si>
    <r>
      <t>0.119931(D</t>
    </r>
    <r>
      <rPr>
        <vertAlign val="superscript"/>
        <sz val="10"/>
        <rFont val="Verdana"/>
        <family val="2"/>
      </rPr>
      <t>2.3610</t>
    </r>
    <r>
      <rPr>
        <sz val="10"/>
        <rFont val="Verdana"/>
        <family val="2"/>
      </rPr>
      <t>)</t>
    </r>
    <phoneticPr fontId="6" type="noConversion"/>
  </si>
  <si>
    <t>Bin Dinh Province</t>
    <phoneticPr fontId="6" type="noConversion"/>
  </si>
  <si>
    <t>Sein and Motlinhoner (2011) - Data</t>
    <phoneticPr fontId="6" type="noConversion"/>
  </si>
  <si>
    <t>Sein &amp; Motlin. (2011)</t>
    <phoneticPr fontId="6" type="noConversion"/>
  </si>
  <si>
    <r>
      <t>0.4803H</t>
    </r>
    <r>
      <rPr>
        <vertAlign val="superscript"/>
        <sz val="10"/>
        <rFont val="Verdana"/>
        <family val="2"/>
      </rPr>
      <t>1.7773</t>
    </r>
    <phoneticPr fontId="6" type="noConversion"/>
  </si>
  <si>
    <r>
      <t>0.119931(D</t>
    </r>
    <r>
      <rPr>
        <vertAlign val="superscript"/>
        <sz val="10"/>
        <rFont val="Verdana"/>
        <family val="2"/>
      </rPr>
      <t>2.3610</t>
    </r>
    <r>
      <rPr>
        <sz val="10"/>
        <rFont val="Verdana"/>
        <family val="2"/>
      </rPr>
      <t>)</t>
    </r>
    <phoneticPr fontId="6" type="noConversion"/>
  </si>
  <si>
    <t>Whitesell et al (1992)</t>
    <phoneticPr fontId="6" type="noConversion"/>
  </si>
  <si>
    <t>hawaii</t>
    <phoneticPr fontId="6" type="noConversion"/>
  </si>
  <si>
    <t xml:space="preserve">MARD (2009) vietnam </t>
    <phoneticPr fontId="6" type="noConversion"/>
  </si>
  <si>
    <r>
      <t>B</t>
    </r>
    <r>
      <rPr>
        <vertAlign val="subscript"/>
        <sz val="10"/>
        <rFont val="Verdana"/>
        <family val="2"/>
      </rPr>
      <t>stem</t>
    </r>
    <phoneticPr fontId="6" type="noConversion"/>
  </si>
  <si>
    <t>(dimensionless)</t>
    <phoneticPr fontId="6" type="noConversion"/>
  </si>
  <si>
    <r>
      <t>0.075360(D</t>
    </r>
    <r>
      <rPr>
        <vertAlign val="superscript"/>
        <sz val="10"/>
        <rFont val="Verdana"/>
        <family val="2"/>
      </rPr>
      <t>2.4950</t>
    </r>
    <r>
      <rPr>
        <sz val="10"/>
        <rFont val="Verdana"/>
        <family val="2"/>
      </rPr>
      <t>)</t>
    </r>
    <phoneticPr fontId="6" type="noConversion"/>
  </si>
  <si>
    <t>Rstem</t>
    <phoneticPr fontId="6" type="noConversion"/>
  </si>
  <si>
    <t>BEF</t>
    <phoneticPr fontId="6" type="noConversion"/>
  </si>
  <si>
    <t>Whitesell et al. (1992)</t>
    <phoneticPr fontId="6" type="noConversion"/>
  </si>
  <si>
    <t>Perez (2005)</t>
    <phoneticPr fontId="6" type="noConversion"/>
  </si>
  <si>
    <t>H (m)</t>
    <phoneticPr fontId="6" type="noConversion"/>
  </si>
  <si>
    <t>http://www.fao.org/docrep/004/AC121E/ac121e04.htm#bm04.7</t>
  </si>
  <si>
    <t>see below</t>
    <phoneticPr fontId="6" type="noConversion"/>
  </si>
  <si>
    <t>http://www.fs.fed.us/psw/publications/documents/psw_gtr137/psw_gtr137.pdf</t>
  </si>
  <si>
    <t>Whitesell, Craig D.; DeBell, Dean S.; Schubert, Thomas H.; Strand, Robert F.; Crabb, Thomas B. 1992. Short-rotation management of Eucalyptus: guidelines for plantations in Hawaii. Gen. Tech. Rep. PSW-GTR-137. Albany, CA: Pacific Southwest Research Station, Forest Service, U.S. Department of Agriculture; 30 p.</t>
  </si>
  <si>
    <t xml:space="preserve">B(stem) = </t>
    <phoneticPr fontId="6" type="noConversion"/>
  </si>
  <si>
    <t xml:space="preserve">B(total) = </t>
    <phoneticPr fontId="6" type="noConversion"/>
  </si>
  <si>
    <r>
      <t>0.075360(D</t>
    </r>
    <r>
      <rPr>
        <vertAlign val="superscript"/>
        <sz val="10"/>
        <rFont val="Verdana"/>
        <family val="2"/>
      </rPr>
      <t>2.4950</t>
    </r>
    <r>
      <rPr>
        <sz val="10"/>
        <rFont val="Verdana"/>
        <family val="2"/>
      </rPr>
      <t>)</t>
    </r>
    <phoneticPr fontId="6" type="noConversion"/>
  </si>
  <si>
    <t>Age (yrs)</t>
    <phoneticPr fontId="6" type="noConversion"/>
  </si>
  <si>
    <t>DBH (cm)</t>
    <phoneticPr fontId="6" type="noConversion"/>
  </si>
  <si>
    <t>DBH - linear</t>
    <phoneticPr fontId="6" type="noConversion"/>
  </si>
  <si>
    <t>Chave (2014), Krishnawati et al. (2011)</t>
    <phoneticPr fontId="6" type="noConversion"/>
  </si>
  <si>
    <t>Rotation age</t>
    <phoneticPr fontId="6" type="noConversion"/>
  </si>
  <si>
    <t>6-8</t>
    <phoneticPr fontId="6" type="noConversion"/>
  </si>
  <si>
    <t>years</t>
    <phoneticPr fontId="6" type="noConversion"/>
  </si>
  <si>
    <t>Exptal -  Castro Pásztor (1975)</t>
    <phoneticPr fontId="6" type="noConversion"/>
  </si>
  <si>
    <t>Castro Pásztor (1975)</t>
  </si>
  <si>
    <t>2.7. Eucalyptus urophylla</t>
  </si>
  <si>
    <t>Martawijaya, A. et al. 1992. Indonesian Wood Atlas Vol. I. FPRDC, AFRD, Dept. of Forestry, Bogor, Indonesia  p:83; Prosea 5(1) p:398</t>
  </si>
  <si>
    <t>Africa (tropical)</t>
  </si>
  <si>
    <t>http://db.worldagroforestry.org/wd/species/Tectona_Grandis</t>
  </si>
  <si>
    <t>Tree Species</t>
    <phoneticPr fontId="6" type="noConversion"/>
  </si>
  <si>
    <t>C. Equisetifolia</t>
    <phoneticPr fontId="6" type="noConversion"/>
  </si>
  <si>
    <t>Sulawesi Utara, Sulawesi Tengah, Irian Jaya (Indonesia)</t>
  </si>
  <si>
    <t>Anonim. 1981. Mengenal Sifat-sifat Kayu Indonesia dan Penggunaannya. Penerbit Kanisius. ISBN 979-413-106-7; Martawijaya, A. 1992. Martawijaya, et al. 1992. Indonesian Wood Atlas Vol. I. AFPRDC, AFRD, Dept. of Forestry, Bogor, Indonesia p:102</t>
  </si>
  <si>
    <t>Martawijaya,  A. et al. 1992. Indonesian Wood Atlas Vol. I. AFPRDC, AFRD, Dept. of Forestry, Bogor, Indonesia p:69</t>
  </si>
  <si>
    <t>Martawijaya, A. et al. 1992. Indonesian Wood Atlas Vol. I. AFPRDC, AFRD, Dept. of Forestry, Bogor, Indonesia p:102; Prosea 5(1) p:312</t>
  </si>
  <si>
    <t>Ginoga, B., Hadjib N. and Karna sudjirdja S. 1982. Sifat Fisis dan Mekanis Beberapa Jenis Kayu Indonesia Bagian 10. Laporan BPHH No. 162 p:7-21</t>
  </si>
  <si>
    <t>Sulawesi Tengah, Sulawesi Selatan, Kalimantan Selatan (Indonesia)</t>
  </si>
  <si>
    <t>Oey Djoen Seng (1951) in Soewarsono, PH (1990) Specific gravity of Indonesian Woods and Its Sinificance for Practical Use, FRPDC, Forestry Dept., Bogor, Indonesia p:196</t>
  </si>
  <si>
    <t>Central Kalimantan</t>
  </si>
  <si>
    <t>http://db.worldagroforestry.org/wd/species/Casuarina_Equisetifolia</t>
  </si>
  <si>
    <t>Mean</t>
    <phoneticPr fontId="6" type="noConversion"/>
  </si>
  <si>
    <t>http://db.worldagroforestry.org/wd/species/Swietenia_Macrophylla</t>
  </si>
  <si>
    <t xml:space="preserve">Mean </t>
    <phoneticPr fontId="6" type="noConversion"/>
  </si>
  <si>
    <t>g/cm3</t>
    <phoneticPr fontId="6" type="noConversion"/>
  </si>
  <si>
    <t>Nguyen Ngoc Chinh et al. 1996.  Vietnam Forest Trees.  Forest Inventory and Planning Institute, Agricultural Publishing House, Hanoi p:147</t>
  </si>
  <si>
    <t>Anonim. 1981. Mengenal Sifat-sifat Kayu Indonesia dan Penggunaannya. Penerbit Kanisius. ISBN 979-413-106-7; Martawijaya, A. 1992. Martawijaya, et al. 1992. Indonesian Wood Atlas Vol. I. AFPRDC, AFRD, Dept. of Forestry, Bogor, IndonesiaI p:29</t>
  </si>
  <si>
    <t>Martawijaya, A. et al. 1992. Indonesian Wood Atlas Vol. I. AFPRDC, AFRD, Dept. of Forestry, Bogor, Indonesia  p:83; Forestry Compendium, CAB International</t>
  </si>
  <si>
    <t>Australia/PNG (tropical)</t>
  </si>
  <si>
    <t>Martawijaya, A. et al. 1992. Indonesian Wood Atlas Vol. I. AFPRDC, AFRD, Dept. of Forestry, Bogor, Indonesia.p:78</t>
  </si>
  <si>
    <t>Australia</t>
  </si>
  <si>
    <t>Oey Djoen Seng (1951) in Soewarsono, PH (1990) Specific gravity of Indonesian Woods and Its Sinificance for Practical Use, FRPDC, Forestry Dept., Bogor, Indonesia p:197</t>
  </si>
  <si>
    <t>Maluku</t>
  </si>
  <si>
    <t>http://db.worldagroforestry.org/wd/species/Eucalyptus_Alba</t>
  </si>
  <si>
    <t>average</t>
    <phoneticPr fontId="6" type="noConversion"/>
  </si>
  <si>
    <t>Mean</t>
    <phoneticPr fontId="6" type="noConversion"/>
  </si>
  <si>
    <t>g/cm3</t>
    <phoneticPr fontId="6" type="noConversion"/>
  </si>
  <si>
    <t>Asril. 2009. Pendugaan cadangan karbon di atas permukaan tanah rawa gambut di Stasiun Penelitian Suaq Balimbing Kabupaten Aceh Selatan Propinsi Nanggroe Aceh Darussalam. Tesis Magister Sains. USU. Medan.</t>
  </si>
  <si>
    <t>wood density was examined in a trial of 11 provenances planted in 1982 in Malawi</t>
  </si>
  <si>
    <t>basic density</t>
  </si>
  <si>
    <t>http://db.worldagroforestry.org/wd/species/Eucalyptus_Urophylla</t>
  </si>
  <si>
    <t>Mean</t>
    <phoneticPr fontId="6" type="noConversion"/>
  </si>
  <si>
    <t>Aceh, Indonesia</t>
  </si>
  <si>
    <t>Martawijaya, A. et al. 1992. Indonesian Wood Atlas Vol. I. AFPRDC, AFRD, Dept. of Forestry, Bogor, Indonesia  p:83</t>
  </si>
  <si>
    <t>India</t>
  </si>
  <si>
    <t>Martawijaya, A. et al. 1992. Indonesian Wood Atlas Vol. I. AFPRDC, AFRD, Dept. of Forestry, Bogor, Indonesia p: 116; Agroforestry tree Database, ICRAF; Prosea 5(1) p:89</t>
  </si>
  <si>
    <t>China</t>
  </si>
  <si>
    <t>Martawijaya, A. et al. 1992. Indonesia Wood Atlas Vol. I , FPRDC, AFRD, Forestry Dept., Bogor, Indonesia p:28</t>
  </si>
  <si>
    <t>South America (tropical)</t>
  </si>
  <si>
    <t>Martawijaya, A. et al. 1992. Indonesian Wood Atlas Vol. I. AFPRDC, AFRD, Dept. of Forestry, Bogor, Indonesia p: 116; Prosea 5(1) p:88</t>
  </si>
  <si>
    <t>Martawijaya, A. et al. 1992. Indonesian Wood Atlas Vol. I. AFPRDC, AFRD, Dept. of Forestry, Bogor, Indonesia p:102</t>
  </si>
  <si>
    <t>Martawijaya, A. et al. 1992. Indonesian Wood Atlas Vol. I. AFPRDC, AFRD, Dept. of Forestry, Bogor, Indonesia p:105</t>
  </si>
  <si>
    <t>Martawijaya, A. et al. 1992. Indonesian Wood Atlas Vol. I. AFPRDC, AFRD, Dept. of Forestry, Bogor, Indonesia p:64; Prosea 5(1) p:491</t>
  </si>
  <si>
    <t>Martawijaya, A. et al. 1992. Indonesian Wood Atlas Vol. II. AFPRDC, AFRD, Dept. of Forestry, Bogor, IndonesiaI p:109; Sifat Kimia Kayu, Sudrajat, Puslithut</t>
  </si>
  <si>
    <t>Central America (tropical)</t>
  </si>
  <si>
    <t>Martawijaya, A. et al. 1992. Indonesian Wood Atlas Vol. II. AFPRDC, AFRD, Dept. of Forestry, Bogor, IndonesiaI p:128; Prosea 5(2) p:499</t>
  </si>
  <si>
    <t>South America (extratropical)</t>
  </si>
  <si>
    <t>Martawijaya, A. et al. 1992. Indonesian Wood Atlas Vol. II. AFPRDC, AFRD, Dept. of Forestry, Bogor, IndonesiaI p:139</t>
  </si>
  <si>
    <t>Martawijaya, A. et al. 1992. Indonesian Wood Atlas Vol. II. AFPRDC, AFRD, Dept. of Forestry, Bogor, IndonesiaI p:146</t>
  </si>
  <si>
    <t>Martawijaya, A. et al. 1992. Indonesian Wood Atlas Vol. II. AFPRDC, AFRD, Dept. of Forestry, Bogor, IndonesiaI p:51; Prosea 5(1) p:143</t>
  </si>
  <si>
    <t>South-East Asia (tropical)</t>
  </si>
  <si>
    <t>Nguyen Ngoc Chinh et al. 1996.  Vietnam Forest Trees.  Forest Inventory and Planning Institute, Agricultural Publishing House, Hanoi p:110</t>
  </si>
  <si>
    <t>Oey Djoen Seng (1951) in Soewarsono, PH (1990) Specific gravity of Indonesian Woods and Its Sinificance for Practical Use, FRPDC, Forestry Dept., Bogor, Indonesia p:187</t>
  </si>
  <si>
    <t>Americas</t>
  </si>
  <si>
    <t>Oey Djoen Seng (1951) in Soewarsono, PH (1990) Specific gravity of Indonesian Woods and Its Sinificance for Practical Use, FRPDC, Forestry Dept., Bogor, Indonesia p:191</t>
  </si>
  <si>
    <t>Asia</t>
  </si>
  <si>
    <t>(yr)</t>
    <phoneticPr fontId="6" type="noConversion"/>
  </si>
  <si>
    <t>low</t>
  </si>
  <si>
    <t>medium</t>
  </si>
  <si>
    <t>high</t>
  </si>
  <si>
    <t>wd</t>
  </si>
  <si>
    <t>moisture_content</t>
  </si>
  <si>
    <t>references</t>
  </si>
  <si>
    <t>notes</t>
  </si>
  <si>
    <t>Martawijaya, A. et al. 1992. Indonesian Wood Atlas Vol. I. AFPRDC, AFRD, Dept. of Forestry, Bogor, Indonesia p:120</t>
  </si>
  <si>
    <t>Anonim. 1981. Mengenal Sifat-sifat Kayu Indonesia dan Penggunaannya. Penerbit Kanisius. ISBN 979-413-106-7</t>
  </si>
  <si>
    <t>Anonim.  1981.  Mengenal Sifat-sifat Kayu Indonesia dan Penggunaannya.  Penerbit Kanisius. ISBN 979-413-106-7; Prosea 5(1) p:431 basic density (average: Carajas, Brazil)</t>
  </si>
  <si>
    <t>Fearnside, P.M. 1997. Wood density for estimating forest biomass in Brazilian.  Forest Ecology and Management 90 p:62</t>
  </si>
  <si>
    <t xml:space="preserve">  Growth Rate</t>
    <phoneticPr fontId="6" type="noConversion"/>
  </si>
  <si>
    <t>Time period to reach stand equiliabrium</t>
    <phoneticPr fontId="6" type="noConversion"/>
  </si>
  <si>
    <t>years</t>
    <phoneticPr fontId="6" type="noConversion"/>
  </si>
  <si>
    <t>MAID (up to 3 yrs)</t>
    <phoneticPr fontId="6" type="noConversion"/>
  </si>
  <si>
    <t>MAID (after to 3 yrs)</t>
    <phoneticPr fontId="6" type="noConversion"/>
  </si>
  <si>
    <t>MAIH (up to 3 yrs)</t>
    <phoneticPr fontId="6" type="noConversion"/>
  </si>
  <si>
    <t>MAIH (after to 3 yrs)</t>
    <phoneticPr fontId="6" type="noConversion"/>
  </si>
  <si>
    <t>Turnball and Doran (1997)</t>
    <phoneticPr fontId="6" type="noConversion"/>
  </si>
  <si>
    <t>Derived from Sein and Motlinhoner (2001)</t>
    <phoneticPr fontId="6" type="noConversion"/>
  </si>
  <si>
    <t>Sein and Motlinhoner (2011), Turnball and Doran (1997)</t>
    <phoneticPr fontId="6" type="noConversion"/>
  </si>
  <si>
    <t>Height</t>
    <phoneticPr fontId="6" type="noConversion"/>
  </si>
  <si>
    <t>(m)</t>
    <phoneticPr fontId="6" type="noConversion"/>
  </si>
  <si>
    <r>
      <t>0.4803H</t>
    </r>
    <r>
      <rPr>
        <vertAlign val="superscript"/>
        <sz val="10"/>
        <color indexed="10"/>
        <rFont val="Verdana"/>
        <family val="2"/>
      </rPr>
      <t>1.7773</t>
    </r>
    <phoneticPr fontId="6" type="noConversion"/>
  </si>
  <si>
    <t>(t dm/tree)</t>
    <phoneticPr fontId="6" type="noConversion"/>
  </si>
  <si>
    <t>cumulative</t>
    <phoneticPr fontId="6" type="noConversion"/>
  </si>
  <si>
    <t>Derived</t>
    <phoneticPr fontId="6" type="noConversion"/>
  </si>
  <si>
    <t>MAID (cm/yr)</t>
    <phoneticPr fontId="6" type="noConversion"/>
  </si>
  <si>
    <t>Growth (0-2yrs)</t>
    <phoneticPr fontId="6" type="noConversion"/>
  </si>
  <si>
    <t>DBH - linear</t>
    <phoneticPr fontId="6" type="noConversion"/>
  </si>
  <si>
    <t>CF</t>
    <phoneticPr fontId="6" type="noConversion"/>
  </si>
  <si>
    <t>EUCALYPTUS ALBA REINW E E. DECAISNEANA BLUNE, NA</t>
  </si>
  <si>
    <t>REGIÃO DE SÃO PAULO (*)</t>
  </si>
  <si>
    <t>Yone Penteado de Castro Pásztor(**)</t>
    <phoneticPr fontId="6" type="noConversion"/>
  </si>
  <si>
    <t>(cm/yr)</t>
    <phoneticPr fontId="6" type="noConversion"/>
  </si>
  <si>
    <t>(m/yr)</t>
    <phoneticPr fontId="6" type="noConversion"/>
  </si>
  <si>
    <t>(name)</t>
    <phoneticPr fontId="6" type="noConversion"/>
  </si>
  <si>
    <t>S. Macrophylla</t>
    <phoneticPr fontId="6" type="noConversion"/>
  </si>
  <si>
    <t>E. Alba</t>
    <phoneticPr fontId="6" type="noConversion"/>
  </si>
  <si>
    <t>E. Urophylla</t>
    <phoneticPr fontId="6" type="noConversion"/>
  </si>
  <si>
    <t>T. Grandis</t>
    <phoneticPr fontId="6" type="noConversion"/>
  </si>
  <si>
    <t>C. Equisetifolia</t>
  </si>
  <si>
    <t>MU02</t>
  </si>
  <si>
    <t>MU03</t>
  </si>
  <si>
    <t>MARD 2009 Biomass and carbon sink ability</t>
  </si>
  <si>
    <t xml:space="preserve">of some types of plantations in Vietnam. Agricultural Publishing House, Ministry of Agriculture and Rural Development, Forest Science Institute of Vietnam. Hanoi, Vietnam. </t>
  </si>
  <si>
    <t>Height</t>
    <phoneticPr fontId="6" type="noConversion"/>
  </si>
  <si>
    <t>(m)</t>
    <phoneticPr fontId="6" type="noConversion"/>
  </si>
  <si>
    <r>
      <t>m.yr</t>
    </r>
    <r>
      <rPr>
        <vertAlign val="superscript"/>
        <sz val="10"/>
        <rFont val="Verdana"/>
        <family val="2"/>
      </rPr>
      <t>-1</t>
    </r>
    <phoneticPr fontId="6" type="noConversion"/>
  </si>
  <si>
    <t>Growth Rates</t>
    <phoneticPr fontId="6" type="noConversion"/>
  </si>
  <si>
    <t>DBH</t>
  </si>
  <si>
    <t>Age (yr)</t>
    <phoneticPr fontId="6" type="noConversion"/>
  </si>
  <si>
    <t>Owra et al (2009)</t>
    <phoneticPr fontId="6" type="noConversion"/>
  </si>
  <si>
    <t>Schneider et al (2009)</t>
    <phoneticPr fontId="6" type="noConversion"/>
  </si>
  <si>
    <t>MAID</t>
    <phoneticPr fontId="6" type="noConversion"/>
  </si>
  <si>
    <t>MAIH</t>
    <phoneticPr fontId="6" type="noConversion"/>
  </si>
  <si>
    <t>cm/yr</t>
    <phoneticPr fontId="6" type="noConversion"/>
  </si>
  <si>
    <t>m/yr</t>
    <phoneticPr fontId="6" type="noConversion"/>
  </si>
  <si>
    <t>DBH (cm)</t>
    <phoneticPr fontId="6" type="noConversion"/>
  </si>
  <si>
    <t>H (m)</t>
    <phoneticPr fontId="6" type="noConversion"/>
  </si>
  <si>
    <t>RATE</t>
    <phoneticPr fontId="6" type="noConversion"/>
  </si>
  <si>
    <t>MAID (cm/yr)</t>
    <phoneticPr fontId="6" type="noConversion"/>
  </si>
  <si>
    <t>MAIH (m/yr)</t>
    <phoneticPr fontId="6" type="noConversion"/>
  </si>
  <si>
    <t>Fitted Owra's rates</t>
    <phoneticPr fontId="6" type="noConversion"/>
  </si>
  <si>
    <t>Year</t>
    <phoneticPr fontId="6" type="noConversion"/>
  </si>
  <si>
    <t>Age (yr)</t>
    <phoneticPr fontId="6" type="noConversion"/>
  </si>
  <si>
    <t>DBH (cm)</t>
    <phoneticPr fontId="6" type="noConversion"/>
  </si>
  <si>
    <t>http://www.ipef.br/publicacoes/scientia/nr11/cap01.pdf</t>
  </si>
  <si>
    <t>IPEF n.11, p.1-16, 1975</t>
  </si>
  <si>
    <t>ESTUDO COMPARATIVO DO COMPORTAMENTO DAS ESPÉCIES</t>
  </si>
  <si>
    <t>Vietnam</t>
  </si>
  <si>
    <t>1-4.6</t>
    <phoneticPr fontId="6" type="noConversion"/>
  </si>
  <si>
    <t>1.3-5</t>
    <phoneticPr fontId="6" type="noConversion"/>
  </si>
  <si>
    <t>average</t>
    <phoneticPr fontId="6" type="noConversion"/>
  </si>
  <si>
    <t>Anonymous. 1987. Pertumbuhan Jenis Eucalyptus spp dan Shorea spp. Proyek Perencanaan dan Pengendalian Timber Estate Pusat. Bogor.</t>
  </si>
  <si>
    <t>Java, Indonesia</t>
    <phoneticPr fontId="6" type="noConversion"/>
  </si>
  <si>
    <t>East Java, Indonesia</t>
    <phoneticPr fontId="6" type="noConversion"/>
  </si>
  <si>
    <t>Binh Dinh, Vietnam</t>
    <phoneticPr fontId="6" type="noConversion"/>
  </si>
  <si>
    <t>Phu Tho, Vietnam</t>
    <phoneticPr fontId="6" type="noConversion"/>
  </si>
  <si>
    <t>The basic density is in the range of 540—570 kg/m3</t>
  </si>
  <si>
    <t>Turnball and Doran (1997)</t>
    <phoneticPr fontId="6" type="noConversion"/>
  </si>
  <si>
    <t>(yrs)</t>
    <phoneticPr fontId="6" type="noConversion"/>
  </si>
  <si>
    <t>up to 8 yrs</t>
    <phoneticPr fontId="6" type="noConversion"/>
  </si>
  <si>
    <t>up to 15 yrs</t>
    <phoneticPr fontId="6" type="noConversion"/>
  </si>
  <si>
    <t>up to 5 yrs</t>
    <phoneticPr fontId="6" type="noConversion"/>
  </si>
  <si>
    <t>up to 1 yrs</t>
    <phoneticPr fontId="6" type="noConversion"/>
  </si>
  <si>
    <t>1-6 yrs</t>
    <phoneticPr fontId="6" type="noConversion"/>
  </si>
  <si>
    <t>up to 4 yrs</t>
    <phoneticPr fontId="6" type="noConversion"/>
  </si>
  <si>
    <t>AVERAGE</t>
    <phoneticPr fontId="6" type="noConversion"/>
  </si>
  <si>
    <t>Growth, MAID</t>
    <phoneticPr fontId="6" type="noConversion"/>
  </si>
  <si>
    <t>Growth, MAIH</t>
    <phoneticPr fontId="6" type="noConversion"/>
  </si>
  <si>
    <t xml:space="preserve">540–570 g/m3 (RISE 2009). </t>
  </si>
  <si>
    <t xml:space="preserve">and Development Bureau, Department of Environment and Natural Resources, College 4031, Laguna, Philippines. </t>
  </si>
  <si>
    <t xml:space="preserve">ndia 60-80 4-8* </t>
    <phoneticPr fontId="6" type="noConversion"/>
  </si>
  <si>
    <t xml:space="preserve">Guanacaste, Costa Rica 21 15-20 </t>
    <phoneticPr fontId="6" type="noConversion"/>
  </si>
  <si>
    <t xml:space="preserve">Costa Rica 4-8 5-27 </t>
    <phoneticPr fontId="6" type="noConversion"/>
  </si>
  <si>
    <t xml:space="preserve">Java 80 2-15 </t>
  </si>
  <si>
    <t>15-20</t>
    <phoneticPr fontId="6" type="noConversion"/>
  </si>
  <si>
    <t>MAI</t>
    <phoneticPr fontId="6" type="noConversion"/>
  </si>
  <si>
    <t>2-15</t>
    <phoneticPr fontId="6" type="noConversion"/>
  </si>
  <si>
    <t>5-27</t>
    <phoneticPr fontId="6" type="noConversion"/>
  </si>
  <si>
    <t>4-8</t>
    <phoneticPr fontId="6" type="noConversion"/>
  </si>
  <si>
    <t>Age</t>
    <phoneticPr fontId="6" type="noConversion"/>
  </si>
  <si>
    <t>60-80</t>
    <phoneticPr fontId="6" type="noConversion"/>
  </si>
  <si>
    <t>E. urophylla</t>
  </si>
  <si>
    <t>min</t>
    <phoneticPr fontId="6" type="noConversion"/>
  </si>
  <si>
    <t>mean</t>
    <phoneticPr fontId="6" type="noConversion"/>
  </si>
  <si>
    <t>max</t>
    <phoneticPr fontId="6" type="noConversion"/>
  </si>
  <si>
    <t>Tectona grandis</t>
  </si>
  <si>
    <t>IPCC(2003), Table 3A.1.7</t>
    <phoneticPr fontId="6" type="noConversion"/>
  </si>
  <si>
    <t>min</t>
    <phoneticPr fontId="6" type="noConversion"/>
  </si>
  <si>
    <t>Casuarina equisetifolia</t>
  </si>
  <si>
    <t>C. junghuhniana</t>
  </si>
  <si>
    <t>Location</t>
    <phoneticPr fontId="6" type="noConversion"/>
  </si>
  <si>
    <t>Reference</t>
    <phoneticPr fontId="6" type="noConversion"/>
  </si>
  <si>
    <t>PROSEA (Plant Resources of South-East Asia) Foundation, Bogor, Indonesia. http://www.proseanet.org.</t>
  </si>
  <si>
    <t>2-3.0</t>
    <phoneticPr fontId="6" type="noConversion"/>
  </si>
  <si>
    <t>1.7-3.5</t>
    <phoneticPr fontId="6" type="noConversion"/>
  </si>
  <si>
    <t>Peninsular Malaysia</t>
    <phoneticPr fontId="6" type="noConversion"/>
  </si>
  <si>
    <r>
      <t>B</t>
    </r>
    <r>
      <rPr>
        <vertAlign val="subscript"/>
        <sz val="10"/>
        <rFont val="Verdana"/>
        <family val="2"/>
      </rPr>
      <t>AGBleaf</t>
    </r>
    <phoneticPr fontId="6" type="noConversion"/>
  </si>
  <si>
    <r>
      <t>B</t>
    </r>
    <r>
      <rPr>
        <vertAlign val="subscript"/>
        <sz val="10"/>
        <rFont val="Verdana"/>
        <family val="2"/>
      </rPr>
      <t>AGBbranch</t>
    </r>
    <phoneticPr fontId="6" type="noConversion"/>
  </si>
  <si>
    <r>
      <t>B</t>
    </r>
    <r>
      <rPr>
        <vertAlign val="subscript"/>
        <sz val="10"/>
        <rFont val="Verdana"/>
        <family val="2"/>
      </rPr>
      <t>AGBtwig</t>
    </r>
    <phoneticPr fontId="6" type="noConversion"/>
  </si>
  <si>
    <r>
      <t>7.725e</t>
    </r>
    <r>
      <rPr>
        <vertAlign val="superscript"/>
        <sz val="10"/>
        <rFont val="Verdana"/>
        <family val="2"/>
      </rPr>
      <t>0.119D</t>
    </r>
    <phoneticPr fontId="6" type="noConversion"/>
  </si>
  <si>
    <r>
      <t>0.010D</t>
    </r>
    <r>
      <rPr>
        <vertAlign val="superscript"/>
        <sz val="10"/>
        <rFont val="Verdana"/>
        <family val="2"/>
      </rPr>
      <t>1.764</t>
    </r>
    <phoneticPr fontId="6" type="noConversion"/>
  </si>
  <si>
    <r>
      <t>0.015D</t>
    </r>
    <r>
      <rPr>
        <vertAlign val="superscript"/>
        <sz val="10"/>
        <rFont val="Verdana"/>
        <family val="2"/>
      </rPr>
      <t>2.351</t>
    </r>
    <phoneticPr fontId="6" type="noConversion"/>
  </si>
  <si>
    <r>
      <t>0.005D</t>
    </r>
    <r>
      <rPr>
        <vertAlign val="superscript"/>
        <sz val="10"/>
        <rFont val="Verdana"/>
        <family val="2"/>
      </rPr>
      <t>2.683</t>
    </r>
    <phoneticPr fontId="6" type="noConversion"/>
  </si>
  <si>
    <t>Kurniawan and Yuniati (2012)</t>
    <phoneticPr fontId="6" type="noConversion"/>
  </si>
  <si>
    <t>Eucalyptus Urophylla</t>
    <phoneticPr fontId="6" type="noConversion"/>
  </si>
  <si>
    <r>
      <t>V=0.000305D</t>
    </r>
    <r>
      <rPr>
        <vertAlign val="superscript"/>
        <sz val="10"/>
        <rFont val="Verdana"/>
        <family val="2"/>
      </rPr>
      <t>2.162</t>
    </r>
    <phoneticPr fontId="6" type="noConversion"/>
  </si>
  <si>
    <t>Wahjono dan Soemarna (1987)</t>
    <phoneticPr fontId="6" type="noConversion"/>
  </si>
  <si>
    <t>BEF=1.36</t>
    <phoneticPr fontId="6" type="noConversion"/>
  </si>
  <si>
    <t>Teak</t>
    <phoneticPr fontId="6" type="noConversion"/>
  </si>
  <si>
    <t>BEF = 1.46</t>
    <phoneticPr fontId="6" type="noConversion"/>
  </si>
  <si>
    <t>Hendri(2001), diolah kembali</t>
    <phoneticPr fontId="6" type="noConversion"/>
  </si>
  <si>
    <r>
      <t xml:space="preserve">Intensive breeding and silviculture has been reported as raising MAI from 33-70 m3 ha-1 yr-1 for </t>
    </r>
    <r>
      <rPr>
        <i/>
        <sz val="12"/>
        <rFont val="TimesNewRomanPS"/>
        <family val="1"/>
      </rPr>
      <t xml:space="preserve">E. grandis </t>
    </r>
    <r>
      <rPr>
        <sz val="12"/>
        <rFont val="TimesNewRomanPSMT"/>
        <family val="1"/>
      </rPr>
      <t xml:space="preserve">and </t>
    </r>
    <r>
      <rPr>
        <i/>
        <sz val="12"/>
        <rFont val="TimesNewRomanPS"/>
        <family val="1"/>
      </rPr>
      <t xml:space="preserve">E. urophylla. </t>
    </r>
  </si>
  <si>
    <t xml:space="preserve">5-10 m3 ha-1 yr-1), and highly variable (3 to 30 m3 ha-1 yr-1) (Bai and Gan 1996). </t>
  </si>
  <si>
    <t>MAI 30 m3/ha/yr in Brazil and China (FAO 2001)</t>
    <phoneticPr fontId="6" type="noConversion"/>
  </si>
  <si>
    <t>40 -83 m3/ha/yr in Africa (FAO 2001)</t>
    <phoneticPr fontId="6" type="noConversion"/>
  </si>
  <si>
    <t>Tectona Grandis</t>
    <phoneticPr fontId="6" type="noConversion"/>
  </si>
  <si>
    <t>Evans (1992)</t>
  </si>
  <si>
    <t xml:space="preserve">Vázquez and Ugalde (1994) </t>
    <phoneticPr fontId="6" type="noConversion"/>
  </si>
  <si>
    <t xml:space="preserve">Lamprecht (1990) </t>
    <phoneticPr fontId="6" type="noConversion"/>
  </si>
  <si>
    <t xml:space="preserve">Wadsworth (1997) </t>
  </si>
  <si>
    <r>
      <t>B</t>
    </r>
    <r>
      <rPr>
        <vertAlign val="subscript"/>
        <sz val="10"/>
        <rFont val="Verdana"/>
        <family val="2"/>
      </rPr>
      <t>AGB_tree</t>
    </r>
    <phoneticPr fontId="6" type="noConversion"/>
  </si>
  <si>
    <t>Cumulative</t>
    <phoneticPr fontId="6" type="noConversion"/>
  </si>
  <si>
    <t>For planting in 2013</t>
    <phoneticPr fontId="6" type="noConversion"/>
  </si>
  <si>
    <t>Species</t>
    <phoneticPr fontId="6" type="noConversion"/>
  </si>
  <si>
    <t>Swietenia Macrophylla</t>
    <phoneticPr fontId="6" type="noConversion"/>
  </si>
  <si>
    <r>
      <t>(m</t>
    </r>
    <r>
      <rPr>
        <vertAlign val="superscript"/>
        <sz val="10"/>
        <rFont val="Verdana"/>
        <family val="2"/>
      </rPr>
      <t>3</t>
    </r>
    <r>
      <rPr>
        <sz val="10"/>
        <rFont val="Verdana"/>
        <family val="2"/>
      </rPr>
      <t>.tree</t>
    </r>
    <r>
      <rPr>
        <vertAlign val="superscript"/>
        <sz val="10"/>
        <rFont val="Verdana"/>
        <family val="2"/>
      </rPr>
      <t>-1</t>
    </r>
    <r>
      <rPr>
        <sz val="10"/>
        <rFont val="Verdana"/>
        <family val="2"/>
      </rPr>
      <t>)</t>
    </r>
    <phoneticPr fontId="6" type="noConversion"/>
  </si>
  <si>
    <r>
      <t>B</t>
    </r>
    <r>
      <rPr>
        <vertAlign val="subscript"/>
        <sz val="10"/>
        <rFont val="Verdana"/>
        <family val="2"/>
      </rPr>
      <t>AGB</t>
    </r>
    <phoneticPr fontId="6" type="noConversion"/>
  </si>
  <si>
    <r>
      <t>B</t>
    </r>
    <r>
      <rPr>
        <vertAlign val="subscript"/>
        <sz val="10"/>
        <rFont val="Verdana"/>
        <family val="2"/>
      </rPr>
      <t>AGB_tree</t>
    </r>
    <phoneticPr fontId="6" type="noConversion"/>
  </si>
  <si>
    <t>Check with literature MAI</t>
    <phoneticPr fontId="6" type="noConversion"/>
  </si>
  <si>
    <t>Check with literature Biomass Equations</t>
    <phoneticPr fontId="6" type="noConversion"/>
  </si>
  <si>
    <t>Banaticla et al. (2005)</t>
    <phoneticPr fontId="6" type="noConversion"/>
  </si>
  <si>
    <t>Eucalyptus Alba</t>
    <phoneticPr fontId="6" type="noConversion"/>
  </si>
  <si>
    <r>
      <t>B</t>
    </r>
    <r>
      <rPr>
        <vertAlign val="subscript"/>
        <sz val="10"/>
        <rFont val="Verdana"/>
        <family val="2"/>
      </rPr>
      <t>AGBstem</t>
    </r>
    <phoneticPr fontId="6" type="noConversion"/>
  </si>
  <si>
    <r>
      <t>(t d.m.tree</t>
    </r>
    <r>
      <rPr>
        <vertAlign val="superscript"/>
        <sz val="10"/>
        <rFont val="Verdana"/>
        <family val="2"/>
      </rPr>
      <t>-1.</t>
    </r>
    <r>
      <rPr>
        <sz val="10"/>
        <rFont val="Verdana"/>
        <family val="2"/>
      </rPr>
      <t>yr</t>
    </r>
    <r>
      <rPr>
        <vertAlign val="superscript"/>
        <sz val="10"/>
        <rFont val="Verdana"/>
        <family val="2"/>
      </rPr>
      <t>-1</t>
    </r>
    <r>
      <rPr>
        <sz val="10"/>
        <rFont val="Verdana"/>
        <family val="2"/>
      </rPr>
      <t>)</t>
    </r>
    <phoneticPr fontId="6" type="noConversion"/>
  </si>
  <si>
    <t>Gold Standard</t>
    <phoneticPr fontId="6" type="noConversion"/>
  </si>
  <si>
    <t>dimensionless</t>
    <phoneticPr fontId="6" type="noConversion"/>
  </si>
  <si>
    <t>R (check)</t>
    <phoneticPr fontId="6" type="noConversion"/>
  </si>
  <si>
    <t>Annual</t>
    <phoneticPr fontId="6" type="noConversion"/>
  </si>
  <si>
    <r>
      <t>(t d.m.tree</t>
    </r>
    <r>
      <rPr>
        <vertAlign val="superscript"/>
        <sz val="10"/>
        <rFont val="Verdana"/>
        <family val="2"/>
      </rPr>
      <t>-1.</t>
    </r>
    <r>
      <rPr>
        <sz val="10"/>
        <rFont val="Verdana"/>
        <family val="2"/>
      </rPr>
      <t>yr</t>
    </r>
    <r>
      <rPr>
        <vertAlign val="superscript"/>
        <sz val="10"/>
        <rFont val="Verdana"/>
        <family val="2"/>
      </rPr>
      <t>-1</t>
    </r>
    <r>
      <rPr>
        <sz val="10"/>
        <rFont val="Verdana"/>
        <family val="2"/>
      </rPr>
      <t>)</t>
    </r>
    <phoneticPr fontId="6" type="noConversion"/>
  </si>
  <si>
    <t>V(m3/stem/yr)</t>
    <phoneticPr fontId="6" type="noConversion"/>
  </si>
  <si>
    <t>Stocking Rate</t>
    <phoneticPr fontId="6" type="noConversion"/>
  </si>
  <si>
    <t>(Stem/ha)</t>
    <phoneticPr fontId="6" type="noConversion"/>
  </si>
  <si>
    <t>Volume</t>
    <phoneticPr fontId="6" type="noConversion"/>
  </si>
  <si>
    <t>(m3/ha/yr)</t>
    <phoneticPr fontId="6" type="noConversion"/>
  </si>
  <si>
    <t>out by a factor of 10</t>
    <phoneticPr fontId="6" type="noConversion"/>
  </si>
  <si>
    <r>
      <t>Y = 21.297 – 6.953 • (DBH) + 0.740 • (DBH)</t>
    </r>
    <r>
      <rPr>
        <vertAlign val="superscript"/>
        <sz val="9"/>
        <rFont val="Verdana"/>
        <family val="2"/>
      </rPr>
      <t>2</t>
    </r>
  </si>
  <si>
    <t>moist</t>
    <phoneticPr fontId="6" type="noConversion"/>
  </si>
  <si>
    <t>wet</t>
    <phoneticPr fontId="6" type="noConversion"/>
  </si>
  <si>
    <t>Tropical Hardwoods (kg d.m/tree)</t>
    <phoneticPr fontId="6" type="noConversion"/>
  </si>
  <si>
    <r>
      <t>a</t>
    </r>
    <r>
      <rPr>
        <sz val="9"/>
        <rFont val="Verdana"/>
        <family val="2"/>
      </rPr>
      <t xml:space="preserve"> Tropical moist generally represent areas with rainfall of between 2000 to 4000 mm/year in the lowlands; tropical wet is suited for areas with rainfall greater than 4000 mm/year in the lowlands (see Brown, 1997 for further discussion).</t>
    </r>
  </si>
  <si>
    <t>Stem Volume/Biomass Equations</t>
    <phoneticPr fontId="6" type="noConversion"/>
  </si>
  <si>
    <t>Growth Models</t>
    <phoneticPr fontId="6" type="noConversion"/>
  </si>
  <si>
    <r>
      <t xml:space="preserve">log </t>
    </r>
    <r>
      <rPr>
        <i/>
        <sz val="10"/>
        <rFont val="MinionPro"/>
        <family val="2"/>
      </rPr>
      <t xml:space="preserve">Vc </t>
    </r>
    <r>
      <rPr>
        <sz val="10"/>
        <rFont val="MinionPro"/>
        <family val="2"/>
      </rPr>
      <t>= –0.5157 + 2.1623 logD</t>
    </r>
  </si>
  <si>
    <r>
      <t xml:space="preserve">log </t>
    </r>
    <r>
      <rPr>
        <i/>
        <sz val="10"/>
        <rFont val="MinionPro"/>
        <family val="2"/>
      </rPr>
      <t xml:space="preserve">Vc </t>
    </r>
    <r>
      <rPr>
        <sz val="10"/>
        <rFont val="MinionPro"/>
        <family val="2"/>
      </rPr>
      <t xml:space="preserve">= –1.007 + 2.0086 logD + 0.6156 logH </t>
    </r>
  </si>
  <si>
    <t>logV7 = – 0.7618 + 2.3704 logD</t>
  </si>
  <si>
    <t xml:space="preserve">logV7 = – 0.8956 + 2.3280 logD + 0.1699H </t>
  </si>
  <si>
    <t>Clearbole</t>
    <phoneticPr fontId="6" type="noConversion"/>
  </si>
  <si>
    <t>thickwood vol</t>
    <phoneticPr fontId="6" type="noConversion"/>
  </si>
  <si>
    <t>(up to 7cm DBH)</t>
    <phoneticPr fontId="6" type="noConversion"/>
  </si>
  <si>
    <t>Wahjono and Sumarna (1987)</t>
  </si>
  <si>
    <t>Indonesia</t>
    <phoneticPr fontId="6" type="noConversion"/>
  </si>
  <si>
    <t>Krisnawati et al. (2011)</t>
  </si>
  <si>
    <t>Indonesia over 15 years</t>
    <phoneticPr fontId="6" type="noConversion"/>
  </si>
  <si>
    <t>7.7-19.7</t>
    <phoneticPr fontId="6" type="noConversion"/>
  </si>
  <si>
    <t>Indonesia 15-30 years</t>
    <phoneticPr fontId="6" type="noConversion"/>
  </si>
  <si>
    <t xml:space="preserve">(Adinugroho and Sidiyasa 2006) </t>
  </si>
  <si>
    <t xml:space="preserve">Model R2 </t>
  </si>
  <si>
    <r>
      <t xml:space="preserve">Bstem </t>
    </r>
    <r>
      <rPr>
        <b/>
        <sz val="9"/>
        <rFont val="MyriadPro"/>
        <family val="2"/>
      </rPr>
      <t xml:space="preserve">= 0.044 </t>
    </r>
    <r>
      <rPr>
        <b/>
        <i/>
        <sz val="9"/>
        <rFont val="MyriadPro"/>
        <family val="2"/>
      </rPr>
      <t>D</t>
    </r>
    <r>
      <rPr>
        <b/>
        <i/>
        <vertAlign val="superscript"/>
        <sz val="9"/>
        <rFont val="MyriadPro"/>
        <family val="2"/>
      </rPr>
      <t>2.61</t>
    </r>
    <r>
      <rPr>
        <b/>
        <i/>
        <sz val="9"/>
        <rFont val="MyriadPro"/>
        <family val="2"/>
      </rPr>
      <t xml:space="preserve"> R</t>
    </r>
    <r>
      <rPr>
        <b/>
        <i/>
        <vertAlign val="superscript"/>
        <sz val="9"/>
        <rFont val="MyriadPro"/>
        <family val="2"/>
      </rPr>
      <t>2</t>
    </r>
    <r>
      <rPr>
        <b/>
        <i/>
        <sz val="9"/>
        <rFont val="MyriadPro"/>
        <family val="2"/>
      </rPr>
      <t xml:space="preserve">= </t>
    </r>
    <r>
      <rPr>
        <b/>
        <sz val="9"/>
        <rFont val="MyriadPro"/>
        <family val="2"/>
      </rPr>
      <t>94.7</t>
    </r>
    <r>
      <rPr>
        <sz val="9"/>
        <rFont val="MyriadPro"/>
        <family val="2"/>
      </rPr>
      <t xml:space="preserve"> </t>
    </r>
  </si>
  <si>
    <t>D(cm), B(kg)</t>
    <phoneticPr fontId="6" type="noConversion"/>
  </si>
  <si>
    <r>
      <t xml:space="preserve">Bbranch </t>
    </r>
    <r>
      <rPr>
        <sz val="9"/>
        <rFont val="MyriadPro"/>
        <family val="2"/>
      </rPr>
      <t xml:space="preserve">= 0.00059 </t>
    </r>
    <r>
      <rPr>
        <i/>
        <sz val="9"/>
        <rFont val="MyriadPro"/>
        <family val="2"/>
      </rPr>
      <t>D</t>
    </r>
    <r>
      <rPr>
        <i/>
        <vertAlign val="superscript"/>
        <sz val="9"/>
        <rFont val="MyriadPro"/>
        <family val="2"/>
      </rPr>
      <t>3.46</t>
    </r>
    <r>
      <rPr>
        <i/>
        <sz val="9"/>
        <rFont val="MyriadPro"/>
        <family val="2"/>
      </rPr>
      <t xml:space="preserve"> </t>
    </r>
    <r>
      <rPr>
        <sz val="9"/>
        <rFont val="MyriadPro"/>
        <family val="2"/>
      </rPr>
      <t xml:space="preserve">83.5 </t>
    </r>
  </si>
  <si>
    <r>
      <t xml:space="preserve">Btwig </t>
    </r>
    <r>
      <rPr>
        <sz val="9"/>
        <rFont val="MyriadPro"/>
        <family val="2"/>
      </rPr>
      <t xml:space="preserve">= 0.0027 </t>
    </r>
    <r>
      <rPr>
        <i/>
        <sz val="9"/>
        <rFont val="MyriadPro"/>
        <family val="2"/>
      </rPr>
      <t>D</t>
    </r>
    <r>
      <rPr>
        <i/>
        <vertAlign val="superscript"/>
        <sz val="9"/>
        <rFont val="MyriadPro"/>
        <family val="2"/>
      </rPr>
      <t>2.42</t>
    </r>
    <r>
      <rPr>
        <i/>
        <sz val="9"/>
        <rFont val="MyriadPro"/>
        <family val="2"/>
      </rPr>
      <t xml:space="preserve"> </t>
    </r>
    <r>
      <rPr>
        <sz val="9"/>
        <rFont val="MyriadPro"/>
        <family val="2"/>
      </rPr>
      <t xml:space="preserve">65.6 </t>
    </r>
  </si>
  <si>
    <t>Ulgade and Prez 2001</t>
    <phoneticPr fontId="6" type="noConversion"/>
  </si>
  <si>
    <t>7-30</t>
    <phoneticPr fontId="6" type="noConversion"/>
  </si>
  <si>
    <r>
      <t>(kg d.m.tree</t>
    </r>
    <r>
      <rPr>
        <vertAlign val="superscript"/>
        <sz val="10"/>
        <rFont val="Verdana"/>
        <family val="2"/>
      </rPr>
      <t>-1</t>
    </r>
    <r>
      <rPr>
        <sz val="10"/>
        <rFont val="Verdana"/>
        <family val="2"/>
      </rPr>
      <t>)</t>
    </r>
    <phoneticPr fontId="6" type="noConversion"/>
  </si>
  <si>
    <t>CF</t>
    <phoneticPr fontId="6" type="noConversion"/>
  </si>
  <si>
    <r>
      <t>kg C.kg d.m</t>
    </r>
    <r>
      <rPr>
        <vertAlign val="superscript"/>
        <sz val="10"/>
        <rFont val="Verdana"/>
        <family val="2"/>
      </rPr>
      <t>-1</t>
    </r>
    <phoneticPr fontId="6" type="noConversion"/>
  </si>
  <si>
    <t>Growth (0-15yrs)</t>
    <phoneticPr fontId="6" type="noConversion"/>
  </si>
  <si>
    <t>Growth (15-30yrs)</t>
    <phoneticPr fontId="6" type="noConversion"/>
  </si>
  <si>
    <t>Cumulative</t>
    <phoneticPr fontId="6" type="noConversion"/>
  </si>
  <si>
    <r>
      <t>B</t>
    </r>
    <r>
      <rPr>
        <vertAlign val="subscript"/>
        <sz val="10"/>
        <rFont val="Verdana"/>
        <family val="2"/>
      </rPr>
      <t>AGB_tree</t>
    </r>
    <phoneticPr fontId="6" type="noConversion"/>
  </si>
  <si>
    <t>Philippines, Banaticia et al (2004)</t>
    <phoneticPr fontId="6" type="noConversion"/>
  </si>
  <si>
    <t xml:space="preserve">Banaticla, R.N., Sales, R.F. and Lasco, R.D. (2004), ‘Biomass equations for tropical tree plantation species using secondary data from the Philippines’, a paper submitted for the ACIAR End of the Project Workshop held in Ormoc City, the Philippines. </t>
  </si>
  <si>
    <t xml:space="preserve">Planted at </t>
    <phoneticPr fontId="6" type="noConversion"/>
  </si>
  <si>
    <t>stems/ha</t>
    <phoneticPr fontId="6" type="noConversion"/>
  </si>
  <si>
    <t>final stocking</t>
    <phoneticPr fontId="6" type="noConversion"/>
  </si>
  <si>
    <t>150-250</t>
    <phoneticPr fontId="6" type="noConversion"/>
  </si>
  <si>
    <t>Owra et al. (2009) - Worldagro database</t>
    <phoneticPr fontId="6" type="noConversion"/>
  </si>
  <si>
    <t>(10 by 3m)</t>
    <phoneticPr fontId="6" type="noConversion"/>
  </si>
  <si>
    <t>Growth Rates</t>
    <phoneticPr fontId="6" type="noConversion"/>
  </si>
  <si>
    <r>
      <t>Dbh = 2.443*1.207</t>
    </r>
    <r>
      <rPr>
        <vertAlign val="superscript"/>
        <sz val="11"/>
        <rFont val="Times New Roman"/>
        <family val="1"/>
      </rPr>
      <t>age</t>
    </r>
    <r>
      <rPr>
        <sz val="11"/>
        <rFont val="Times New Roman"/>
        <family val="1"/>
      </rPr>
      <t xml:space="preserve"> </t>
    </r>
  </si>
  <si>
    <r>
      <t xml:space="preserve">dbh = 1.736*1.184 </t>
    </r>
    <r>
      <rPr>
        <sz val="7"/>
        <rFont val="Times New Roman"/>
        <family val="1"/>
      </rPr>
      <t xml:space="preserve">age </t>
    </r>
  </si>
  <si>
    <r>
      <t xml:space="preserve">dbh = 0.919*1.267 </t>
    </r>
    <r>
      <rPr>
        <sz val="7"/>
        <rFont val="Times New Roman"/>
        <family val="1"/>
      </rPr>
      <t xml:space="preserve">age </t>
    </r>
  </si>
  <si>
    <r>
      <t xml:space="preserve">Lakmali and </t>
    </r>
    <r>
      <rPr>
        <sz val="11"/>
        <rFont val="Times New Roman,Bold"/>
        <family val="1"/>
      </rPr>
      <t>Subasinghe (2010)</t>
    </r>
  </si>
  <si>
    <t>Mahoganhy monocultures</t>
    <phoneticPr fontId="6" type="noConversion"/>
  </si>
  <si>
    <r>
      <t>Y = exp[–2.289 + 2.649 • ln (DBH) – 0.021 • (ln(DBH))</t>
    </r>
    <r>
      <rPr>
        <vertAlign val="superscript"/>
        <sz val="9"/>
        <rFont val="Verdana"/>
        <family val="2"/>
      </rPr>
      <t>2</t>
    </r>
    <r>
      <rPr>
        <sz val="9"/>
        <rFont val="Verdana"/>
        <family val="2"/>
      </rPr>
      <t>]</t>
    </r>
  </si>
  <si>
    <t>40-60 yrs rot</t>
    <phoneticPr fontId="6" type="noConversion"/>
  </si>
  <si>
    <t>15-20</t>
    <phoneticPr fontId="6" type="noConversion"/>
  </si>
  <si>
    <t>40 - 50 yrs rot</t>
    <phoneticPr fontId="6" type="noConversion"/>
  </si>
  <si>
    <t>13-18</t>
    <phoneticPr fontId="6" type="noConversion"/>
  </si>
  <si>
    <t>Ulgade and Prez 2001</t>
    <phoneticPr fontId="6" type="noConversion"/>
  </si>
  <si>
    <t>First National Inventory East Timor</t>
    <phoneticPr fontId="6" type="noConversion"/>
  </si>
  <si>
    <r>
      <t>V</t>
    </r>
    <r>
      <rPr>
        <vertAlign val="subscript"/>
        <sz val="10"/>
        <rFont val="MyriadPro"/>
      </rPr>
      <t>meliacae</t>
    </r>
    <r>
      <rPr>
        <sz val="10"/>
        <rFont val="MyriadPro"/>
      </rPr>
      <t xml:space="preserve"> = 0.0003158D</t>
    </r>
    <r>
      <rPr>
        <vertAlign val="superscript"/>
        <sz val="10"/>
        <rFont val="MyriadPro"/>
      </rPr>
      <t>1.974723</t>
    </r>
    <phoneticPr fontId="6" type="noConversion"/>
  </si>
  <si>
    <t>IPCC 2003, Table 3A.1.7 (min 7, max 30)</t>
    <phoneticPr fontId="6" type="noConversion"/>
  </si>
  <si>
    <t>DBH (cm)</t>
    <phoneticPr fontId="6" type="noConversion"/>
  </si>
  <si>
    <t>Age (yr)</t>
    <phoneticPr fontId="6" type="noConversion"/>
  </si>
  <si>
    <t>good</t>
    <phoneticPr fontId="6" type="noConversion"/>
  </si>
  <si>
    <t>mod</t>
    <phoneticPr fontId="6" type="noConversion"/>
  </si>
  <si>
    <t>poor</t>
    <phoneticPr fontId="6" type="noConversion"/>
  </si>
  <si>
    <t>V (m3)</t>
    <phoneticPr fontId="6" type="noConversion"/>
  </si>
  <si>
    <t>inc 1.25 cm/yr</t>
    <phoneticPr fontId="6" type="noConversion"/>
  </si>
  <si>
    <t>DBH (cm/stem/yr)</t>
    <phoneticPr fontId="6" type="noConversion"/>
  </si>
  <si>
    <t>Mg C/ha/yr</t>
    <phoneticPr fontId="6" type="noConversion"/>
  </si>
  <si>
    <t>Indonesia</t>
    <phoneticPr fontId="6" type="noConversion"/>
  </si>
  <si>
    <t xml:space="preserve">25. State Ministry for Environment, Indonesia: The First National Communication under the United Nations Framework </t>
  </si>
  <si>
    <t xml:space="preserve">Convention on Climate Change, Jakarta, Indonesia, 1999, 33ü39. </t>
  </si>
  <si>
    <t>Sumatra, Indonesia Lasco (2001)</t>
    <phoneticPr fontId="6" type="noConversion"/>
  </si>
  <si>
    <t>kg/m3</t>
    <phoneticPr fontId="6" type="noConversion"/>
  </si>
  <si>
    <t>Mg C/ha</t>
    <phoneticPr fontId="6" type="noConversion"/>
  </si>
  <si>
    <t>Lasco 2001. APN report</t>
  </si>
  <si>
    <t>Reference</t>
    <phoneticPr fontId="6" type="noConversion"/>
  </si>
  <si>
    <t>MAID</t>
    <phoneticPr fontId="6" type="noConversion"/>
  </si>
  <si>
    <t>MAIH</t>
    <phoneticPr fontId="6" type="noConversion"/>
  </si>
  <si>
    <t>cm/yr</t>
    <phoneticPr fontId="6" type="noConversion"/>
  </si>
  <si>
    <t>m/yr</t>
    <phoneticPr fontId="6" type="noConversion"/>
  </si>
  <si>
    <t xml:space="preserve">Philippines, Schneider et al. (2013)   </t>
    <phoneticPr fontId="6" type="noConversion"/>
  </si>
  <si>
    <t>desnity</t>
    <phoneticPr fontId="6" type="noConversion"/>
  </si>
  <si>
    <t>Carbon Stock</t>
    <phoneticPr fontId="6" type="noConversion"/>
  </si>
  <si>
    <t>MAI</t>
    <phoneticPr fontId="6" type="noConversion"/>
  </si>
  <si>
    <t>m3/ha/yr</t>
    <phoneticPr fontId="6" type="noConversion"/>
  </si>
  <si>
    <t>t/ha/yr</t>
    <phoneticPr fontId="6" type="noConversion"/>
  </si>
  <si>
    <t>MAIC</t>
    <phoneticPr fontId="6" type="noConversion"/>
  </si>
  <si>
    <t>Owra et al. (2009)</t>
    <phoneticPr fontId="6" type="noConversion"/>
  </si>
  <si>
    <r>
      <t>Av. V</t>
    </r>
    <r>
      <rPr>
        <vertAlign val="subscript"/>
        <sz val="10"/>
        <rFont val="Verdana"/>
        <family val="2"/>
      </rPr>
      <t>total</t>
    </r>
    <phoneticPr fontId="6" type="noConversion"/>
  </si>
  <si>
    <r>
      <t>(m</t>
    </r>
    <r>
      <rPr>
        <vertAlign val="superscript"/>
        <sz val="10"/>
        <rFont val="Verdana"/>
        <family val="2"/>
      </rPr>
      <t>3</t>
    </r>
    <r>
      <rPr>
        <sz val="10"/>
        <rFont val="Verdana"/>
        <family val="2"/>
      </rPr>
      <t>.ha</t>
    </r>
    <r>
      <rPr>
        <vertAlign val="superscript"/>
        <sz val="10"/>
        <rFont val="Verdana"/>
        <family val="2"/>
      </rPr>
      <t>-1.</t>
    </r>
    <r>
      <rPr>
        <sz val="10"/>
        <rFont val="Verdana"/>
        <family val="2"/>
      </rPr>
      <t>yr</t>
    </r>
    <r>
      <rPr>
        <vertAlign val="superscript"/>
        <sz val="10"/>
        <rFont val="Verdana"/>
        <family val="2"/>
      </rPr>
      <t>-1</t>
    </r>
    <r>
      <rPr>
        <sz val="10"/>
        <rFont val="Verdana"/>
        <family val="2"/>
      </rPr>
      <t>)</t>
    </r>
    <phoneticPr fontId="6" type="noConversion"/>
  </si>
  <si>
    <t>Min</t>
    <phoneticPr fontId="6" type="noConversion"/>
  </si>
  <si>
    <t>Max</t>
    <phoneticPr fontId="6" type="noConversion"/>
  </si>
  <si>
    <t>Med</t>
    <phoneticPr fontId="6" type="noConversion"/>
  </si>
  <si>
    <r>
      <t>0.022D</t>
    </r>
    <r>
      <rPr>
        <vertAlign val="superscript"/>
        <sz val="10"/>
        <rFont val="Verdana"/>
        <family val="2"/>
      </rPr>
      <t>2.920</t>
    </r>
    <phoneticPr fontId="6" type="noConversion"/>
  </si>
  <si>
    <t>Age</t>
    <phoneticPr fontId="6" type="noConversion"/>
  </si>
  <si>
    <t>DBH</t>
    <phoneticPr fontId="6" type="noConversion"/>
  </si>
  <si>
    <t>BIOMASS EQUATIONS FOR TROPICAL TREE</t>
  </si>
  <si>
    <t>m3/ha/yr</t>
    <phoneticPr fontId="6" type="noConversion"/>
  </si>
  <si>
    <t>Growth performance of sixty tree species in smallholder</t>
  </si>
  <si>
    <t>reforestation trials on Leyte, Philippines</t>
  </si>
  <si>
    <t>Tina Schneider • Mark S. Ashton • Florencia Montagnini •</t>
  </si>
  <si>
    <t>Paciencia P. Milan</t>
  </si>
  <si>
    <t>New Forests</t>
  </si>
  <si>
    <t>DOI 10.1007/s11056-013-9393-5</t>
  </si>
  <si>
    <t>http://environment.yale.edu/silviculture/files/Schneider_et_%20al_2013_Growth_performance_of_sixty_tree.pdf</t>
  </si>
  <si>
    <t>V(m3/stem/yr)</t>
    <phoneticPr fontId="6" type="noConversion"/>
  </si>
  <si>
    <t>V(m3/stem)</t>
    <phoneticPr fontId="6" type="noConversion"/>
  </si>
  <si>
    <t>V (m3/ha/yr)</t>
    <phoneticPr fontId="6" type="noConversion"/>
  </si>
  <si>
    <t xml:space="preserve">Compare with </t>
    <phoneticPr fontId="6" type="noConversion"/>
  </si>
  <si>
    <t>7-30</t>
    <phoneticPr fontId="6" type="noConversion"/>
  </si>
  <si>
    <t>B (kg/stem)</t>
    <phoneticPr fontId="6" type="noConversion"/>
  </si>
  <si>
    <t>V(m3/ha)</t>
    <phoneticPr fontId="6" type="noConversion"/>
  </si>
  <si>
    <t>V(m3/ha)</t>
    <phoneticPr fontId="6" type="noConversion"/>
  </si>
  <si>
    <r>
      <t xml:space="preserve">Bstump </t>
    </r>
    <r>
      <rPr>
        <sz val="9"/>
        <rFont val="MyriadPro"/>
        <family val="2"/>
      </rPr>
      <t xml:space="preserve">= 0.022 </t>
    </r>
    <r>
      <rPr>
        <i/>
        <sz val="9"/>
        <rFont val="MyriadPro"/>
        <family val="2"/>
      </rPr>
      <t>D</t>
    </r>
    <r>
      <rPr>
        <b/>
        <i/>
        <sz val="9"/>
        <rFont val="MyriadPro"/>
        <family val="2"/>
      </rPr>
      <t>1.96</t>
    </r>
    <r>
      <rPr>
        <i/>
        <sz val="9"/>
        <rFont val="MyriadPro"/>
        <family val="2"/>
      </rPr>
      <t xml:space="preserve"> </t>
    </r>
    <r>
      <rPr>
        <sz val="9"/>
        <rFont val="MyriadPro"/>
        <family val="2"/>
      </rPr>
      <t xml:space="preserve">65.6 </t>
    </r>
    <r>
      <rPr>
        <i/>
        <sz val="9"/>
        <rFont val="MyriadPro"/>
        <family val="2"/>
      </rPr>
      <t xml:space="preserve">Bleaf </t>
    </r>
    <r>
      <rPr>
        <sz val="9"/>
        <rFont val="MyriadPro"/>
        <family val="2"/>
      </rPr>
      <t xml:space="preserve">= 0.0138 </t>
    </r>
    <r>
      <rPr>
        <i/>
        <sz val="9"/>
        <rFont val="MyriadPro"/>
        <family val="2"/>
      </rPr>
      <t xml:space="preserve">D1.93 </t>
    </r>
    <r>
      <rPr>
        <sz val="9"/>
        <rFont val="MyriadPro"/>
        <family val="2"/>
      </rPr>
      <t xml:space="preserve">70.0 </t>
    </r>
    <r>
      <rPr>
        <b/>
        <i/>
        <sz val="9"/>
        <rFont val="MyriadPro"/>
        <family val="2"/>
      </rPr>
      <t xml:space="preserve">Btotal </t>
    </r>
    <r>
      <rPr>
        <b/>
        <sz val="9"/>
        <rFont val="MyriadPro"/>
        <family val="2"/>
      </rPr>
      <t xml:space="preserve">= 0.048 </t>
    </r>
    <r>
      <rPr>
        <b/>
        <i/>
        <sz val="9"/>
        <rFont val="MyriadPro"/>
        <family val="2"/>
      </rPr>
      <t>D</t>
    </r>
    <r>
      <rPr>
        <b/>
        <i/>
        <vertAlign val="superscript"/>
        <sz val="9"/>
        <rFont val="MyriadPro"/>
        <family val="2"/>
      </rPr>
      <t>2.68</t>
    </r>
    <r>
      <rPr>
        <b/>
        <i/>
        <sz val="9"/>
        <rFont val="MyriadPro"/>
        <family val="2"/>
      </rPr>
      <t xml:space="preserve">   R</t>
    </r>
    <r>
      <rPr>
        <b/>
        <i/>
        <vertAlign val="superscript"/>
        <sz val="9"/>
        <rFont val="MyriadPro"/>
        <family val="2"/>
      </rPr>
      <t>2</t>
    </r>
    <r>
      <rPr>
        <b/>
        <i/>
        <sz val="9"/>
        <rFont val="MyriadPro"/>
        <family val="2"/>
      </rPr>
      <t xml:space="preserve">= </t>
    </r>
    <r>
      <rPr>
        <b/>
        <sz val="9"/>
        <rFont val="MyriadPro"/>
        <family val="2"/>
      </rPr>
      <t>95.8</t>
    </r>
    <r>
      <rPr>
        <sz val="9"/>
        <rFont val="MyriadPro"/>
        <family val="2"/>
      </rPr>
      <t xml:space="preserve"> </t>
    </r>
    <phoneticPr fontId="6" type="noConversion"/>
  </si>
  <si>
    <r>
      <t>Btotal = 0.048 D</t>
    </r>
    <r>
      <rPr>
        <vertAlign val="superscript"/>
        <sz val="10"/>
        <rFont val="Verdana"/>
        <family val="2"/>
      </rPr>
      <t>2.6</t>
    </r>
    <phoneticPr fontId="6" type="noConversion"/>
  </si>
  <si>
    <t>IPCC Table 4.A.1</t>
    <phoneticPr fontId="6" type="noConversion"/>
  </si>
  <si>
    <t>333 stem/ha</t>
    <phoneticPr fontId="6" type="noConversion"/>
  </si>
  <si>
    <t>150 stem/ha</t>
    <phoneticPr fontId="6" type="noConversion"/>
  </si>
  <si>
    <t>Tropics, Brown (2000)</t>
    <phoneticPr fontId="6" type="noConversion"/>
  </si>
  <si>
    <t>Brown C. The global outlook for future wood supply from forest plantations. FAO Working Paper, GFPOS/WP/03; 2000. 156 p.</t>
    <phoneticPr fontId="6" type="noConversion"/>
  </si>
  <si>
    <r>
      <t>cm.yr</t>
    </r>
    <r>
      <rPr>
        <vertAlign val="superscript"/>
        <sz val="10"/>
        <rFont val="Verdana"/>
        <family val="2"/>
      </rPr>
      <t>-1</t>
    </r>
    <phoneticPr fontId="6" type="noConversion"/>
  </si>
  <si>
    <t>Parameter</t>
    <phoneticPr fontId="6" type="noConversion"/>
  </si>
  <si>
    <t>Data</t>
    <phoneticPr fontId="6" type="noConversion"/>
  </si>
  <si>
    <t>Unit</t>
    <phoneticPr fontId="6" type="noConversion"/>
  </si>
  <si>
    <t>Reference</t>
    <phoneticPr fontId="6" type="noConversion"/>
  </si>
  <si>
    <t xml:space="preserve">The density of the wood of plantation-grown trees is often somewhat less than that of trees from the forest in the natural area of distribution and weighs 485-840 kg/m3 at 12% mc. </t>
  </si>
  <si>
    <t>Chave</t>
  </si>
  <si>
    <t>540 (at 12% moisture content)</t>
  </si>
  <si>
    <t>PLANTATION SPECIES USING SECONDARY</t>
  </si>
  <si>
    <t>DATA FROM THE PHILIPPINES</t>
  </si>
  <si>
    <t>Ma. Regina N. Banaticla, Renezita F. Sales and Rodel D. Lasco</t>
  </si>
  <si>
    <t>PP0188-06</t>
  </si>
  <si>
    <t>Root shoot ratio  =0.2</t>
    <phoneticPr fontId="6" type="noConversion"/>
  </si>
  <si>
    <t>Based on 30% of C in AGB and 6% in roots</t>
    <phoneticPr fontId="6" type="noConversion"/>
  </si>
  <si>
    <t>Sales RF, Lasco RD and Banaticla R. 2005. Carbon storage and sequestration potential of smallholder tree farms on Leyte Island, The Philippines. In: Harrison S, Herbohn J, Mangaoang E and Vanclay J,(eds). ACIAR Smallholder Forestry Project ASEM 200/008 redevelopment of a timber industry following extensive land clearing: Proceedings from the end-of project workshop, Ormoc City, Philippines 19-21 August 2004. . Ormoc City, Philippines. ACIAR.</t>
    <phoneticPr fontId="6" type="noConversion"/>
  </si>
  <si>
    <t>Owra et al. (2009) world agroforestry database</t>
  </si>
  <si>
    <t>Schneider et al. (2013)</t>
    <phoneticPr fontId="6" type="noConversion"/>
  </si>
  <si>
    <r>
      <t>Adinugroho and Sidiyasa (2006), R</t>
    </r>
    <r>
      <rPr>
        <vertAlign val="superscript"/>
        <sz val="10"/>
        <rFont val="Verdana"/>
        <family val="2"/>
      </rPr>
      <t>2</t>
    </r>
    <r>
      <rPr>
        <sz val="10"/>
        <rFont val="Verdana"/>
        <family val="2"/>
      </rPr>
      <t xml:space="preserve">=94.7 </t>
    </r>
    <phoneticPr fontId="6" type="noConversion"/>
  </si>
  <si>
    <r>
      <t xml:space="preserve">Btotal </t>
    </r>
    <r>
      <rPr>
        <b/>
        <sz val="9"/>
        <rFont val="MyriadPro"/>
        <family val="2"/>
      </rPr>
      <t xml:space="preserve">= 0.048 </t>
    </r>
    <r>
      <rPr>
        <b/>
        <i/>
        <sz val="9"/>
        <rFont val="MyriadPro"/>
        <family val="2"/>
      </rPr>
      <t>D</t>
    </r>
    <r>
      <rPr>
        <b/>
        <i/>
        <vertAlign val="superscript"/>
        <sz val="9"/>
        <rFont val="MyriadPro"/>
        <family val="2"/>
      </rPr>
      <t>2.68</t>
    </r>
    <r>
      <rPr>
        <b/>
        <i/>
        <sz val="9"/>
        <rFont val="MyriadPro"/>
        <family val="2"/>
      </rPr>
      <t xml:space="preserve"> R</t>
    </r>
    <r>
      <rPr>
        <b/>
        <i/>
        <vertAlign val="superscript"/>
        <sz val="9"/>
        <rFont val="MyriadPro"/>
        <family val="2"/>
      </rPr>
      <t>2</t>
    </r>
    <r>
      <rPr>
        <b/>
        <i/>
        <sz val="9"/>
        <rFont val="MyriadPro"/>
        <family val="2"/>
      </rPr>
      <t xml:space="preserve">= </t>
    </r>
    <r>
      <rPr>
        <b/>
        <sz val="9"/>
        <rFont val="MyriadPro"/>
        <family val="2"/>
      </rPr>
      <t>94.7</t>
    </r>
    <r>
      <rPr>
        <sz val="9"/>
        <rFont val="MyriadPro"/>
        <family val="2"/>
      </rPr>
      <t xml:space="preserve"> </t>
    </r>
    <phoneticPr fontId="6" type="noConversion"/>
  </si>
  <si>
    <t>Density</t>
    <phoneticPr fontId="6" type="noConversion"/>
  </si>
  <si>
    <r>
      <t>kg.m</t>
    </r>
    <r>
      <rPr>
        <vertAlign val="superscript"/>
        <sz val="10"/>
        <rFont val="Verdana"/>
        <family val="2"/>
      </rPr>
      <t>-3</t>
    </r>
    <phoneticPr fontId="6" type="noConversion"/>
  </si>
  <si>
    <r>
      <t>kg d.m.tree</t>
    </r>
    <r>
      <rPr>
        <vertAlign val="superscript"/>
        <sz val="10"/>
        <rFont val="Verdana"/>
        <family val="2"/>
      </rPr>
      <t>-1</t>
    </r>
    <phoneticPr fontId="6" type="noConversion"/>
  </si>
  <si>
    <r>
      <t>0.048D</t>
    </r>
    <r>
      <rPr>
        <vertAlign val="superscript"/>
        <sz val="10"/>
        <rFont val="Verdana"/>
        <family val="2"/>
      </rPr>
      <t>2.68</t>
    </r>
    <phoneticPr fontId="6" type="noConversion"/>
  </si>
  <si>
    <t>(yr)</t>
    <phoneticPr fontId="6" type="noConversion"/>
  </si>
  <si>
    <t>(cm)</t>
    <phoneticPr fontId="6" type="noConversion"/>
  </si>
  <si>
    <r>
      <t>V</t>
    </r>
    <r>
      <rPr>
        <vertAlign val="subscript"/>
        <sz val="10"/>
        <rFont val="Verdana"/>
        <family val="2"/>
      </rPr>
      <t>total</t>
    </r>
    <phoneticPr fontId="6" type="noConversion"/>
  </si>
  <si>
    <t>Stocking Max</t>
    <phoneticPr fontId="6" type="noConversion"/>
  </si>
  <si>
    <t>Stocking Min</t>
    <phoneticPr fontId="6" type="noConversion"/>
  </si>
  <si>
    <r>
      <t>tree.ha</t>
    </r>
    <r>
      <rPr>
        <vertAlign val="superscript"/>
        <sz val="10"/>
        <rFont val="Verdana"/>
        <family val="2"/>
      </rPr>
      <t>-1</t>
    </r>
    <phoneticPr fontId="6" type="noConversion"/>
  </si>
  <si>
    <r>
      <t>(m</t>
    </r>
    <r>
      <rPr>
        <vertAlign val="superscript"/>
        <sz val="10"/>
        <rFont val="Verdana"/>
        <family val="2"/>
      </rPr>
      <t>3</t>
    </r>
    <r>
      <rPr>
        <sz val="10"/>
        <rFont val="Verdana"/>
        <family val="2"/>
      </rPr>
      <t>.ha</t>
    </r>
    <r>
      <rPr>
        <vertAlign val="superscript"/>
        <sz val="10"/>
        <rFont val="Verdana"/>
        <family val="2"/>
      </rPr>
      <t>-1</t>
    </r>
    <r>
      <rPr>
        <sz val="10"/>
        <rFont val="Verdana"/>
        <family val="2"/>
      </rPr>
      <t>)</t>
    </r>
    <phoneticPr fontId="6" type="noConversion"/>
  </si>
  <si>
    <t>Min</t>
    <phoneticPr fontId="6" type="noConversion"/>
  </si>
  <si>
    <t>Max</t>
    <phoneticPr fontId="6" type="noConversion"/>
  </si>
  <si>
    <t>Area (ha)</t>
  </si>
  <si>
    <t>Source</t>
  </si>
  <si>
    <t>Grassland</t>
  </si>
  <si>
    <t>Subtotal</t>
  </si>
  <si>
    <t>CF(tree)</t>
  </si>
  <si>
    <t>CF(non-tree)</t>
  </si>
  <si>
    <t>crown diameter = 0.645 + 2.682 / (1+exp (-0.356 (dbh –7.749)))</t>
  </si>
  <si>
    <t>m2/tree</t>
  </si>
  <si>
    <t>m2</t>
  </si>
  <si>
    <t>http://journals.sjp.ac.lk/index.php/fesympo/article/view/373</t>
  </si>
  <si>
    <t>Lakmali and Subasinghe</t>
  </si>
  <si>
    <t>crop area</t>
  </si>
  <si>
    <r>
      <t>0.048D</t>
    </r>
    <r>
      <rPr>
        <vertAlign val="superscript"/>
        <sz val="10"/>
        <rFont val="Verdana"/>
        <family val="2"/>
      </rPr>
      <t>2.68</t>
    </r>
  </si>
  <si>
    <t>Stratum ID</t>
  </si>
  <si>
    <t>Total</t>
  </si>
  <si>
    <t>Eligible planting area</t>
  </si>
  <si>
    <t>5.5 - Template - Baseline.doc</t>
  </si>
  <si>
    <r>
      <t>Summary of CO</t>
    </r>
    <r>
      <rPr>
        <b/>
        <vertAlign val="subscript"/>
        <sz val="11"/>
        <rFont val="Calibri"/>
        <family val="2"/>
        <scheme val="minor"/>
      </rPr>
      <t>2</t>
    </r>
    <r>
      <rPr>
        <b/>
        <sz val="11"/>
        <rFont val="Calibri"/>
        <family val="2"/>
        <scheme val="minor"/>
      </rPr>
      <t xml:space="preserve"> Fixation</t>
    </r>
  </si>
  <si>
    <r>
      <t>(t C. t d.m</t>
    </r>
    <r>
      <rPr>
        <vertAlign val="superscript"/>
        <sz val="10"/>
        <rFont val="Calibri"/>
        <family val="2"/>
        <scheme val="minor"/>
      </rPr>
      <t>-1</t>
    </r>
    <r>
      <rPr>
        <sz val="10"/>
        <rFont val="Calibri"/>
        <family val="2"/>
        <scheme val="minor"/>
      </rPr>
      <t>)</t>
    </r>
  </si>
  <si>
    <r>
      <t>MW(CO</t>
    </r>
    <r>
      <rPr>
        <vertAlign val="subscript"/>
        <sz val="10"/>
        <rFont val="Calibri"/>
        <family val="2"/>
        <scheme val="minor"/>
      </rPr>
      <t>2</t>
    </r>
    <r>
      <rPr>
        <sz val="10"/>
        <rFont val="Calibri"/>
        <family val="2"/>
        <scheme val="minor"/>
      </rPr>
      <t>)/MW(C)</t>
    </r>
  </si>
  <si>
    <r>
      <t>(t CO</t>
    </r>
    <r>
      <rPr>
        <vertAlign val="subscript"/>
        <sz val="10"/>
        <rFont val="Calibri"/>
        <family val="2"/>
        <scheme val="minor"/>
      </rPr>
      <t>2</t>
    </r>
    <r>
      <rPr>
        <sz val="10"/>
        <rFont val="Calibri"/>
        <family val="2"/>
        <scheme val="minor"/>
      </rPr>
      <t>. t C</t>
    </r>
    <r>
      <rPr>
        <vertAlign val="superscript"/>
        <sz val="10"/>
        <rFont val="Calibri"/>
        <family val="2"/>
        <scheme val="minor"/>
      </rPr>
      <t>-1</t>
    </r>
    <r>
      <rPr>
        <sz val="10"/>
        <rFont val="Calibri"/>
        <family val="2"/>
        <scheme val="minor"/>
      </rPr>
      <t>)</t>
    </r>
  </si>
  <si>
    <r>
      <t xml:space="preserve"> Average CO</t>
    </r>
    <r>
      <rPr>
        <vertAlign val="subscript"/>
        <sz val="11"/>
        <rFont val="Calibri"/>
        <family val="2"/>
        <scheme val="minor"/>
      </rPr>
      <t>2</t>
    </r>
    <r>
      <rPr>
        <sz val="11"/>
        <rFont val="Calibri"/>
        <family val="2"/>
        <scheme val="minor"/>
      </rPr>
      <t>e</t>
    </r>
  </si>
  <si>
    <r>
      <t>(t CO</t>
    </r>
    <r>
      <rPr>
        <vertAlign val="subscript"/>
        <sz val="11"/>
        <rFont val="Calibri"/>
        <family val="2"/>
        <scheme val="minor"/>
      </rPr>
      <t>2</t>
    </r>
    <r>
      <rPr>
        <sz val="11"/>
        <rFont val="Calibri"/>
        <family val="2"/>
        <scheme val="minor"/>
      </rPr>
      <t>e.tree</t>
    </r>
    <r>
      <rPr>
        <vertAlign val="superscript"/>
        <sz val="11"/>
        <rFont val="Calibri"/>
        <family val="2"/>
        <scheme val="minor"/>
      </rPr>
      <t>-1</t>
    </r>
    <r>
      <rPr>
        <sz val="11"/>
        <rFont val="Calibri"/>
        <family val="2"/>
        <scheme val="minor"/>
      </rPr>
      <t>.yr</t>
    </r>
    <r>
      <rPr>
        <vertAlign val="superscript"/>
        <sz val="11"/>
        <rFont val="Calibri"/>
        <family val="2"/>
        <scheme val="minor"/>
      </rPr>
      <t>-1</t>
    </r>
    <r>
      <rPr>
        <sz val="11"/>
        <rFont val="Calibri"/>
        <family val="2"/>
        <scheme val="minor"/>
      </rPr>
      <t>)</t>
    </r>
  </si>
  <si>
    <t>Y1</t>
  </si>
  <si>
    <t>Y2</t>
  </si>
  <si>
    <t>Y3</t>
  </si>
  <si>
    <t>Y4</t>
  </si>
  <si>
    <t>Y5</t>
  </si>
  <si>
    <t>Y6</t>
  </si>
  <si>
    <t>Y7</t>
  </si>
  <si>
    <t>Y8</t>
  </si>
  <si>
    <t>Y9</t>
  </si>
  <si>
    <t>Y10</t>
  </si>
  <si>
    <t>Y11</t>
  </si>
  <si>
    <t>Y12</t>
  </si>
  <si>
    <t>Y13</t>
  </si>
  <si>
    <t>Y14</t>
  </si>
  <si>
    <t>Y15</t>
  </si>
  <si>
    <t>Y16</t>
  </si>
  <si>
    <t>Y17</t>
  </si>
  <si>
    <t>Y18</t>
  </si>
  <si>
    <t>Y19</t>
  </si>
  <si>
    <t>Y20</t>
  </si>
  <si>
    <t>Y21</t>
  </si>
  <si>
    <t>Y22</t>
  </si>
  <si>
    <t>Y23</t>
  </si>
  <si>
    <t>Y24</t>
  </si>
  <si>
    <t>Y25</t>
  </si>
  <si>
    <t>Y26</t>
  </si>
  <si>
    <t>Y27</t>
  </si>
  <si>
    <t>Y28</t>
  </si>
  <si>
    <t>Y29</t>
  </si>
  <si>
    <t>Y30</t>
  </si>
  <si>
    <t>MU01</t>
  </si>
  <si>
    <t>Derived from Schneider et al. (2013), Geary (2003), Halos (1983), Uma et al. (2013)</t>
  </si>
  <si>
    <t>3.895ln(t) + 2.336</t>
  </si>
  <si>
    <t>Geary, T. (2003). Casuarina equisetifolia L.</t>
  </si>
  <si>
    <t>Schneider et al (2013)</t>
  </si>
  <si>
    <t>Schneider et al. (2013)</t>
  </si>
  <si>
    <t>5 year-old trees averaging ca 22 cm DBH, 6+ m tall yielded ca 14 m3/ha</t>
  </si>
  <si>
    <t>10 year-old trees averaging ca 42 cm DBH, 11+ m tall yielded ca 28 m3/ha</t>
  </si>
  <si>
    <t>15 year-old trees averaging ca 56 cm DBH, 16+ m tall yielded ca 54 m3/ha</t>
  </si>
  <si>
    <t>20 year-old trees averaging ca 70 cm DBH, 24+ m tall yielded ca 94 m3/ha</t>
  </si>
  <si>
    <t>25 year-old trees averaging ca 80 cm DBH, 31+ m tall yielded ca 140 m3/ha</t>
  </si>
  <si>
    <t>30 year-old trees averaging ca 90 cm DBH, 35 m tall yielded ca 190 m3/ha</t>
  </si>
  <si>
    <t>35 year-old trees averaging ca 96 cm DBH, 36+ m tall yielded ca 210m3/ha</t>
  </si>
  <si>
    <t>40 year-old trees averaging ca 100 cm DBH, 37+ m tall yielded ca 240 m3/ha</t>
  </si>
  <si>
    <t>CASUARINA EQUISETIOFOLIA</t>
  </si>
  <si>
    <t>http://www.tropecol.com/pdf/open/PDF_42_2/42205.pdf</t>
  </si>
  <si>
    <t>Net GHG Abatement</t>
  </si>
  <si>
    <t>E. Alba</t>
  </si>
  <si>
    <t>Average</t>
  </si>
  <si>
    <t>Stratification Zone</t>
  </si>
  <si>
    <t>Forest Area 2000 (ha)</t>
  </si>
  <si>
    <t>Cleared Area 2000 (ha)</t>
  </si>
  <si>
    <t>Forest Area 2014 (ha)</t>
  </si>
  <si>
    <t>Cleared Area 2014 (ha)</t>
  </si>
  <si>
    <t>% Change</t>
  </si>
  <si>
    <t>MU-02 Midland</t>
  </si>
  <si>
    <t>MU-01 Lowland</t>
  </si>
  <si>
    <t>MU-03 Highland</t>
  </si>
  <si>
    <t>MU-04 Very Highland</t>
  </si>
  <si>
    <t>Cumulative</t>
  </si>
  <si>
    <t>Annual</t>
  </si>
  <si>
    <r>
      <t xml:space="preserve">Baseline </t>
    </r>
    <r>
      <rPr>
        <b/>
        <sz val="7"/>
        <color rgb="FF008000"/>
        <rFont val="Calibri"/>
        <family val="2"/>
        <scheme val="minor"/>
      </rPr>
      <t xml:space="preserve">tree biomass </t>
    </r>
    <r>
      <rPr>
        <b/>
        <sz val="9"/>
        <color rgb="FF008000"/>
        <rFont val="Calibri"/>
        <family val="2"/>
        <scheme val="minor"/>
      </rPr>
      <t>(tCO2/ha)</t>
    </r>
  </si>
  <si>
    <r>
      <t>Cropland</t>
    </r>
    <r>
      <rPr>
        <sz val="8"/>
        <rFont val="Calibri"/>
        <family val="2"/>
        <scheme val="minor"/>
      </rPr>
      <t> </t>
    </r>
  </si>
  <si>
    <t xml:space="preserve">MW(CO2)/MW(C) </t>
  </si>
  <si>
    <t>Planting Schedule - includes survival rates</t>
  </si>
  <si>
    <r>
      <t>(t d.m.tree</t>
    </r>
    <r>
      <rPr>
        <b/>
        <vertAlign val="superscript"/>
        <sz val="10"/>
        <rFont val="Verdana"/>
        <family val="2"/>
      </rPr>
      <t>-1.</t>
    </r>
    <r>
      <rPr>
        <b/>
        <sz val="10"/>
        <rFont val="Verdana"/>
        <family val="2"/>
      </rPr>
      <t>yr</t>
    </r>
    <r>
      <rPr>
        <b/>
        <vertAlign val="superscript"/>
        <sz val="10"/>
        <rFont val="Verdana"/>
        <family val="2"/>
      </rPr>
      <t>-1</t>
    </r>
    <r>
      <rPr>
        <b/>
        <sz val="10"/>
        <rFont val="Verdana"/>
        <family val="2"/>
      </rPr>
      <t>)</t>
    </r>
  </si>
  <si>
    <r>
      <t>kg d.m.tree</t>
    </r>
    <r>
      <rPr>
        <vertAlign val="superscript"/>
        <sz val="10"/>
        <rFont val="Verdana"/>
        <family val="2"/>
      </rPr>
      <t>-1</t>
    </r>
  </si>
  <si>
    <r>
      <t>Adinugroho and Sidiyasa (2006), R</t>
    </r>
    <r>
      <rPr>
        <vertAlign val="superscript"/>
        <sz val="10"/>
        <rFont val="Verdana"/>
        <family val="2"/>
      </rPr>
      <t>2</t>
    </r>
    <r>
      <rPr>
        <sz val="10"/>
        <rFont val="Verdana"/>
        <family val="2"/>
      </rPr>
      <t xml:space="preserve">=94.7 </t>
    </r>
  </si>
  <si>
    <r>
      <t>Adinugroho and Sidiyasa (2006), R</t>
    </r>
    <r>
      <rPr>
        <vertAlign val="superscript"/>
        <sz val="10"/>
        <rFont val="Verdana"/>
        <family val="2"/>
      </rPr>
      <t>2</t>
    </r>
    <r>
      <rPr>
        <sz val="10"/>
        <rFont val="Verdana"/>
        <family val="2"/>
      </rPr>
      <t>=94.8</t>
    </r>
    <r>
      <rPr>
        <sz val="12"/>
        <color theme="1"/>
        <rFont val="Calibri"/>
        <family val="2"/>
        <scheme val="minor"/>
      </rPr>
      <t/>
    </r>
  </si>
  <si>
    <t>Swietenia macrophylla growth models</t>
  </si>
  <si>
    <t>Swietenia macrophylla Biomass Equations</t>
  </si>
  <si>
    <t>Schneider</t>
  </si>
  <si>
    <r>
      <t>(t d.m.tree</t>
    </r>
    <r>
      <rPr>
        <vertAlign val="superscript"/>
        <sz val="10"/>
        <rFont val="Verdana"/>
        <family val="2"/>
      </rPr>
      <t>-1</t>
    </r>
    <r>
      <rPr>
        <sz val="10"/>
        <rFont val="Verdana"/>
        <family val="2"/>
      </rPr>
      <t>)</t>
    </r>
  </si>
  <si>
    <r>
      <t>(t d.m.tree</t>
    </r>
    <r>
      <rPr>
        <vertAlign val="superscript"/>
        <sz val="10"/>
        <rFont val="Verdana"/>
        <family val="2"/>
      </rPr>
      <t>-1.</t>
    </r>
    <r>
      <rPr>
        <sz val="10"/>
        <rFont val="Verdana"/>
        <family val="2"/>
      </rPr>
      <t>yr</t>
    </r>
    <r>
      <rPr>
        <vertAlign val="superscript"/>
        <sz val="10"/>
        <rFont val="Verdana"/>
        <family val="2"/>
      </rPr>
      <t>-1</t>
    </r>
    <r>
      <rPr>
        <sz val="10"/>
        <rFont val="Verdana"/>
        <family val="2"/>
      </rPr>
      <t>)</t>
    </r>
  </si>
  <si>
    <t>Calculate Carbon per tree</t>
  </si>
  <si>
    <t>Sales et al. (2005)</t>
  </si>
  <si>
    <r>
      <t>cm.yr</t>
    </r>
    <r>
      <rPr>
        <vertAlign val="superscript"/>
        <sz val="10"/>
        <rFont val="Verdana"/>
        <family val="2"/>
      </rPr>
      <t>-1</t>
    </r>
  </si>
  <si>
    <r>
      <t>kg C.kg d.m</t>
    </r>
    <r>
      <rPr>
        <vertAlign val="superscript"/>
        <sz val="10"/>
        <rFont val="Verdana"/>
        <family val="2"/>
      </rPr>
      <t>-1</t>
    </r>
  </si>
  <si>
    <t>Check Cumulative using Average</t>
  </si>
  <si>
    <t xml:space="preserve">Levellin, J.M'Bou, A.T., Deleporte, P., Saint-Andre, L., Jourdan, C., (2011). Is the simple auger coring metod reliable for below-ground standing biomass estimation in Eucalyptus forest plantations, Ann Bot. 108(1), 221-230. </t>
  </si>
  <si>
    <t>http://www.ncbi.nlm.nih.gov/pmc/articles/PMC3119613/</t>
  </si>
  <si>
    <t>Eucalyptus Urophylla Biomass Equations</t>
  </si>
  <si>
    <t>Eucalyptus Urophylla Growth Curves</t>
  </si>
  <si>
    <t>Density</t>
  </si>
  <si>
    <r>
      <t xml:space="preserve">RISE 2009 </t>
    </r>
    <r>
      <rPr>
        <i/>
        <sz val="9"/>
        <rFont val="AGaramondPro"/>
        <family val="2"/>
      </rPr>
      <t xml:space="preserve">Eucalyptus urophylla </t>
    </r>
    <r>
      <rPr>
        <sz val="9"/>
        <rFont val="AGaramondPro"/>
        <family val="2"/>
      </rPr>
      <t xml:space="preserve">and </t>
    </r>
    <r>
      <rPr>
        <i/>
        <sz val="9"/>
        <rFont val="AGaramondPro"/>
        <family val="2"/>
      </rPr>
      <t xml:space="preserve">Acacia mangium. </t>
    </r>
    <r>
      <rPr>
        <sz val="9"/>
        <rFont val="AGaramondPro"/>
        <family val="2"/>
      </rPr>
      <t>Volume 21, No.1. Ecosystem Research</t>
    </r>
  </si>
  <si>
    <r>
      <t xml:space="preserve">MARD 2001 Volume and yield tables for </t>
    </r>
    <r>
      <rPr>
        <i/>
        <sz val="9"/>
        <rFont val="AGaramondPro"/>
        <family val="2"/>
      </rPr>
      <t xml:space="preserve">Acacia mangium </t>
    </r>
    <r>
      <rPr>
        <sz val="9"/>
        <rFont val="AGaramondPro"/>
        <family val="2"/>
      </rPr>
      <t xml:space="preserve">and </t>
    </r>
    <r>
      <rPr>
        <i/>
        <sz val="9"/>
        <rFont val="AGaramondPro"/>
        <family val="2"/>
      </rPr>
      <t xml:space="preserve">Eucalyptus urophylla. </t>
    </r>
    <r>
      <rPr>
        <sz val="9"/>
        <rFont val="AGaramondPro"/>
        <family val="2"/>
      </rPr>
      <t xml:space="preserve">Agricultural Publishing House, Hanoi, Vietnam. </t>
    </r>
  </si>
  <si>
    <r>
      <t xml:space="preserve">Turnbull, J.W. &amp; Doran, J.C., 1997. </t>
    </r>
    <r>
      <rPr>
        <i/>
        <sz val="8"/>
        <rFont val="Verdana"/>
        <family val="2"/>
      </rPr>
      <t>Eucalyptus urophylla</t>
    </r>
    <r>
      <rPr>
        <sz val="8"/>
        <rFont val="Verdana"/>
        <family val="2"/>
      </rPr>
      <t xml:space="preserve"> S.T. Blake[Internet] Record from Proseabase. Faridah Hanum, I &amp; van der Maesen, L.J.G. (Editors).</t>
    </r>
  </si>
  <si>
    <r>
      <t xml:space="preserve">Sein, C.C. and Mitlöhner, R. 2011 </t>
    </r>
    <r>
      <rPr>
        <i/>
        <sz val="8"/>
        <rFont val="MyriadPro"/>
        <family val="2"/>
      </rPr>
      <t xml:space="preserve">Eucalyptus urophylla </t>
    </r>
    <r>
      <rPr>
        <sz val="8"/>
        <rFont val="MyriadPro"/>
      </rPr>
      <t xml:space="preserve">S.T. Blake: ecology and silviculture. CIFOR, Bogor, Indonesia. </t>
    </r>
  </si>
  <si>
    <t>The largest E. urophylla plantations are in Brazil. In recent years the popularity of this species has increased markedly for plantations in humid and sub-humid tropical climates that endure several months of drought annually (the wet/dry tropics) such as parts of Indonesia, Brazil and southern China (Eldridge et al. 1993). Yields of 20-30 m³ ha-¹ yr-¹ have been reported under favourable growing conditions.  Provenance selection is very important with low-altitude provenances usually giving the highest yields (National Academy of Science 1983). In a trial near Edea, Cameroon, Africa an 8-year E. urophylla rotation on a suitable, well-prepared site obtained a MAI of 30 m³ ha-¹ yr-¹ following provenance screening (Eldridge et al. 1993). At Mangombe, Cameroon (altitude 30 m, rainfall 2,600 mm) the MAI from a low-altitude source near Mt Egon, Flores was 83 m³ ha-¹ yr-¹ at age 8 years (Eldridge et al. 1993). In Loudima, in the Republic of Congo, growth of the Mt Lewotobi provenance from Flores was approximately 40 m³ ha-¹ yr-¹ at 5 years (Eldridge et al. 1993). In southern China there are about a million hectares of eucalypt plantations, mainly E. urophylla, E. grandis and E. camaldulensis, most of which have been established since the 1980s. Because past land use has degraded the soils, productivity has been very low (5-10 m³ ha-¹ yr-¹), and highly variable (3 to 30 m³ ha-¹ yr-¹) (Bai and Gan 1996). Both genetic improvement and fertilizer applications are required to sustain or improve productivity (Xu et al. 1998, Turnbull 1999).</t>
  </si>
  <si>
    <t>Root Shoot Ratio</t>
  </si>
  <si>
    <t>http://www.scielo.br/scielo.php?script=sci_arttext&amp;pid=S0100-67622015000200353&amp;lang=pt</t>
  </si>
  <si>
    <t>Ribeiro et al (2015)</t>
  </si>
  <si>
    <t>Rev. Árvore vol.39 no.2 Viçosa Mar./Apr. 2015</t>
  </si>
  <si>
    <t xml:space="preserve">http://dx.doi.org/10.1590/0100-67622015000200015 </t>
  </si>
  <si>
    <t>ABOVEGROUND AND BELOWGROUND BIOMASS AND CARBON ESTIMATES FOR CLONAL EUCALYPTUS TREES IN SOUTHEAST BRAZIL</t>
  </si>
  <si>
    <r>
      <t>0.119931(D</t>
    </r>
    <r>
      <rPr>
        <vertAlign val="superscript"/>
        <sz val="10"/>
        <rFont val="Verdana"/>
        <family val="2"/>
      </rPr>
      <t>2.3610</t>
    </r>
    <r>
      <rPr>
        <sz val="10"/>
        <rFont val="Verdana"/>
        <family val="2"/>
      </rPr>
      <t>)</t>
    </r>
  </si>
  <si>
    <r>
      <t>Average annual growth rate, B</t>
    </r>
    <r>
      <rPr>
        <b/>
        <vertAlign val="subscript"/>
        <sz val="10"/>
        <rFont val="Verdana"/>
        <family val="2"/>
      </rPr>
      <t xml:space="preserve">AGB_tree </t>
    </r>
    <r>
      <rPr>
        <b/>
        <sz val="10"/>
        <rFont val="Verdana"/>
        <family val="2"/>
      </rPr>
      <t xml:space="preserve"> (t d.m.tree</t>
    </r>
    <r>
      <rPr>
        <b/>
        <vertAlign val="superscript"/>
        <sz val="10"/>
        <rFont val="Verdana"/>
        <family val="2"/>
      </rPr>
      <t>-1</t>
    </r>
    <r>
      <rPr>
        <b/>
        <sz val="10"/>
        <rFont val="Verdana"/>
        <family val="2"/>
      </rPr>
      <t>.yr</t>
    </r>
    <r>
      <rPr>
        <b/>
        <vertAlign val="superscript"/>
        <sz val="10"/>
        <rFont val="Verdana"/>
        <family val="2"/>
      </rPr>
      <t>-1</t>
    </r>
    <r>
      <rPr>
        <b/>
        <sz val="10"/>
        <rFont val="Verdana"/>
        <family val="2"/>
      </rPr>
      <t>)</t>
    </r>
  </si>
  <si>
    <t>Eucalyptus Alba Growth Curves</t>
  </si>
  <si>
    <t>Table below not used in Abatement Calculations</t>
  </si>
  <si>
    <r>
      <t>CS</t>
    </r>
    <r>
      <rPr>
        <vertAlign val="subscript"/>
        <sz val="10"/>
        <color theme="0"/>
        <rFont val="Verdana"/>
        <family val="2"/>
      </rPr>
      <t>AGB_BGB</t>
    </r>
  </si>
  <si>
    <r>
      <t>C</t>
    </r>
    <r>
      <rPr>
        <vertAlign val="subscript"/>
        <sz val="10"/>
        <color theme="0"/>
        <rFont val="Verdana"/>
        <family val="2"/>
      </rPr>
      <t>AGB_BGB</t>
    </r>
  </si>
  <si>
    <r>
      <t>(t C. tree</t>
    </r>
    <r>
      <rPr>
        <vertAlign val="superscript"/>
        <sz val="10"/>
        <color theme="0"/>
        <rFont val="Verdana"/>
        <family val="2"/>
      </rPr>
      <t>-1.</t>
    </r>
    <r>
      <rPr>
        <sz val="10"/>
        <color theme="0"/>
        <rFont val="Verdana"/>
        <family val="2"/>
      </rPr>
      <t>yr</t>
    </r>
    <r>
      <rPr>
        <vertAlign val="superscript"/>
        <sz val="10"/>
        <color theme="0"/>
        <rFont val="Verdana"/>
        <family val="2"/>
      </rPr>
      <t>-1</t>
    </r>
    <r>
      <rPr>
        <sz val="10"/>
        <color theme="0"/>
        <rFont val="Verdana"/>
        <family val="2"/>
      </rPr>
      <t>)</t>
    </r>
  </si>
  <si>
    <r>
      <t>(t CO</t>
    </r>
    <r>
      <rPr>
        <vertAlign val="subscript"/>
        <sz val="10"/>
        <color theme="0"/>
        <rFont val="Verdana"/>
        <family val="2"/>
      </rPr>
      <t>2</t>
    </r>
    <r>
      <rPr>
        <sz val="10"/>
        <color theme="0"/>
        <rFont val="Verdana"/>
        <family val="2"/>
      </rPr>
      <t>e.tree</t>
    </r>
    <r>
      <rPr>
        <vertAlign val="superscript"/>
        <sz val="10"/>
        <color theme="0"/>
        <rFont val="Verdana"/>
        <family val="2"/>
      </rPr>
      <t>-1</t>
    </r>
    <r>
      <rPr>
        <sz val="10"/>
        <color theme="0"/>
        <rFont val="Verdana"/>
        <family val="2"/>
      </rPr>
      <t>.yr</t>
    </r>
    <r>
      <rPr>
        <vertAlign val="superscript"/>
        <sz val="10"/>
        <color theme="0"/>
        <rFont val="Verdana"/>
        <family val="2"/>
      </rPr>
      <t>-1</t>
    </r>
    <r>
      <rPr>
        <sz val="10"/>
        <color theme="0"/>
        <rFont val="Verdana"/>
        <family val="2"/>
      </rPr>
      <t>)</t>
    </r>
  </si>
  <si>
    <r>
      <t>Total Sequestration using Average annual growth rate (tCO</t>
    </r>
    <r>
      <rPr>
        <vertAlign val="subscript"/>
        <sz val="10"/>
        <color theme="0"/>
        <rFont val="Verdana"/>
        <family val="2"/>
      </rPr>
      <t>2</t>
    </r>
    <r>
      <rPr>
        <sz val="10"/>
        <color theme="0"/>
        <rFont val="Verdana"/>
        <family val="2"/>
      </rPr>
      <t>e)</t>
    </r>
  </si>
  <si>
    <t>Age</t>
  </si>
  <si>
    <t>Tectona Grandis growth models</t>
  </si>
  <si>
    <t>Tectona Grandis biomass equations</t>
  </si>
  <si>
    <t>DBH (cm)</t>
  </si>
  <si>
    <t>Siregar</t>
  </si>
  <si>
    <t>IPCC</t>
  </si>
  <si>
    <t>B (kg/tree)</t>
  </si>
  <si>
    <r>
      <t>Total Sequestration (tCO</t>
    </r>
    <r>
      <rPr>
        <vertAlign val="subscript"/>
        <sz val="10"/>
        <color theme="0"/>
        <rFont val="Verdana"/>
        <family val="2"/>
      </rPr>
      <t>2</t>
    </r>
    <r>
      <rPr>
        <sz val="10"/>
        <color theme="0"/>
        <rFont val="Verdana"/>
        <family val="2"/>
      </rPr>
      <t>e)</t>
    </r>
  </si>
  <si>
    <r>
      <t>Average annual growth rate, C</t>
    </r>
    <r>
      <rPr>
        <vertAlign val="subscript"/>
        <sz val="10"/>
        <color theme="0"/>
        <rFont val="Verdana"/>
        <family val="2"/>
      </rPr>
      <t xml:space="preserve">AGB_tree </t>
    </r>
    <r>
      <rPr>
        <sz val="10"/>
        <color theme="0"/>
        <rFont val="Verdana"/>
        <family val="2"/>
      </rPr>
      <t xml:space="preserve"> (t CO</t>
    </r>
    <r>
      <rPr>
        <vertAlign val="subscript"/>
        <sz val="10"/>
        <color theme="0"/>
        <rFont val="Verdana"/>
        <family val="2"/>
      </rPr>
      <t>2</t>
    </r>
    <r>
      <rPr>
        <sz val="10"/>
        <color theme="0"/>
        <rFont val="Verdana"/>
        <family val="2"/>
      </rPr>
      <t>e.tree</t>
    </r>
    <r>
      <rPr>
        <vertAlign val="superscript"/>
        <sz val="10"/>
        <color theme="0"/>
        <rFont val="Verdana"/>
        <family val="2"/>
      </rPr>
      <t>-1</t>
    </r>
    <r>
      <rPr>
        <sz val="10"/>
        <color theme="0"/>
        <rFont val="Verdana"/>
        <family val="2"/>
      </rPr>
      <t>.yr</t>
    </r>
    <r>
      <rPr>
        <vertAlign val="superscript"/>
        <sz val="10"/>
        <color theme="0"/>
        <rFont val="Verdana"/>
        <family val="2"/>
      </rPr>
      <t>-1</t>
    </r>
    <r>
      <rPr>
        <sz val="10"/>
        <color theme="0"/>
        <rFont val="Verdana"/>
        <family val="2"/>
      </rPr>
      <t>)</t>
    </r>
  </si>
  <si>
    <r>
      <t>C</t>
    </r>
    <r>
      <rPr>
        <vertAlign val="subscript"/>
        <sz val="10"/>
        <color theme="0"/>
        <rFont val="Verdana"/>
        <family val="2"/>
      </rPr>
      <t>total</t>
    </r>
  </si>
  <si>
    <r>
      <t>(t CO</t>
    </r>
    <r>
      <rPr>
        <vertAlign val="subscript"/>
        <sz val="10"/>
        <color theme="0"/>
        <rFont val="Verdana"/>
        <family val="2"/>
      </rPr>
      <t>2</t>
    </r>
    <r>
      <rPr>
        <sz val="10"/>
        <color theme="0"/>
        <rFont val="Verdana"/>
        <family val="2"/>
      </rPr>
      <t>e.yr</t>
    </r>
    <r>
      <rPr>
        <vertAlign val="superscript"/>
        <sz val="10"/>
        <color theme="0"/>
        <rFont val="Verdana"/>
        <family val="2"/>
      </rPr>
      <t>-1</t>
    </r>
    <r>
      <rPr>
        <sz val="10"/>
        <color theme="0"/>
        <rFont val="Verdana"/>
        <family val="2"/>
      </rPr>
      <t>)</t>
    </r>
  </si>
  <si>
    <r>
      <t>B</t>
    </r>
    <r>
      <rPr>
        <vertAlign val="subscript"/>
        <sz val="10"/>
        <rFont val="Verdana"/>
        <family val="2"/>
      </rPr>
      <t>AGB_tree,i,t</t>
    </r>
  </si>
  <si>
    <r>
      <t>B</t>
    </r>
    <r>
      <rPr>
        <vertAlign val="subscript"/>
        <sz val="10"/>
        <rFont val="Verdana"/>
        <family val="2"/>
      </rPr>
      <t>AGB_BGB,i,t</t>
    </r>
  </si>
  <si>
    <r>
      <t>AB</t>
    </r>
    <r>
      <rPr>
        <b/>
        <vertAlign val="subscript"/>
        <sz val="10"/>
        <rFont val="Verdana"/>
        <family val="2"/>
      </rPr>
      <t>AGB_BGB,i,t</t>
    </r>
  </si>
  <si>
    <r>
      <t>B</t>
    </r>
    <r>
      <rPr>
        <vertAlign val="subscript"/>
        <sz val="10"/>
        <rFont val="Verdana"/>
        <family val="2"/>
      </rPr>
      <t>AGB_tree</t>
    </r>
  </si>
  <si>
    <r>
      <t>Cumulative CO</t>
    </r>
    <r>
      <rPr>
        <vertAlign val="subscript"/>
        <sz val="10"/>
        <rFont val="Calibri"/>
        <family val="2"/>
        <scheme val="minor"/>
      </rPr>
      <t>2_</t>
    </r>
    <r>
      <rPr>
        <sz val="10"/>
        <rFont val="Calibri"/>
        <family val="2"/>
        <scheme val="minor"/>
      </rPr>
      <t>certificates,t</t>
    </r>
  </si>
  <si>
    <r>
      <t>Cumulative CO</t>
    </r>
    <r>
      <rPr>
        <vertAlign val="subscript"/>
        <sz val="10"/>
        <rFont val="Calibri"/>
        <family val="2"/>
        <scheme val="minor"/>
      </rPr>
      <t>2_</t>
    </r>
    <r>
      <rPr>
        <sz val="10"/>
        <rFont val="Calibri"/>
        <family val="2"/>
        <scheme val="minor"/>
      </rPr>
      <t>certificates</t>
    </r>
    <r>
      <rPr>
        <vertAlign val="subscript"/>
        <sz val="10"/>
        <rFont val="Calibri"/>
        <family val="2"/>
        <scheme val="minor"/>
      </rPr>
      <t>MU,t</t>
    </r>
  </si>
  <si>
    <r>
      <t>Annual CO</t>
    </r>
    <r>
      <rPr>
        <vertAlign val="subscript"/>
        <sz val="10"/>
        <rFont val="Calibri"/>
        <family val="2"/>
        <scheme val="minor"/>
      </rPr>
      <t>2_</t>
    </r>
    <r>
      <rPr>
        <sz val="10"/>
        <rFont val="Calibri"/>
        <family val="2"/>
        <scheme val="minor"/>
      </rPr>
      <t>certificates</t>
    </r>
    <r>
      <rPr>
        <vertAlign val="subscript"/>
        <sz val="10"/>
        <rFont val="Calibri"/>
        <family val="2"/>
        <scheme val="minor"/>
      </rPr>
      <t>MU,t</t>
    </r>
  </si>
  <si>
    <r>
      <t>Baseline</t>
    </r>
    <r>
      <rPr>
        <vertAlign val="subscript"/>
        <sz val="10"/>
        <rFont val="Calibri"/>
        <family val="2"/>
        <scheme val="minor"/>
      </rPr>
      <t>MU,t=1</t>
    </r>
  </si>
  <si>
    <r>
      <t>Average annual growth rate, AB</t>
    </r>
    <r>
      <rPr>
        <b/>
        <vertAlign val="subscript"/>
        <sz val="10"/>
        <rFont val="Verdana"/>
        <family val="2"/>
      </rPr>
      <t xml:space="preserve">AvAGB_BGB,i,t </t>
    </r>
    <r>
      <rPr>
        <b/>
        <sz val="10"/>
        <rFont val="Verdana"/>
        <family val="2"/>
      </rPr>
      <t xml:space="preserve"> (t d.m.tree</t>
    </r>
    <r>
      <rPr>
        <b/>
        <vertAlign val="superscript"/>
        <sz val="10"/>
        <rFont val="Verdana"/>
        <family val="2"/>
      </rPr>
      <t>-1</t>
    </r>
    <r>
      <rPr>
        <b/>
        <sz val="10"/>
        <rFont val="Verdana"/>
        <family val="2"/>
      </rPr>
      <t>.yr</t>
    </r>
    <r>
      <rPr>
        <b/>
        <vertAlign val="superscript"/>
        <sz val="10"/>
        <rFont val="Verdana"/>
        <family val="2"/>
      </rPr>
      <t>-1</t>
    </r>
    <r>
      <rPr>
        <b/>
        <sz val="10"/>
        <rFont val="Verdana"/>
        <family val="2"/>
      </rPr>
      <t>)</t>
    </r>
  </si>
  <si>
    <r>
      <t>Average annual CO2 Fixation, AC</t>
    </r>
    <r>
      <rPr>
        <b/>
        <vertAlign val="subscript"/>
        <sz val="10"/>
        <rFont val="Verdana"/>
        <family val="2"/>
      </rPr>
      <t xml:space="preserve">AvAGB_BGB,i,t </t>
    </r>
    <r>
      <rPr>
        <b/>
        <sz val="10"/>
        <rFont val="Verdana"/>
        <family val="2"/>
      </rPr>
      <t xml:space="preserve"> (t CO</t>
    </r>
    <r>
      <rPr>
        <b/>
        <vertAlign val="subscript"/>
        <sz val="10"/>
        <rFont val="Verdana"/>
        <family val="2"/>
      </rPr>
      <t>2</t>
    </r>
    <r>
      <rPr>
        <b/>
        <sz val="10"/>
        <rFont val="Verdana"/>
        <family val="2"/>
      </rPr>
      <t>e.tree</t>
    </r>
    <r>
      <rPr>
        <b/>
        <vertAlign val="superscript"/>
        <sz val="10"/>
        <rFont val="Verdana"/>
        <family val="2"/>
      </rPr>
      <t>-1</t>
    </r>
    <r>
      <rPr>
        <b/>
        <sz val="10"/>
        <rFont val="Verdana"/>
        <family val="2"/>
      </rPr>
      <t>.yr</t>
    </r>
    <r>
      <rPr>
        <b/>
        <vertAlign val="superscript"/>
        <sz val="10"/>
        <rFont val="Verdana"/>
        <family val="2"/>
      </rPr>
      <t>-1</t>
    </r>
    <r>
      <rPr>
        <b/>
        <sz val="10"/>
        <rFont val="Verdana"/>
        <family val="2"/>
      </rPr>
      <t>)</t>
    </r>
  </si>
  <si>
    <t>Species i</t>
  </si>
  <si>
    <r>
      <t>A</t>
    </r>
    <r>
      <rPr>
        <vertAlign val="subscript"/>
        <sz val="10"/>
        <rFont val="Calibri"/>
        <family val="2"/>
        <scheme val="minor"/>
      </rPr>
      <t>MU,t</t>
    </r>
  </si>
  <si>
    <r>
      <t>CO</t>
    </r>
    <r>
      <rPr>
        <vertAlign val="subscript"/>
        <sz val="10"/>
        <rFont val="Calibri"/>
        <family val="2"/>
        <scheme val="minor"/>
      </rPr>
      <t>2</t>
    </r>
    <r>
      <rPr>
        <sz val="10"/>
        <rFont val="Calibri"/>
        <family val="2"/>
        <scheme val="minor"/>
      </rPr>
      <t>_Soil</t>
    </r>
    <r>
      <rPr>
        <vertAlign val="subscript"/>
        <sz val="10"/>
        <rFont val="Calibri"/>
        <family val="2"/>
        <scheme val="minor"/>
      </rPr>
      <t>MU,t</t>
    </r>
  </si>
  <si>
    <r>
      <t>(tCO</t>
    </r>
    <r>
      <rPr>
        <b/>
        <i/>
        <vertAlign val="subscript"/>
        <sz val="10"/>
        <rFont val="Calibri"/>
        <family val="2"/>
        <scheme val="minor"/>
      </rPr>
      <t>2</t>
    </r>
    <r>
      <rPr>
        <b/>
        <i/>
        <sz val="10"/>
        <rFont val="Calibri"/>
        <family val="2"/>
        <scheme val="minor"/>
      </rPr>
      <t>e.tree</t>
    </r>
    <r>
      <rPr>
        <b/>
        <i/>
        <vertAlign val="superscript"/>
        <sz val="10"/>
        <rFont val="Calibri"/>
        <family val="2"/>
        <scheme val="minor"/>
      </rPr>
      <t>-1</t>
    </r>
    <r>
      <rPr>
        <b/>
        <i/>
        <sz val="10"/>
        <rFont val="Calibri"/>
        <family val="2"/>
        <scheme val="minor"/>
      </rPr>
      <t>.yr</t>
    </r>
    <r>
      <rPr>
        <b/>
        <i/>
        <vertAlign val="superscript"/>
        <sz val="10"/>
        <rFont val="Calibri"/>
        <family val="2"/>
        <scheme val="minor"/>
      </rPr>
      <t>-1</t>
    </r>
    <r>
      <rPr>
        <b/>
        <i/>
        <sz val="10"/>
        <rFont val="Calibri"/>
        <family val="2"/>
        <scheme val="minor"/>
      </rPr>
      <t>)</t>
    </r>
  </si>
  <si>
    <r>
      <t>CO2_Fixation</t>
    </r>
    <r>
      <rPr>
        <b/>
        <vertAlign val="subscript"/>
        <sz val="10"/>
        <rFont val="Arial"/>
        <family val="2"/>
      </rPr>
      <t>MU,i,t</t>
    </r>
  </si>
  <si>
    <r>
      <t>CO2_Fixation</t>
    </r>
    <r>
      <rPr>
        <b/>
        <vertAlign val="subscript"/>
        <sz val="10"/>
        <rFont val="Arial"/>
        <family val="2"/>
      </rPr>
      <t>MU,t</t>
    </r>
  </si>
  <si>
    <r>
      <t>AC</t>
    </r>
    <r>
      <rPr>
        <b/>
        <i/>
        <vertAlign val="subscript"/>
        <sz val="10"/>
        <rFont val="Calibri"/>
        <family val="2"/>
        <scheme val="minor"/>
      </rPr>
      <t>AvAGB_BGB,i,t</t>
    </r>
  </si>
  <si>
    <r>
      <t>N</t>
    </r>
    <r>
      <rPr>
        <b/>
        <vertAlign val="subscript"/>
        <sz val="10"/>
        <rFont val="Arial"/>
        <family val="2"/>
      </rPr>
      <t>trees,MU,i,t</t>
    </r>
  </si>
  <si>
    <r>
      <t>(tCO</t>
    </r>
    <r>
      <rPr>
        <b/>
        <i/>
        <vertAlign val="subscript"/>
        <sz val="10"/>
        <rFont val="Calibri"/>
        <family val="2"/>
        <scheme val="minor"/>
      </rPr>
      <t>2</t>
    </r>
    <r>
      <rPr>
        <b/>
        <i/>
        <sz val="10"/>
        <rFont val="Calibri"/>
        <family val="2"/>
        <scheme val="minor"/>
      </rPr>
      <t>e. ha</t>
    </r>
    <r>
      <rPr>
        <b/>
        <i/>
        <vertAlign val="superscript"/>
        <sz val="10"/>
        <rFont val="Calibri"/>
        <family val="2"/>
        <scheme val="minor"/>
      </rPr>
      <t>-1</t>
    </r>
    <r>
      <rPr>
        <b/>
        <i/>
        <sz val="10"/>
        <rFont val="Calibri"/>
        <family val="2"/>
        <scheme val="minor"/>
      </rPr>
      <t>.yr</t>
    </r>
    <r>
      <rPr>
        <b/>
        <i/>
        <vertAlign val="superscript"/>
        <sz val="10"/>
        <rFont val="Calibri"/>
        <family val="2"/>
        <scheme val="minor"/>
      </rPr>
      <t>-1</t>
    </r>
    <r>
      <rPr>
        <b/>
        <i/>
        <sz val="10"/>
        <rFont val="Calibri"/>
        <family val="2"/>
        <scheme val="minor"/>
      </rPr>
      <t>)</t>
    </r>
  </si>
  <si>
    <t>Existing Tree Biomass</t>
  </si>
  <si>
    <r>
      <t>CO</t>
    </r>
    <r>
      <rPr>
        <b/>
        <i/>
        <vertAlign val="subscript"/>
        <sz val="10"/>
        <rFont val="Calibri"/>
        <family val="2"/>
        <scheme val="minor"/>
      </rPr>
      <t>2</t>
    </r>
    <r>
      <rPr>
        <b/>
        <i/>
        <sz val="10"/>
        <rFont val="Calibri"/>
        <family val="2"/>
        <scheme val="minor"/>
      </rPr>
      <t xml:space="preserve"> Fixation Summary</t>
    </r>
  </si>
  <si>
    <t>http://www.ipcc.ch/meetings/session25/doc4a4b/vol2.pdf</t>
  </si>
  <si>
    <t>Table 1.2</t>
  </si>
  <si>
    <t>NCVmotofuel</t>
  </si>
  <si>
    <t>http://www.newworldencyclopedia.org/entry/Gasoline</t>
  </si>
  <si>
    <t>0.71-0.77</t>
  </si>
  <si>
    <t>kg/L</t>
  </si>
  <si>
    <t>Table 1.4</t>
  </si>
  <si>
    <t>EF(CO2)</t>
  </si>
  <si>
    <t>kgCO2/TJ</t>
  </si>
  <si>
    <t>TJ/Gg</t>
  </si>
  <si>
    <t>L/yr</t>
  </si>
  <si>
    <t>kg/yr</t>
  </si>
  <si>
    <t>kgCO2/yr</t>
  </si>
  <si>
    <t>tCO2/yr</t>
  </si>
  <si>
    <t>2014/2015</t>
  </si>
  <si>
    <t>t dm/ha</t>
  </si>
  <si>
    <t>t C/ha</t>
  </si>
  <si>
    <t>Openshaw (2007)</t>
  </si>
  <si>
    <t>t CO2/ha</t>
  </si>
  <si>
    <t>Country</t>
  </si>
  <si>
    <t>East Timor</t>
  </si>
  <si>
    <t>Indonesia</t>
  </si>
  <si>
    <t>Phiilipines</t>
  </si>
  <si>
    <t>Prasetyo et al (2000)</t>
  </si>
  <si>
    <t>Lasco (2002)</t>
  </si>
  <si>
    <t>IPCC(2006) dry</t>
  </si>
  <si>
    <t>IPCC(2006) average</t>
  </si>
  <si>
    <t>IPCC(2006) moist</t>
  </si>
  <si>
    <t>International</t>
  </si>
  <si>
    <t>CO2(AGB)</t>
  </si>
  <si>
    <t>C(AGB)</t>
  </si>
  <si>
    <t>B(AGB)</t>
  </si>
  <si>
    <t>RSR</t>
  </si>
  <si>
    <t>CO2(total)</t>
  </si>
  <si>
    <t>Grassland Biomass Literature Comparison</t>
  </si>
  <si>
    <t>MU 01</t>
  </si>
  <si>
    <t>MU 02</t>
  </si>
  <si>
    <r>
      <t xml:space="preserve">Baseline </t>
    </r>
    <r>
      <rPr>
        <b/>
        <sz val="7"/>
        <color rgb="FF008000"/>
        <rFont val="Calibri"/>
        <family val="2"/>
        <scheme val="minor"/>
      </rPr>
      <t>non-tree biomass</t>
    </r>
    <r>
      <rPr>
        <b/>
        <sz val="9"/>
        <color rgb="FF008000"/>
        <rFont val="Calibri"/>
        <family val="2"/>
        <scheme val="minor"/>
      </rPr>
      <t xml:space="preserve"> (tCO2/ha)</t>
    </r>
  </si>
  <si>
    <t>Gold Standard</t>
  </si>
  <si>
    <t>Reference</t>
  </si>
  <si>
    <t>Value</t>
  </si>
  <si>
    <t>Units</t>
  </si>
  <si>
    <t>Symbol</t>
  </si>
  <si>
    <t>Qfuel</t>
  </si>
  <si>
    <t>Fuel Emissions</t>
  </si>
  <si>
    <t>Areas</t>
  </si>
  <si>
    <t>worksheet: 'GIS Area Results'</t>
  </si>
  <si>
    <t>Percent of cropland in dry climate zone</t>
  </si>
  <si>
    <t>Percent of cropland in Moist climate zone</t>
  </si>
  <si>
    <t>For perennial crops at 4.98%</t>
  </si>
  <si>
    <t>Planted Tree Species</t>
  </si>
  <si>
    <t>Material significance of Project Emissions</t>
  </si>
  <si>
    <t>based on 2014-2015 fuel usage</t>
  </si>
  <si>
    <t>Other Emissions</t>
  </si>
  <si>
    <t>Modeling Unit</t>
  </si>
  <si>
    <t>Baseline Summary</t>
  </si>
  <si>
    <t>Cropland-Midlands</t>
  </si>
  <si>
    <t>Grassland-Highlands</t>
  </si>
  <si>
    <t>Description</t>
  </si>
  <si>
    <r>
      <t>(tCO</t>
    </r>
    <r>
      <rPr>
        <b/>
        <i/>
        <vertAlign val="subscript"/>
        <sz val="10"/>
        <rFont val="Calibri"/>
        <family val="2"/>
        <scheme val="minor"/>
      </rPr>
      <t>2</t>
    </r>
    <r>
      <rPr>
        <b/>
        <i/>
        <sz val="10"/>
        <rFont val="Calibri"/>
        <family val="2"/>
        <scheme val="minor"/>
      </rPr>
      <t>/ha)</t>
    </r>
  </si>
  <si>
    <r>
      <t>(tCO</t>
    </r>
    <r>
      <rPr>
        <b/>
        <i/>
        <vertAlign val="subscript"/>
        <sz val="10"/>
        <rFont val="Calibri"/>
        <family val="2"/>
        <scheme val="minor"/>
      </rPr>
      <t>2</t>
    </r>
    <r>
      <rPr>
        <b/>
        <i/>
        <sz val="10"/>
        <rFont val="Calibri"/>
        <family val="2"/>
        <scheme val="minor"/>
      </rPr>
      <t>/ha/yr)</t>
    </r>
  </si>
  <si>
    <t>Source: 'Baseline Carbon Stock' worksheet</t>
  </si>
  <si>
    <t>Timor Leste Community Forestry Project</t>
  </si>
  <si>
    <r>
      <t>CO</t>
    </r>
    <r>
      <rPr>
        <b/>
        <i/>
        <vertAlign val="subscript"/>
        <sz val="13"/>
        <rFont val="Calibri"/>
        <family val="2"/>
        <scheme val="minor"/>
      </rPr>
      <t>2</t>
    </r>
    <r>
      <rPr>
        <b/>
        <i/>
        <sz val="13"/>
        <rFont val="Calibri"/>
        <family val="2"/>
        <scheme val="minor"/>
      </rPr>
      <t xml:space="preserve"> Certificate Calculations</t>
    </r>
  </si>
  <si>
    <t>For guidance for these calculations, please refer to the file: GS4210 Timor Leste Community Forestry Project - GHG Accounting Guide.docx</t>
  </si>
  <si>
    <t>Worksheet Name</t>
  </si>
  <si>
    <t xml:space="preserve">  'C. Equis'</t>
  </si>
  <si>
    <t xml:space="preserve">  'S.Macro'</t>
  </si>
  <si>
    <t xml:space="preserve">  'T. Grandis'</t>
  </si>
  <si>
    <t xml:space="preserve">  'E. Uro'</t>
  </si>
  <si>
    <t xml:space="preserve">  'E.Alba'</t>
  </si>
  <si>
    <r>
      <t>CO</t>
    </r>
    <r>
      <rPr>
        <b/>
        <i/>
        <vertAlign val="subscript"/>
        <sz val="10"/>
        <rFont val="Calibri"/>
        <family val="2"/>
        <scheme val="minor"/>
      </rPr>
      <t>2</t>
    </r>
    <r>
      <rPr>
        <b/>
        <i/>
        <sz val="10"/>
        <rFont val="Calibri"/>
        <family val="2"/>
        <scheme val="minor"/>
      </rPr>
      <t>_Soil</t>
    </r>
    <r>
      <rPr>
        <b/>
        <i/>
        <vertAlign val="subscript"/>
        <sz val="10"/>
        <rFont val="Calibri"/>
        <family val="2"/>
        <scheme val="minor"/>
      </rPr>
      <t>MU,t</t>
    </r>
  </si>
  <si>
    <r>
      <t>Baseline</t>
    </r>
    <r>
      <rPr>
        <b/>
        <i/>
        <vertAlign val="subscript"/>
        <sz val="10"/>
        <rFont val="Calibri"/>
        <family val="2"/>
        <scheme val="minor"/>
      </rPr>
      <t>MU,t=1</t>
    </r>
  </si>
  <si>
    <t>Actual Number of trees planted each year that survived [Source: annual GPS data of planted trees]</t>
  </si>
  <si>
    <t>Source: 'AR-Soil-Carbon-Tool.xlsm'</t>
  </si>
  <si>
    <t>Long-term crops</t>
  </si>
  <si>
    <r>
      <t>Annual CO</t>
    </r>
    <r>
      <rPr>
        <vertAlign val="subscript"/>
        <sz val="10"/>
        <rFont val="Calibri"/>
        <family val="2"/>
        <scheme val="minor"/>
      </rPr>
      <t>2_</t>
    </r>
    <r>
      <rPr>
        <sz val="10"/>
        <rFont val="Calibri"/>
        <family val="2"/>
        <scheme val="minor"/>
      </rPr>
      <t>certificates,t</t>
    </r>
  </si>
  <si>
    <t xml:space="preserve">In the World Bank Scoping Study in Timor Leste (WB 2007), Openshaw estimated 40 t d.m/ha for large coffee plantations and 70 t d.m/ha for smaller coconut plantations.  </t>
  </si>
  <si>
    <t>Initial PFA review round  - Perennial Long-term Cropland Biomass Literature Comparison</t>
  </si>
  <si>
    <t>REVISED - Perennial Long-term Cropland Biomass Literature Comparison</t>
  </si>
  <si>
    <t>Not planting in long-term crop areas</t>
  </si>
  <si>
    <t>trees/ha</t>
  </si>
  <si>
    <t>MU01- Croplands</t>
  </si>
  <si>
    <t>MU02- Grasslands</t>
  </si>
  <si>
    <t>No planting in Long-term cropland areas</t>
  </si>
  <si>
    <t>Merged/ Combined/ Common</t>
  </si>
  <si>
    <t>EPA over Cropland</t>
  </si>
  <si>
    <t>EPA over Grassland</t>
  </si>
  <si>
    <t>Year</t>
  </si>
  <si>
    <r>
      <t>A</t>
    </r>
    <r>
      <rPr>
        <vertAlign val="subscript"/>
        <sz val="10"/>
        <rFont val="Calibri"/>
        <family val="2"/>
        <scheme val="minor"/>
      </rPr>
      <t>TOTAL,t</t>
    </r>
  </si>
  <si>
    <t>MU01 - Croplands</t>
  </si>
  <si>
    <t>MU02 -  Grasslands</t>
  </si>
  <si>
    <t>by difference</t>
  </si>
  <si>
    <t xml:space="preserve">Planting </t>
  </si>
  <si>
    <t>Cumulative EPA YEAR.shp</t>
  </si>
  <si>
    <t>CumulativeEPA YEAR Clipped.shp</t>
  </si>
  <si>
    <t>using Land_Use_Cropland.shp</t>
  </si>
  <si>
    <t>S. Macrophylla</t>
  </si>
  <si>
    <t>Factor applied for</t>
  </si>
  <si>
    <t>over 20 years</t>
  </si>
  <si>
    <t>* Baseline applied for every year there is an increase in planting area</t>
  </si>
  <si>
    <t>the first year*</t>
  </si>
  <si>
    <t>Estimates based on 2010-2015 Average</t>
  </si>
  <si>
    <t>application of soil carbon ends at 20 years - start deleting areas of the initial years</t>
  </si>
  <si>
    <t>EPA (ha)</t>
  </si>
  <si>
    <t>Projected</t>
  </si>
  <si>
    <t>Additional</t>
  </si>
  <si>
    <t>*where all new planted trees add area</t>
  </si>
  <si>
    <t>*where not all new planted trees add area - could be overlap</t>
  </si>
  <si>
    <t>Planting Projections</t>
  </si>
  <si>
    <t>Areas derived from GIS -  See 'GIS Area Results'</t>
  </si>
  <si>
    <r>
      <t>D</t>
    </r>
    <r>
      <rPr>
        <vertAlign val="subscript"/>
        <sz val="11"/>
        <rFont val="Calibri"/>
        <family val="2"/>
      </rPr>
      <t>crown,i</t>
    </r>
    <r>
      <rPr>
        <sz val="11"/>
        <rFont val="Calibri"/>
        <family val="2"/>
      </rPr>
      <t xml:space="preserve"> (m)</t>
    </r>
  </si>
  <si>
    <t>Crown Diameter</t>
  </si>
  <si>
    <r>
      <t>A</t>
    </r>
    <r>
      <rPr>
        <vertAlign val="subscript"/>
        <sz val="11"/>
        <rFont val="Calibri"/>
        <family val="2"/>
      </rPr>
      <t>crown,i</t>
    </r>
    <r>
      <rPr>
        <sz val="11"/>
        <rFont val="Calibri"/>
        <family val="2"/>
      </rPr>
      <t xml:space="preserve"> (ha)</t>
    </r>
  </si>
  <si>
    <r>
      <t>N</t>
    </r>
    <r>
      <rPr>
        <vertAlign val="subscript"/>
        <sz val="11"/>
        <rFont val="Calibri"/>
        <family val="2"/>
      </rPr>
      <t>species,i</t>
    </r>
    <r>
      <rPr>
        <sz val="11"/>
        <rFont val="Calibri"/>
        <family val="2"/>
      </rPr>
      <t xml:space="preserve"> (trees)</t>
    </r>
  </si>
  <si>
    <t>Trees per species</t>
  </si>
  <si>
    <r>
      <t>A</t>
    </r>
    <r>
      <rPr>
        <vertAlign val="subscript"/>
        <sz val="11"/>
        <rFont val="Calibri"/>
        <family val="2"/>
      </rPr>
      <t>crown,I,n</t>
    </r>
    <r>
      <rPr>
        <sz val="11"/>
        <rFont val="Calibri"/>
        <family val="2"/>
      </rPr>
      <t xml:space="preserve"> (ha)</t>
    </r>
  </si>
  <si>
    <t>Crown Area per tree</t>
  </si>
  <si>
    <t>Crown Area per species</t>
  </si>
  <si>
    <t>additional no overlaps</t>
  </si>
  <si>
    <t>Number of trees planted (trees/cum. ha)</t>
  </si>
  <si>
    <t>Please note, that at present the EPA estimated are based on crown area only and are thus conservative.</t>
  </si>
  <si>
    <t>5.5 -Template (b)</t>
  </si>
  <si>
    <r>
      <t>Soil Sequestration per MU (tCO</t>
    </r>
    <r>
      <rPr>
        <b/>
        <vertAlign val="subscript"/>
        <sz val="10"/>
        <rFont val="Arial"/>
        <family val="2"/>
      </rPr>
      <t>2</t>
    </r>
    <r>
      <rPr>
        <b/>
        <sz val="10"/>
        <rFont val="Arial"/>
        <family val="2"/>
      </rPr>
      <t>e.</t>
    </r>
    <r>
      <rPr>
        <b/>
        <sz val="10"/>
        <rFont val="Arial"/>
        <family val="2"/>
      </rPr>
      <t>yr</t>
    </r>
    <r>
      <rPr>
        <b/>
        <vertAlign val="superscript"/>
        <sz val="10"/>
        <rFont val="Arial"/>
        <family val="2"/>
      </rPr>
      <t>-1</t>
    </r>
    <r>
      <rPr>
        <b/>
        <sz val="10"/>
        <rFont val="Arial"/>
        <family val="2"/>
      </rPr>
      <t>)</t>
    </r>
  </si>
  <si>
    <r>
      <t>Eligible Planted Area per MU (ha.yr</t>
    </r>
    <r>
      <rPr>
        <b/>
        <vertAlign val="superscript"/>
        <sz val="10"/>
        <rFont val="Arial"/>
        <family val="2"/>
      </rPr>
      <t>-1</t>
    </r>
    <r>
      <rPr>
        <b/>
        <sz val="10"/>
        <rFont val="Arial"/>
        <family val="2"/>
      </rPr>
      <t>)</t>
    </r>
  </si>
  <si>
    <r>
      <t>Number of Trees per Species per MU (trees.yr</t>
    </r>
    <r>
      <rPr>
        <b/>
        <vertAlign val="superscript"/>
        <sz val="10"/>
        <rFont val="Arial"/>
        <family val="2"/>
      </rPr>
      <t>-1</t>
    </r>
    <r>
      <rPr>
        <b/>
        <sz val="10"/>
        <rFont val="Arial"/>
        <family val="2"/>
      </rPr>
      <t>)</t>
    </r>
  </si>
  <si>
    <t>Growth Rate</t>
  </si>
  <si>
    <t>Time</t>
  </si>
  <si>
    <t>Literature Growth Rate</t>
  </si>
  <si>
    <t>Measured Growth Rate from Montoring 2010 to 2012 trees</t>
  </si>
  <si>
    <t>(cm/yr)</t>
  </si>
  <si>
    <t>Measured</t>
  </si>
  <si>
    <r>
      <t>Total Sequestration (tCO</t>
    </r>
    <r>
      <rPr>
        <vertAlign val="subscript"/>
        <sz val="10"/>
        <color theme="0"/>
        <rFont val="Verdana"/>
        <family val="2"/>
      </rPr>
      <t>2</t>
    </r>
    <r>
      <rPr>
        <sz val="10"/>
        <color theme="0"/>
        <rFont val="Verdana"/>
        <family val="2"/>
      </rPr>
      <t>e/tree)</t>
    </r>
  </si>
  <si>
    <r>
      <t>Average annual carbon stock rate, C</t>
    </r>
    <r>
      <rPr>
        <vertAlign val="subscript"/>
        <sz val="10"/>
        <color theme="0"/>
        <rFont val="Verdana"/>
        <family val="2"/>
      </rPr>
      <t xml:space="preserve">AGB_tree </t>
    </r>
    <r>
      <rPr>
        <sz val="10"/>
        <color theme="0"/>
        <rFont val="Verdana"/>
        <family val="2"/>
      </rPr>
      <t xml:space="preserve"> (t CO</t>
    </r>
    <r>
      <rPr>
        <vertAlign val="subscript"/>
        <sz val="10"/>
        <color theme="0"/>
        <rFont val="Verdana"/>
        <family val="2"/>
      </rPr>
      <t>2</t>
    </r>
    <r>
      <rPr>
        <sz val="10"/>
        <color theme="0"/>
        <rFont val="Verdana"/>
        <family val="2"/>
      </rPr>
      <t>e.tree</t>
    </r>
    <r>
      <rPr>
        <vertAlign val="superscript"/>
        <sz val="10"/>
        <color theme="0"/>
        <rFont val="Verdana"/>
        <family val="2"/>
      </rPr>
      <t>-1</t>
    </r>
    <r>
      <rPr>
        <sz val="10"/>
        <color theme="0"/>
        <rFont val="Verdana"/>
        <family val="2"/>
      </rPr>
      <t>.yr</t>
    </r>
    <r>
      <rPr>
        <vertAlign val="superscript"/>
        <sz val="10"/>
        <color theme="0"/>
        <rFont val="Verdana"/>
        <family val="2"/>
      </rPr>
      <t>-1</t>
    </r>
    <r>
      <rPr>
        <sz val="10"/>
        <color theme="0"/>
        <rFont val="Verdana"/>
        <family val="2"/>
      </rPr>
      <t>)</t>
    </r>
  </si>
  <si>
    <t>Measured/Literature</t>
  </si>
  <si>
    <t xml:space="preserve">initial and performance audit conducted </t>
  </si>
  <si>
    <t>Areas are derived from Cumulative Planting Area projection graph for indicative estimates</t>
  </si>
  <si>
    <t>Step 1. For each performance report - Enter Revised EPAs</t>
  </si>
  <si>
    <t>Step 2. Soil Carbon Stocks will update with revised EPA data</t>
  </si>
  <si>
    <t>Step 3. Baseline Carbon Stocks will update with revised EPA data</t>
  </si>
  <si>
    <r>
      <t>Baseline (tCO</t>
    </r>
    <r>
      <rPr>
        <vertAlign val="subscript"/>
        <sz val="9"/>
        <rFont val="Calibri"/>
        <family val="2"/>
        <scheme val="minor"/>
      </rPr>
      <t>2</t>
    </r>
    <r>
      <rPr>
        <sz val="9"/>
        <rFont val="Calibri"/>
        <family val="2"/>
        <scheme val="minor"/>
      </rPr>
      <t>e)</t>
    </r>
  </si>
  <si>
    <r>
      <t>Baseline (tCO</t>
    </r>
    <r>
      <rPr>
        <vertAlign val="subscript"/>
        <sz val="9"/>
        <rFont val="Calibri"/>
        <family val="2"/>
        <scheme val="minor"/>
      </rPr>
      <t>2</t>
    </r>
    <r>
      <rPr>
        <sz val="9"/>
        <rFont val="Calibri"/>
        <family val="2"/>
        <scheme val="minor"/>
      </rPr>
      <t>e/ha)</t>
    </r>
  </si>
  <si>
    <t>Step 4. Enter in for each new year the number of trees that were planted</t>
  </si>
  <si>
    <t xml:space="preserve">  MU01 - Croplands</t>
  </si>
  <si>
    <t>Cross check</t>
  </si>
  <si>
    <t>Ntrees</t>
  </si>
  <si>
    <t>Area</t>
  </si>
  <si>
    <t>Area/trees</t>
  </si>
  <si>
    <t xml:space="preserve">Cumulative EPA </t>
  </si>
  <si>
    <t>Croplands</t>
  </si>
  <si>
    <t>EPA 2017 Croplands UTM51S.shp</t>
  </si>
  <si>
    <t>Cumulative EPA 2017 UTM51S.shp</t>
  </si>
  <si>
    <t>GIS Filename</t>
  </si>
  <si>
    <t>Component</t>
  </si>
  <si>
    <t>T. Grandis</t>
  </si>
  <si>
    <t>D. Nigra</t>
  </si>
  <si>
    <t>S. album</t>
  </si>
  <si>
    <t>S. Foetida</t>
  </si>
  <si>
    <t>All species Planted</t>
  </si>
  <si>
    <t>** Split of tree numbers into MUs deduced from proprtion of area for each land use for 2010 to 2016</t>
  </si>
  <si>
    <t>Measured Growth Rate from Montoring in 2018 and 2019- e.g. trees planted from 2010 to 2017</t>
  </si>
  <si>
    <t>Literature</t>
  </si>
  <si>
    <t>Monitoring Event 1</t>
  </si>
  <si>
    <t>Monitoring Event 2</t>
  </si>
  <si>
    <t xml:space="preserve"> </t>
  </si>
  <si>
    <t>Equation 2</t>
  </si>
  <si>
    <r>
      <t>CO2_Certificates</t>
    </r>
    <r>
      <rPr>
        <b/>
        <vertAlign val="subscript"/>
        <sz val="10"/>
        <rFont val="Arial"/>
        <family val="2"/>
      </rPr>
      <t>MU,t</t>
    </r>
    <r>
      <rPr>
        <b/>
        <sz val="10"/>
        <rFont val="Arial"/>
        <family val="2"/>
      </rPr>
      <t xml:space="preserve">  (tCO</t>
    </r>
    <r>
      <rPr>
        <b/>
        <vertAlign val="subscript"/>
        <sz val="10"/>
        <rFont val="Arial"/>
        <family val="2"/>
      </rPr>
      <t>2</t>
    </r>
    <r>
      <rPr>
        <b/>
        <sz val="10"/>
        <rFont val="Arial"/>
        <family val="2"/>
      </rPr>
      <t>e.ha</t>
    </r>
    <r>
      <rPr>
        <b/>
        <vertAlign val="superscript"/>
        <sz val="10"/>
        <rFont val="Arial"/>
        <family val="2"/>
      </rPr>
      <t>-1</t>
    </r>
    <r>
      <rPr>
        <b/>
        <sz val="10"/>
        <rFont val="Arial"/>
        <family val="2"/>
      </rPr>
      <t>yr</t>
    </r>
    <r>
      <rPr>
        <b/>
        <vertAlign val="superscript"/>
        <sz val="10"/>
        <rFont val="Arial"/>
        <family val="2"/>
      </rPr>
      <t>-1</t>
    </r>
    <r>
      <rPr>
        <b/>
        <sz val="10"/>
        <rFont val="Arial"/>
        <family val="2"/>
      </rPr>
      <t>)</t>
    </r>
  </si>
  <si>
    <r>
      <t>Equation 3:  Baseline Carbon Stocks per MU (tCO</t>
    </r>
    <r>
      <rPr>
        <b/>
        <vertAlign val="subscript"/>
        <sz val="10"/>
        <rFont val="Arial"/>
        <family val="2"/>
      </rPr>
      <t>2</t>
    </r>
    <r>
      <rPr>
        <b/>
        <sz val="10"/>
        <rFont val="Arial"/>
        <family val="2"/>
      </rPr>
      <t>e.yr</t>
    </r>
    <r>
      <rPr>
        <b/>
        <vertAlign val="superscript"/>
        <sz val="10"/>
        <rFont val="Arial"/>
        <family val="2"/>
      </rPr>
      <t>-1</t>
    </r>
    <r>
      <rPr>
        <b/>
        <sz val="10"/>
        <rFont val="Arial"/>
        <family val="2"/>
      </rPr>
      <t>)*</t>
    </r>
  </si>
  <si>
    <r>
      <t>Equation 4: CO</t>
    </r>
    <r>
      <rPr>
        <b/>
        <vertAlign val="subscript"/>
        <sz val="10"/>
        <rFont val="Arial"/>
        <family val="2"/>
      </rPr>
      <t>2</t>
    </r>
    <r>
      <rPr>
        <b/>
        <sz val="10"/>
        <rFont val="Arial"/>
        <family val="2"/>
      </rPr>
      <t xml:space="preserve"> Fixation per MU (tCO</t>
    </r>
    <r>
      <rPr>
        <b/>
        <vertAlign val="subscript"/>
        <sz val="10"/>
        <rFont val="Arial"/>
        <family val="2"/>
      </rPr>
      <t>2</t>
    </r>
    <r>
      <rPr>
        <b/>
        <sz val="10"/>
        <rFont val="Arial"/>
        <family val="2"/>
      </rPr>
      <t>e.ha</t>
    </r>
    <r>
      <rPr>
        <b/>
        <vertAlign val="superscript"/>
        <sz val="10"/>
        <rFont val="Arial"/>
        <family val="2"/>
      </rPr>
      <t>-1</t>
    </r>
    <r>
      <rPr>
        <b/>
        <sz val="10"/>
        <rFont val="Arial"/>
        <family val="2"/>
      </rPr>
      <t>yr</t>
    </r>
    <r>
      <rPr>
        <b/>
        <vertAlign val="superscript"/>
        <sz val="10"/>
        <rFont val="Arial"/>
        <family val="2"/>
      </rPr>
      <t>-1</t>
    </r>
    <r>
      <rPr>
        <b/>
        <sz val="10"/>
        <rFont val="Arial"/>
        <family val="2"/>
      </rPr>
      <t>)</t>
    </r>
  </si>
  <si>
    <r>
      <t>Equation 5: CO</t>
    </r>
    <r>
      <rPr>
        <b/>
        <vertAlign val="subscript"/>
        <sz val="10"/>
        <rFont val="Arial"/>
        <family val="2"/>
      </rPr>
      <t>2</t>
    </r>
    <r>
      <rPr>
        <b/>
        <sz val="10"/>
        <rFont val="Arial"/>
        <family val="2"/>
      </rPr>
      <t xml:space="preserve"> Fixation per species per MU (tCO</t>
    </r>
    <r>
      <rPr>
        <b/>
        <vertAlign val="subscript"/>
        <sz val="10"/>
        <rFont val="Arial"/>
        <family val="2"/>
      </rPr>
      <t>2</t>
    </r>
    <r>
      <rPr>
        <b/>
        <sz val="10"/>
        <rFont val="Arial"/>
        <family val="2"/>
      </rPr>
      <t>e.yr</t>
    </r>
    <r>
      <rPr>
        <b/>
        <vertAlign val="superscript"/>
        <sz val="10"/>
        <rFont val="Arial"/>
        <family val="2"/>
      </rPr>
      <t>-1</t>
    </r>
    <r>
      <rPr>
        <b/>
        <sz val="10"/>
        <rFont val="Arial"/>
        <family val="2"/>
      </rPr>
      <t>)</t>
    </r>
  </si>
  <si>
    <t xml:space="preserve">Equation 1 </t>
  </si>
  <si>
    <t xml:space="preserve">                           2nd Perform Audit</t>
  </si>
  <si>
    <t>adjusted</t>
  </si>
  <si>
    <t>survival rate</t>
  </si>
  <si>
    <t xml:space="preserve">tree count was </t>
  </si>
  <si>
    <t>Adjustment</t>
  </si>
  <si>
    <t>Previous total</t>
  </si>
  <si>
    <t>No change - conservative</t>
  </si>
  <si>
    <t>mahogany</t>
  </si>
  <si>
    <t>teak</t>
  </si>
  <si>
    <t xml:space="preserve">Annual Total of Trees Planted  </t>
  </si>
  <si>
    <t>Cumulative Total of Trees Planted to date</t>
  </si>
  <si>
    <t>2017 &amp; 2018</t>
  </si>
  <si>
    <t>Overestimate</t>
  </si>
  <si>
    <t>Percent of Soil Carbon</t>
  </si>
  <si>
    <t>Percent of Baseline Carbon</t>
  </si>
  <si>
    <t>factor increase</t>
  </si>
  <si>
    <t>factor increaes</t>
  </si>
  <si>
    <t>2017 &amp; 2017 CO2 Certificates - Overestimate from 2016 Audit</t>
  </si>
  <si>
    <t>Monitoring Event 3</t>
  </si>
  <si>
    <t>Monitoring Event 1  - Measured Growth Rate</t>
  </si>
  <si>
    <r>
      <rPr>
        <b/>
        <sz val="10"/>
        <color theme="1"/>
        <rFont val="Verdana"/>
        <family val="2"/>
      </rPr>
      <t>Monitoring Event 2</t>
    </r>
    <r>
      <rPr>
        <sz val="10"/>
        <color theme="1"/>
        <rFont val="Verdana"/>
        <family val="2"/>
      </rPr>
      <t xml:space="preserve"> - Measured Growth Rate</t>
    </r>
  </si>
  <si>
    <r>
      <rPr>
        <b/>
        <sz val="10"/>
        <color theme="1"/>
        <rFont val="Verdana"/>
        <family val="2"/>
      </rPr>
      <t>Monitoring Event 3</t>
    </r>
    <r>
      <rPr>
        <sz val="10"/>
        <color theme="1"/>
        <rFont val="Verdana"/>
        <family val="2"/>
      </rPr>
      <t xml:space="preserve"> - Measured Growth Rate</t>
    </r>
  </si>
  <si>
    <t>Measured Growth Rate from Montoring up to 2021, trees planted from 2020 to 2020</t>
  </si>
  <si>
    <t>Adjusted rate after 15 years</t>
  </si>
  <si>
    <t>Source: 'CO2 Fixation Summary'</t>
  </si>
  <si>
    <t xml:space="preserve">                   2nd Performance  Audit</t>
  </si>
  <si>
    <t xml:space="preserve">                 3rd Performance  Audit</t>
  </si>
  <si>
    <t>`</t>
  </si>
  <si>
    <r>
      <t>CS</t>
    </r>
    <r>
      <rPr>
        <vertAlign val="subscript"/>
        <sz val="10"/>
        <rFont val="Verdana"/>
        <family val="2"/>
      </rPr>
      <t>AGB_BGB</t>
    </r>
  </si>
  <si>
    <r>
      <t>C</t>
    </r>
    <r>
      <rPr>
        <vertAlign val="subscript"/>
        <sz val="10"/>
        <rFont val="Verdana"/>
        <family val="2"/>
      </rPr>
      <t>AGB_BGB</t>
    </r>
  </si>
  <si>
    <r>
      <t>C</t>
    </r>
    <r>
      <rPr>
        <vertAlign val="subscript"/>
        <sz val="10"/>
        <rFont val="Verdana"/>
        <family val="2"/>
      </rPr>
      <t>total</t>
    </r>
  </si>
  <si>
    <r>
      <t>(t C. tree</t>
    </r>
    <r>
      <rPr>
        <vertAlign val="superscript"/>
        <sz val="10"/>
        <rFont val="Verdana"/>
        <family val="2"/>
      </rPr>
      <t>-1.</t>
    </r>
    <r>
      <rPr>
        <sz val="10"/>
        <rFont val="Verdana"/>
        <family val="2"/>
      </rPr>
      <t>yr</t>
    </r>
    <r>
      <rPr>
        <vertAlign val="superscript"/>
        <sz val="10"/>
        <rFont val="Verdana"/>
        <family val="2"/>
      </rPr>
      <t>-1</t>
    </r>
    <r>
      <rPr>
        <sz val="10"/>
        <rFont val="Verdana"/>
        <family val="2"/>
      </rPr>
      <t>)</t>
    </r>
  </si>
  <si>
    <r>
      <t>(t CO</t>
    </r>
    <r>
      <rPr>
        <vertAlign val="subscript"/>
        <sz val="10"/>
        <rFont val="Verdana"/>
        <family val="2"/>
      </rPr>
      <t>2</t>
    </r>
    <r>
      <rPr>
        <sz val="10"/>
        <rFont val="Verdana"/>
        <family val="2"/>
      </rPr>
      <t>e.tree</t>
    </r>
    <r>
      <rPr>
        <vertAlign val="superscript"/>
        <sz val="10"/>
        <rFont val="Verdana"/>
        <family val="2"/>
      </rPr>
      <t>-1</t>
    </r>
    <r>
      <rPr>
        <sz val="10"/>
        <rFont val="Verdana"/>
        <family val="2"/>
      </rPr>
      <t>.yr</t>
    </r>
    <r>
      <rPr>
        <vertAlign val="superscript"/>
        <sz val="10"/>
        <rFont val="Verdana"/>
        <family val="2"/>
      </rPr>
      <t>-1</t>
    </r>
    <r>
      <rPr>
        <sz val="10"/>
        <rFont val="Verdana"/>
        <family val="2"/>
      </rPr>
      <t>)</t>
    </r>
  </si>
  <si>
    <r>
      <t>(t CO</t>
    </r>
    <r>
      <rPr>
        <vertAlign val="subscript"/>
        <sz val="10"/>
        <rFont val="Verdana"/>
        <family val="2"/>
      </rPr>
      <t>2</t>
    </r>
    <r>
      <rPr>
        <sz val="10"/>
        <rFont val="Verdana"/>
        <family val="2"/>
      </rPr>
      <t>e.yr</t>
    </r>
    <r>
      <rPr>
        <vertAlign val="superscript"/>
        <sz val="10"/>
        <rFont val="Verdana"/>
        <family val="2"/>
      </rPr>
      <t>-1</t>
    </r>
    <r>
      <rPr>
        <sz val="10"/>
        <rFont val="Verdana"/>
        <family val="2"/>
      </rPr>
      <t>)</t>
    </r>
  </si>
  <si>
    <r>
      <t>Total Sequestration (tCO</t>
    </r>
    <r>
      <rPr>
        <vertAlign val="subscript"/>
        <sz val="10"/>
        <rFont val="Verdana"/>
        <family val="2"/>
      </rPr>
      <t>2</t>
    </r>
    <r>
      <rPr>
        <sz val="10"/>
        <rFont val="Verdana"/>
        <family val="2"/>
      </rPr>
      <t>e)</t>
    </r>
  </si>
  <si>
    <r>
      <t>Average annual growth rate, C</t>
    </r>
    <r>
      <rPr>
        <vertAlign val="subscript"/>
        <sz val="10"/>
        <rFont val="Verdana"/>
        <family val="2"/>
      </rPr>
      <t xml:space="preserve">AGB_tree </t>
    </r>
    <r>
      <rPr>
        <sz val="10"/>
        <rFont val="Verdana"/>
        <family val="2"/>
      </rPr>
      <t xml:space="preserve"> (t CO</t>
    </r>
    <r>
      <rPr>
        <vertAlign val="subscript"/>
        <sz val="10"/>
        <rFont val="Verdana"/>
        <family val="2"/>
      </rPr>
      <t>2</t>
    </r>
    <r>
      <rPr>
        <sz val="10"/>
        <rFont val="Verdana"/>
        <family val="2"/>
      </rPr>
      <t>e.tree</t>
    </r>
    <r>
      <rPr>
        <vertAlign val="superscript"/>
        <sz val="10"/>
        <rFont val="Verdana"/>
        <family val="2"/>
      </rPr>
      <t>-1</t>
    </r>
    <r>
      <rPr>
        <sz val="10"/>
        <rFont val="Verdana"/>
        <family val="2"/>
      </rPr>
      <t>.yr</t>
    </r>
    <r>
      <rPr>
        <vertAlign val="superscript"/>
        <sz val="10"/>
        <rFont val="Verdana"/>
        <family val="2"/>
      </rPr>
      <t>-1</t>
    </r>
    <r>
      <rPr>
        <sz val="10"/>
        <rFont val="Verdana"/>
        <family val="2"/>
      </rPr>
      <t>)</t>
    </r>
  </si>
  <si>
    <r>
      <t>Total Sequestration using Average annual growth rate (tCO</t>
    </r>
    <r>
      <rPr>
        <vertAlign val="subscript"/>
        <sz val="10"/>
        <rFont val="Verdana"/>
        <family val="2"/>
      </rPr>
      <t>2</t>
    </r>
    <r>
      <rPr>
        <sz val="10"/>
        <rFont val="Verdana"/>
        <family val="2"/>
      </rPr>
      <t>e)</t>
    </r>
  </si>
  <si>
    <t>(Sheoak)</t>
  </si>
  <si>
    <t>on Forested land</t>
  </si>
  <si>
    <t>keep?</t>
  </si>
  <si>
    <t>(Scientific Name)</t>
  </si>
  <si>
    <t>Casuarina</t>
  </si>
  <si>
    <t>Eucalyptus</t>
  </si>
  <si>
    <t>Mahogany</t>
  </si>
  <si>
    <t>Teak</t>
  </si>
  <si>
    <t>Rosewood</t>
  </si>
  <si>
    <t>Sandalwood</t>
  </si>
  <si>
    <t>Sterfoetida</t>
  </si>
  <si>
    <t>(Common Name)</t>
  </si>
  <si>
    <t>Underestimate from 2018</t>
  </si>
  <si>
    <t>2019 &amp; 2020</t>
  </si>
  <si>
    <t>TOTAL</t>
  </si>
  <si>
    <t xml:space="preserve">Growth </t>
  </si>
  <si>
    <t>i</t>
  </si>
  <si>
    <t>Baseline</t>
  </si>
  <si>
    <t xml:space="preserve">Project </t>
  </si>
  <si>
    <t>Net benefit</t>
  </si>
  <si>
    <t>subtotal</t>
  </si>
  <si>
    <t>grasslands</t>
  </si>
  <si>
    <t>Previous</t>
  </si>
  <si>
    <t>Amended</t>
  </si>
  <si>
    <t>Difference</t>
  </si>
  <si>
    <t>Check</t>
  </si>
  <si>
    <t>2021-2025</t>
  </si>
  <si>
    <t>PERs</t>
  </si>
  <si>
    <r>
      <t>Verified Emission Reductions (tCO</t>
    </r>
    <r>
      <rPr>
        <b/>
        <vertAlign val="subscript"/>
        <sz val="11"/>
        <rFont val="Arial"/>
        <family val="2"/>
      </rPr>
      <t>2</t>
    </r>
    <r>
      <rPr>
        <b/>
        <sz val="11"/>
        <rFont val="Arial"/>
        <family val="2"/>
      </rPr>
      <t>e) 2019-2020</t>
    </r>
  </si>
  <si>
    <t>Verified Emission Reductions (tCO2e) Underestimate 2018</t>
  </si>
  <si>
    <t>Planned Emission Reductions (tCO2e) 2021-2025</t>
  </si>
  <si>
    <t xml:space="preserve">                Planned Emissions Reduction 2021-2025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</si>
</sst>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quot;$&quot;* #,##0.00_-;\-&quot;$&quot;* #,##0.00_-;_-&quot;$&quot;* &quot;-&quot;??_-;_-@_-"/>
    <numFmt numFmtId="165" formatCode="_-* #,##0.00_-;\-* #,##0.00_-;_-* &quot;-&quot;??_-;_-@_-"/>
    <numFmt numFmtId="166" formatCode="0.0"/>
    <numFmt numFmtId="167" formatCode="0.0000"/>
    <numFmt numFmtId="168" formatCode="0.000"/>
    <numFmt numFmtId="169" formatCode="0.00000000000000000000000"/>
    <numFmt numFmtId="170" formatCode="#,##0.0"/>
    <numFmt numFmtId="171" formatCode="#,##0_ ;\-#,##0\ "/>
    <numFmt numFmtId="172" formatCode="0.00000000000"/>
    <numFmt numFmtId="173" formatCode="_-* #,##0_-;\-* #,##0_-;_-* &quot;-&quot;??_-;_-@_-"/>
    <numFmt numFmtId="174" formatCode="#,##0.0_ ;\-#,##0.0\ "/>
    <numFmt numFmtId="175" formatCode="0.0%"/>
    <numFmt numFmtId="176" formatCode="#,##0.000"/>
  </numFmts>
  <fonts count="146">
    <font>
      <sz val="10"/>
      <name val="Verdana"/>
    </font>
    <font>
      <sz val="12"/>
      <color theme="1"/>
      <name val="Calibri"/>
      <family val="2"/>
      <scheme val="minor"/>
    </font>
    <font>
      <b/>
      <sz val="10"/>
      <name val="Verdana"/>
      <family val="2"/>
    </font>
    <font>
      <sz val="10"/>
      <name val="Verdana"/>
      <family val="2"/>
    </font>
    <font>
      <sz val="10"/>
      <name val="Verdana"/>
      <family val="2"/>
    </font>
    <font>
      <b/>
      <sz val="10"/>
      <name val="Verdana"/>
      <family val="2"/>
    </font>
    <font>
      <sz val="8"/>
      <name val="Verdana"/>
      <family val="2"/>
    </font>
    <font>
      <sz val="11"/>
      <name val="Calibri"/>
      <family val="2"/>
    </font>
    <font>
      <sz val="10"/>
      <name val="Calibri"/>
      <family val="2"/>
    </font>
    <font>
      <vertAlign val="superscript"/>
      <sz val="10"/>
      <name val="Verdana"/>
      <family val="2"/>
    </font>
    <font>
      <vertAlign val="subscript"/>
      <sz val="10"/>
      <name val="Verdana"/>
      <family val="2"/>
    </font>
    <font>
      <sz val="8"/>
      <name val="Times"/>
      <family val="1"/>
    </font>
    <font>
      <sz val="9"/>
      <name val="Arial"/>
      <family val="2"/>
    </font>
    <font>
      <sz val="10"/>
      <color indexed="22"/>
      <name val="Verdana"/>
      <family val="2"/>
    </font>
    <font>
      <sz val="10"/>
      <name val="Times New Roman"/>
      <family val="1"/>
    </font>
    <font>
      <sz val="9"/>
      <name val="AdvPTimesB"/>
      <family val="2"/>
    </font>
    <font>
      <sz val="12"/>
      <name val="Times New Roman"/>
      <family val="1"/>
    </font>
    <font>
      <sz val="10"/>
      <name val="Arial"/>
      <family val="2"/>
    </font>
    <font>
      <sz val="11"/>
      <name val="Times New Roman"/>
      <family val="1"/>
    </font>
    <font>
      <vertAlign val="superscript"/>
      <sz val="11"/>
      <name val="Times New Roman"/>
      <family val="1"/>
    </font>
    <font>
      <sz val="7"/>
      <name val="Times New Roman"/>
      <family val="1"/>
    </font>
    <font>
      <sz val="11"/>
      <name val="Times New Roman,Bold"/>
      <family val="1"/>
    </font>
    <font>
      <sz val="9"/>
      <name val="Verdana"/>
      <family val="2"/>
    </font>
    <font>
      <vertAlign val="superscript"/>
      <sz val="9"/>
      <name val="Verdana"/>
      <family val="2"/>
    </font>
    <font>
      <b/>
      <sz val="11"/>
      <name val="Times New Roman"/>
      <family val="1"/>
    </font>
    <font>
      <sz val="10"/>
      <name val="MinionPro"/>
      <family val="2"/>
    </font>
    <font>
      <i/>
      <sz val="10"/>
      <name val="MinionPro"/>
      <family val="2"/>
    </font>
    <font>
      <sz val="11"/>
      <name val="MinionPro"/>
      <family val="2"/>
    </font>
    <font>
      <sz val="12"/>
      <name val="MyriadPro"/>
      <family val="2"/>
    </font>
    <font>
      <b/>
      <sz val="10"/>
      <name val="MyriadPro"/>
      <family val="2"/>
    </font>
    <font>
      <b/>
      <sz val="9"/>
      <name val="MyriadPro"/>
      <family val="2"/>
    </font>
    <font>
      <sz val="9"/>
      <name val="MyriadPro"/>
      <family val="2"/>
    </font>
    <font>
      <b/>
      <i/>
      <sz val="9"/>
      <name val="MyriadPro"/>
      <family val="2"/>
    </font>
    <font>
      <b/>
      <i/>
      <vertAlign val="superscript"/>
      <sz val="9"/>
      <name val="MyriadPro"/>
      <family val="2"/>
    </font>
    <font>
      <i/>
      <sz val="9"/>
      <name val="MyriadPro"/>
      <family val="2"/>
    </font>
    <font>
      <i/>
      <vertAlign val="superscript"/>
      <sz val="9"/>
      <name val="MyriadPro"/>
      <family val="2"/>
    </font>
    <font>
      <sz val="10"/>
      <name val="MyriadPro"/>
    </font>
    <font>
      <vertAlign val="subscript"/>
      <sz val="10"/>
      <name val="MyriadPro"/>
    </font>
    <font>
      <vertAlign val="superscript"/>
      <sz val="10"/>
      <name val="MyriadPro"/>
    </font>
    <font>
      <sz val="9"/>
      <name val="Helvetica"/>
      <family val="2"/>
    </font>
    <font>
      <u/>
      <sz val="10"/>
      <color indexed="12"/>
      <name val="Verdana"/>
      <family val="2"/>
    </font>
    <font>
      <sz val="10"/>
      <color indexed="10"/>
      <name val="Verdana"/>
      <family val="2"/>
    </font>
    <font>
      <sz val="10"/>
      <color indexed="63"/>
      <name val="Verdana"/>
      <family val="2"/>
    </font>
    <font>
      <vertAlign val="superscript"/>
      <sz val="10"/>
      <color indexed="10"/>
      <name val="Verdana"/>
      <family val="2"/>
    </font>
    <font>
      <sz val="12"/>
      <name val="TimesNewRomanPSMT"/>
      <family val="1"/>
    </font>
    <font>
      <i/>
      <sz val="12"/>
      <name val="TimesNewRomanPS"/>
      <family val="1"/>
    </font>
    <font>
      <sz val="11"/>
      <name val="TimesNewRomanPSMT"/>
      <family val="1"/>
    </font>
    <font>
      <sz val="11"/>
      <name val="Verdana"/>
      <family val="2"/>
    </font>
    <font>
      <sz val="12"/>
      <name val="AGaramondPro"/>
      <family val="2"/>
    </font>
    <font>
      <sz val="9"/>
      <name val="ArialMT"/>
      <family val="2"/>
    </font>
    <font>
      <sz val="10"/>
      <color indexed="53"/>
      <name val="Verdana"/>
      <family val="2"/>
    </font>
    <font>
      <sz val="10"/>
      <name val="AGaramondPro"/>
    </font>
    <font>
      <b/>
      <vertAlign val="subscript"/>
      <sz val="10"/>
      <name val="Verdana"/>
      <family val="2"/>
    </font>
    <font>
      <b/>
      <vertAlign val="superscript"/>
      <sz val="10"/>
      <name val="Verdana"/>
      <family val="2"/>
    </font>
    <font>
      <sz val="9"/>
      <name val="SimonciniGaramond"/>
      <family val="2"/>
    </font>
    <font>
      <b/>
      <sz val="11"/>
      <color theme="1"/>
      <name val="Calibri"/>
      <family val="2"/>
      <scheme val="minor"/>
    </font>
    <font>
      <sz val="11"/>
      <color theme="1"/>
      <name val="Calibri"/>
      <family val="2"/>
      <scheme val="minor"/>
    </font>
    <font>
      <sz val="10"/>
      <color rgb="FF0000FF"/>
      <name val="Calibri"/>
      <family val="2"/>
      <scheme val="minor"/>
    </font>
    <font>
      <sz val="10"/>
      <color rgb="FFFF0000"/>
      <name val="Calibri"/>
      <family val="2"/>
      <scheme val="minor"/>
    </font>
    <font>
      <u/>
      <sz val="10"/>
      <color theme="11"/>
      <name val="Verdana"/>
      <family val="2"/>
    </font>
    <font>
      <sz val="10"/>
      <name val="Calibri"/>
      <family val="2"/>
      <scheme val="minor"/>
    </font>
    <font>
      <b/>
      <sz val="10"/>
      <name val="Calibri"/>
      <family val="2"/>
      <scheme val="minor"/>
    </font>
    <font>
      <b/>
      <sz val="10"/>
      <name val="Calibri"/>
      <family val="2"/>
    </font>
    <font>
      <b/>
      <sz val="10"/>
      <color rgb="FF008000"/>
      <name val="Calibri"/>
      <family val="2"/>
    </font>
    <font>
      <sz val="11"/>
      <name val="Calibri"/>
      <family val="2"/>
      <scheme val="minor"/>
    </font>
    <font>
      <b/>
      <sz val="11"/>
      <name val="Calibri"/>
      <family val="2"/>
      <scheme val="minor"/>
    </font>
    <font>
      <b/>
      <vertAlign val="subscript"/>
      <sz val="11"/>
      <name val="Calibri"/>
      <family val="2"/>
      <scheme val="minor"/>
    </font>
    <font>
      <vertAlign val="superscript"/>
      <sz val="10"/>
      <name val="Calibri"/>
      <family val="2"/>
      <scheme val="minor"/>
    </font>
    <font>
      <b/>
      <sz val="10"/>
      <color indexed="53"/>
      <name val="Calibri"/>
      <family val="2"/>
      <scheme val="minor"/>
    </font>
    <font>
      <vertAlign val="subscript"/>
      <sz val="10"/>
      <name val="Calibri"/>
      <family val="2"/>
      <scheme val="minor"/>
    </font>
    <font>
      <i/>
      <sz val="10"/>
      <name val="Calibri"/>
      <family val="2"/>
      <scheme val="minor"/>
    </font>
    <font>
      <vertAlign val="subscript"/>
      <sz val="11"/>
      <name val="Calibri"/>
      <family val="2"/>
      <scheme val="minor"/>
    </font>
    <font>
      <vertAlign val="superscript"/>
      <sz val="11"/>
      <name val="Calibri"/>
      <family val="2"/>
      <scheme val="minor"/>
    </font>
    <font>
      <b/>
      <sz val="10"/>
      <name val="Arial"/>
      <family val="2"/>
    </font>
    <font>
      <i/>
      <sz val="11"/>
      <color rgb="FF008000"/>
      <name val="Calibri"/>
      <family val="2"/>
      <scheme val="minor"/>
    </font>
    <font>
      <i/>
      <sz val="10"/>
      <color rgb="FF008000"/>
      <name val="Calibri"/>
      <family val="2"/>
      <scheme val="minor"/>
    </font>
    <font>
      <b/>
      <vertAlign val="subscript"/>
      <sz val="10"/>
      <name val="Arial"/>
      <family val="2"/>
    </font>
    <font>
      <b/>
      <vertAlign val="superscript"/>
      <sz val="10"/>
      <name val="Arial"/>
      <family val="2"/>
    </font>
    <font>
      <sz val="11"/>
      <color theme="0" tint="-0.14999847407452621"/>
      <name val="Calibri"/>
      <family val="2"/>
      <scheme val="minor"/>
    </font>
    <font>
      <sz val="10"/>
      <color theme="0" tint="-0.14999847407452621"/>
      <name val="Calibri"/>
      <family val="2"/>
      <scheme val="minor"/>
    </font>
    <font>
      <i/>
      <sz val="11"/>
      <color theme="0" tint="-0.14999847407452621"/>
      <name val="Calibri"/>
      <family val="2"/>
      <scheme val="minor"/>
    </font>
    <font>
      <sz val="10"/>
      <color rgb="FF008000"/>
      <name val="Calibri"/>
      <family val="2"/>
      <scheme val="minor"/>
    </font>
    <font>
      <sz val="11"/>
      <color rgb="FFFF0000"/>
      <name val="Calibri"/>
      <family val="2"/>
      <scheme val="minor"/>
    </font>
    <font>
      <b/>
      <i/>
      <sz val="10"/>
      <name val="Calibri"/>
      <family val="2"/>
      <scheme val="minor"/>
    </font>
    <font>
      <i/>
      <sz val="11"/>
      <name val="Calibri"/>
      <family val="2"/>
      <scheme val="minor"/>
    </font>
    <font>
      <b/>
      <i/>
      <sz val="11"/>
      <name val="Calibri"/>
      <family val="2"/>
      <scheme val="minor"/>
    </font>
    <font>
      <b/>
      <i/>
      <sz val="12"/>
      <name val="Calibri"/>
      <family val="2"/>
      <scheme val="minor"/>
    </font>
    <font>
      <u/>
      <sz val="11"/>
      <name val="Calibri"/>
      <family val="2"/>
      <scheme val="minor"/>
    </font>
    <font>
      <sz val="10"/>
      <color theme="0" tint="-0.14999847407452621"/>
      <name val="Verdana"/>
      <family val="2"/>
    </font>
    <font>
      <sz val="9"/>
      <color theme="0" tint="-0.14999847407452621"/>
      <name val="Verdana"/>
      <family val="2"/>
    </font>
    <font>
      <b/>
      <sz val="10"/>
      <color rgb="FF008000"/>
      <name val="Calibri"/>
      <family val="2"/>
      <scheme val="minor"/>
    </font>
    <font>
      <b/>
      <sz val="7"/>
      <color rgb="FF008000"/>
      <name val="Calibri"/>
      <family val="2"/>
      <scheme val="minor"/>
    </font>
    <font>
      <b/>
      <sz val="9"/>
      <color rgb="FF008000"/>
      <name val="Calibri"/>
      <family val="2"/>
      <scheme val="minor"/>
    </font>
    <font>
      <sz val="8"/>
      <name val="Calibri"/>
      <family val="2"/>
      <scheme val="minor"/>
    </font>
    <font>
      <sz val="9"/>
      <name val="AGaramondPro"/>
      <family val="2"/>
    </font>
    <font>
      <i/>
      <sz val="9"/>
      <name val="AGaramondPro"/>
      <family val="2"/>
    </font>
    <font>
      <i/>
      <sz val="8"/>
      <name val="Verdana"/>
      <family val="2"/>
    </font>
    <font>
      <sz val="8"/>
      <name val="MyriadPro"/>
    </font>
    <font>
      <i/>
      <sz val="8"/>
      <name val="MyriadPro"/>
      <family val="2"/>
    </font>
    <font>
      <sz val="10"/>
      <color theme="0"/>
      <name val="Verdana"/>
      <family val="2"/>
    </font>
    <font>
      <vertAlign val="subscript"/>
      <sz val="10"/>
      <color theme="0"/>
      <name val="Verdana"/>
      <family val="2"/>
    </font>
    <font>
      <vertAlign val="superscript"/>
      <sz val="10"/>
      <color theme="0"/>
      <name val="Verdana"/>
      <family val="2"/>
    </font>
    <font>
      <b/>
      <i/>
      <vertAlign val="subscript"/>
      <sz val="10"/>
      <name val="Calibri"/>
      <family val="2"/>
      <scheme val="minor"/>
    </font>
    <font>
      <b/>
      <i/>
      <vertAlign val="superscript"/>
      <sz val="10"/>
      <name val="Calibri"/>
      <family val="2"/>
      <scheme val="minor"/>
    </font>
    <font>
      <b/>
      <sz val="10"/>
      <color rgb="FFFF0000"/>
      <name val="Calibri"/>
      <family val="2"/>
      <scheme val="minor"/>
    </font>
    <font>
      <i/>
      <sz val="10"/>
      <color theme="9"/>
      <name val="Calibri"/>
      <family val="2"/>
      <scheme val="minor"/>
    </font>
    <font>
      <sz val="10"/>
      <color theme="0" tint="-0.249977111117893"/>
      <name val="Calibri"/>
      <family val="2"/>
      <scheme val="minor"/>
    </font>
    <font>
      <sz val="9"/>
      <name val="Calibri"/>
      <family val="2"/>
      <scheme val="minor"/>
    </font>
    <font>
      <i/>
      <sz val="9"/>
      <name val="Calibri"/>
      <family val="2"/>
      <scheme val="minor"/>
    </font>
    <font>
      <b/>
      <i/>
      <sz val="13"/>
      <name val="Calibri"/>
      <family val="2"/>
      <scheme val="minor"/>
    </font>
    <font>
      <b/>
      <i/>
      <vertAlign val="subscript"/>
      <sz val="13"/>
      <name val="Calibri"/>
      <family val="2"/>
      <scheme val="minor"/>
    </font>
    <font>
      <sz val="12"/>
      <color rgb="FF0000FF"/>
      <name val="Calibri"/>
      <family val="2"/>
      <scheme val="minor"/>
    </font>
    <font>
      <sz val="11"/>
      <color rgb="FF0000FF"/>
      <name val="Calibri"/>
      <family val="2"/>
      <scheme val="minor"/>
    </font>
    <font>
      <b/>
      <sz val="10"/>
      <color theme="0" tint="-0.249977111117893"/>
      <name val="Calibri"/>
      <family val="2"/>
      <scheme val="minor"/>
    </font>
    <font>
      <sz val="10"/>
      <color theme="0" tint="-0.249977111117893"/>
      <name val="Verdana"/>
      <family val="2"/>
    </font>
    <font>
      <sz val="10"/>
      <color theme="0" tint="-0.249977111117893"/>
      <name val="Calibri"/>
      <family val="2"/>
    </font>
    <font>
      <sz val="10"/>
      <color theme="0" tint="-0.34998626667073579"/>
      <name val="Calibri"/>
      <family val="2"/>
      <scheme val="minor"/>
    </font>
    <font>
      <sz val="12"/>
      <name val="Calibri"/>
      <family val="2"/>
      <scheme val="minor"/>
    </font>
    <font>
      <u/>
      <sz val="10"/>
      <name val="Verdana"/>
      <family val="2"/>
    </font>
    <font>
      <i/>
      <sz val="10"/>
      <color rgb="FF0000FF"/>
      <name val="Calibri"/>
      <family val="2"/>
      <scheme val="minor"/>
    </font>
    <font>
      <vertAlign val="subscript"/>
      <sz val="11"/>
      <name val="Calibri"/>
      <family val="2"/>
    </font>
    <font>
      <i/>
      <sz val="10"/>
      <name val="Calibri"/>
      <family val="2"/>
    </font>
    <font>
      <sz val="10"/>
      <color theme="1"/>
      <name val="Calibri"/>
      <family val="2"/>
      <scheme val="minor"/>
    </font>
    <font>
      <sz val="10"/>
      <color theme="1"/>
      <name val="Verdana"/>
      <family val="2"/>
    </font>
    <font>
      <sz val="10"/>
      <color theme="1" tint="0.499984740745262"/>
      <name val="Calibri"/>
      <family val="2"/>
      <scheme val="minor"/>
    </font>
    <font>
      <sz val="11"/>
      <color theme="1" tint="0.499984740745262"/>
      <name val="Calibri"/>
      <family val="2"/>
      <scheme val="minor"/>
    </font>
    <font>
      <sz val="11"/>
      <color theme="0"/>
      <name val="Calibri"/>
      <family val="2"/>
      <scheme val="minor"/>
    </font>
    <font>
      <sz val="10"/>
      <color theme="0"/>
      <name val="Calibri"/>
      <family val="2"/>
      <scheme val="minor"/>
    </font>
    <font>
      <b/>
      <sz val="10"/>
      <color theme="1"/>
      <name val="Arial"/>
      <family val="2"/>
    </font>
    <font>
      <vertAlign val="subscript"/>
      <sz val="9"/>
      <name val="Calibri"/>
      <family val="2"/>
      <scheme val="minor"/>
    </font>
    <font>
      <b/>
      <sz val="10"/>
      <color theme="0" tint="-0.34998626667073579"/>
      <name val="Arial"/>
      <family val="2"/>
    </font>
    <font>
      <b/>
      <sz val="11"/>
      <color theme="0" tint="-0.34998626667073579"/>
      <name val="Calibri"/>
      <family val="2"/>
      <scheme val="minor"/>
    </font>
    <font>
      <b/>
      <sz val="10"/>
      <color theme="0" tint="-0.14999847407452621"/>
      <name val="Arial"/>
      <family val="2"/>
    </font>
    <font>
      <i/>
      <sz val="10"/>
      <color theme="0" tint="-0.14999847407452621"/>
      <name val="Calibri"/>
      <family val="2"/>
      <scheme val="minor"/>
    </font>
    <font>
      <i/>
      <sz val="9"/>
      <color theme="0" tint="-0.14999847407452621"/>
      <name val="Calibri"/>
      <family val="2"/>
      <scheme val="minor"/>
    </font>
    <font>
      <i/>
      <sz val="10"/>
      <color theme="1"/>
      <name val="Calibri"/>
      <family val="2"/>
      <scheme val="minor"/>
    </font>
    <font>
      <sz val="10"/>
      <color theme="0" tint="-0.499984740745262"/>
      <name val="Calibri"/>
      <family val="2"/>
      <scheme val="minor"/>
    </font>
    <font>
      <sz val="11"/>
      <color theme="0" tint="-0.499984740745262"/>
      <name val="Calibri"/>
      <family val="2"/>
      <scheme val="minor"/>
    </font>
    <font>
      <b/>
      <sz val="10"/>
      <color theme="1"/>
      <name val="Verdana"/>
      <family val="2"/>
    </font>
    <font>
      <sz val="9"/>
      <color theme="0" tint="-0.14999847407452621"/>
      <name val="Calibri"/>
      <family val="2"/>
      <scheme val="minor"/>
    </font>
    <font>
      <b/>
      <sz val="11"/>
      <name val="Arial"/>
      <family val="2"/>
    </font>
    <font>
      <b/>
      <vertAlign val="subscript"/>
      <sz val="11"/>
      <name val="Arial"/>
      <family val="2"/>
    </font>
    <font>
      <b/>
      <sz val="10"/>
      <color theme="0" tint="-0.499984740745262"/>
      <name val="Arial"/>
      <family val="2"/>
    </font>
    <font>
      <b/>
      <sz val="10"/>
      <color theme="0" tint="-0.499984740745262"/>
      <name val="Calibri"/>
      <family val="2"/>
      <scheme val="minor"/>
    </font>
    <font>
      <sz val="9"/>
      <color rgb="FF0000FF"/>
      <name val="Calibri"/>
      <family val="2"/>
      <scheme val="minor"/>
    </font>
    <font>
      <sz val="11"/>
      <color theme="0" tint="-0.249977111117893"/>
      <name val="Calibri"/>
      <family val="2"/>
      <scheme val="minor"/>
    </font>
  </fonts>
  <fills count="34">
    <fill>
      <patternFill patternType="none"/>
    </fill>
    <fill>
      <patternFill patternType="gray125"/>
    </fill>
    <fill>
      <patternFill patternType="solid">
        <fgColor indexed="50"/>
        <bgColor indexed="64"/>
      </patternFill>
    </fill>
    <fill>
      <patternFill patternType="solid">
        <fgColor theme="6" tint="0.39997558519241921"/>
        <bgColor indexed="64"/>
      </patternFill>
    </fill>
    <fill>
      <patternFill patternType="solid">
        <fgColor rgb="FF9BBB59"/>
        <bgColor indexed="64"/>
      </patternFill>
    </fill>
    <fill>
      <patternFill patternType="solid">
        <fgColor rgb="FFD6E3BC"/>
        <bgColor indexed="64"/>
      </patternFill>
    </fill>
    <fill>
      <patternFill patternType="solid">
        <fgColor rgb="FFD9D9D9"/>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90C873"/>
        <bgColor indexed="64"/>
      </patternFill>
    </fill>
    <fill>
      <patternFill patternType="solid">
        <fgColor theme="0" tint="-4.9989318521683403E-2"/>
        <bgColor indexed="64"/>
      </patternFill>
    </fill>
    <fill>
      <patternFill patternType="solid">
        <fgColor theme="0"/>
        <bgColor indexed="64"/>
      </patternFill>
    </fill>
    <fill>
      <patternFill patternType="solid">
        <fgColor rgb="FFFFF893"/>
        <bgColor indexed="64"/>
      </patternFill>
    </fill>
    <fill>
      <patternFill patternType="solid">
        <fgColor rgb="FFCCFFCC"/>
        <bgColor indexed="64"/>
      </patternFill>
    </fill>
    <fill>
      <patternFill patternType="solid">
        <fgColor theme="2"/>
        <bgColor indexed="64"/>
      </patternFill>
    </fill>
    <fill>
      <patternFill patternType="solid">
        <fgColor rgb="FFFFFF00"/>
        <bgColor indexed="64"/>
      </patternFill>
    </fill>
    <fill>
      <patternFill patternType="solid">
        <fgColor theme="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7D16C"/>
        <bgColor indexed="64"/>
      </patternFill>
    </fill>
    <fill>
      <patternFill patternType="solid">
        <fgColor theme="8" tint="0.59999389629810485"/>
        <bgColor indexed="64"/>
      </patternFill>
    </fill>
    <fill>
      <patternFill patternType="solid">
        <fgColor rgb="FFF3FF97"/>
        <bgColor indexed="64"/>
      </patternFill>
    </fill>
    <fill>
      <patternFill patternType="solid">
        <fgColor theme="9" tint="0.59999389629810485"/>
        <bgColor indexed="64"/>
      </patternFill>
    </fill>
    <fill>
      <patternFill patternType="solid">
        <fgColor rgb="FFFCFF90"/>
        <bgColor indexed="64"/>
      </patternFill>
    </fill>
    <fill>
      <patternFill patternType="solid">
        <fgColor rgb="FFD8E4BC"/>
        <bgColor rgb="FF000000"/>
      </patternFill>
    </fill>
    <fill>
      <patternFill patternType="solid">
        <fgColor rgb="FFFFFB98"/>
        <bgColor indexed="64"/>
      </patternFill>
    </fill>
    <fill>
      <patternFill patternType="solid">
        <fgColor rgb="FF92D050"/>
        <bgColor indexed="64"/>
      </patternFill>
    </fill>
    <fill>
      <patternFill patternType="solid">
        <fgColor rgb="FFFFC000"/>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00B050"/>
        <bgColor indexed="64"/>
      </patternFill>
    </fill>
    <fill>
      <patternFill patternType="solid">
        <fgColor theme="3" tint="0.79998168889431442"/>
        <bgColor indexed="64"/>
      </patternFill>
    </fill>
  </fills>
  <borders count="31">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top/>
      <bottom style="thin">
        <color auto="1"/>
      </bottom>
      <diagonal/>
    </border>
    <border>
      <left style="thin">
        <color auto="1"/>
      </left>
      <right/>
      <top/>
      <bottom style="thin">
        <color auto="1"/>
      </bottom>
      <diagonal/>
    </border>
    <border>
      <left/>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rgb="FF7F7F7F"/>
      </left>
      <right style="medium">
        <color rgb="FF7F7F7F"/>
      </right>
      <top style="medium">
        <color rgb="FF7F7F7F"/>
      </top>
      <bottom style="medium">
        <color rgb="FF7F7F7F"/>
      </bottom>
      <diagonal/>
    </border>
    <border>
      <left/>
      <right style="medium">
        <color rgb="FF7F7F7F"/>
      </right>
      <top style="medium">
        <color rgb="FF7F7F7F"/>
      </top>
      <bottom style="medium">
        <color rgb="FF7F7F7F"/>
      </bottom>
      <diagonal/>
    </border>
    <border>
      <left/>
      <right style="medium">
        <color rgb="FF7F7F7F"/>
      </right>
      <top/>
      <bottom style="medium">
        <color rgb="FF7F7F7F"/>
      </bottom>
      <diagonal/>
    </border>
    <border>
      <left style="medium">
        <color rgb="FF808080"/>
      </left>
      <right style="medium">
        <color rgb="FF808080"/>
      </right>
      <top/>
      <bottom style="thick">
        <color rgb="FF000000"/>
      </bottom>
      <diagonal/>
    </border>
    <border>
      <left/>
      <right style="medium">
        <color rgb="FF808080"/>
      </right>
      <top/>
      <bottom style="thick">
        <color rgb="FF000000"/>
      </bottom>
      <diagonal/>
    </border>
    <border>
      <left/>
      <right style="medium">
        <color rgb="FF7F7F7F"/>
      </right>
      <top style="thin">
        <color auto="1"/>
      </top>
      <bottom/>
      <diagonal/>
    </border>
    <border>
      <left style="thin">
        <color theme="9"/>
      </left>
      <right/>
      <top/>
      <bottom/>
      <diagonal/>
    </border>
    <border>
      <left/>
      <right style="thin">
        <color theme="9"/>
      </right>
      <top/>
      <bottom/>
      <diagonal/>
    </border>
    <border>
      <left/>
      <right style="thin">
        <color indexed="64"/>
      </right>
      <top/>
      <bottom style="thin">
        <color auto="1"/>
      </bottom>
      <diagonal/>
    </border>
    <border>
      <left/>
      <right style="thin">
        <color indexed="64"/>
      </right>
      <top/>
      <bottom/>
      <diagonal/>
    </border>
    <border>
      <left/>
      <right style="thin">
        <color indexed="64"/>
      </right>
      <top style="thin">
        <color auto="1"/>
      </top>
      <bottom/>
      <diagonal/>
    </border>
    <border>
      <left/>
      <right style="thin">
        <color indexed="64"/>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99">
    <xf numFmtId="0" fontId="0" fillId="0" borderId="0"/>
    <xf numFmtId="0" fontId="40" fillId="0" borderId="0" applyNumberFormat="0" applyFill="0" applyBorder="0" applyAlignment="0" applyProtection="0">
      <alignment vertical="top"/>
      <protection locked="0"/>
    </xf>
    <xf numFmtId="165" fontId="3" fillId="0" borderId="0" applyFont="0" applyFill="0" applyBorder="0" applyAlignment="0" applyProtection="0"/>
    <xf numFmtId="9" fontId="3" fillId="0" borderId="0" applyFon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cellStyleXfs>
  <cellXfs count="856">
    <xf numFmtId="0" fontId="0" fillId="0" borderId="0" xfId="0"/>
    <xf numFmtId="0" fontId="0" fillId="0" borderId="0" xfId="0" applyAlignment="1">
      <alignment horizontal="left"/>
    </xf>
    <xf numFmtId="0" fontId="0" fillId="0" borderId="0" xfId="0" applyAlignment="1">
      <alignment horizontal="center"/>
    </xf>
    <xf numFmtId="0" fontId="0" fillId="0" borderId="0" xfId="0" quotePrefix="1" applyAlignment="1">
      <alignment horizontal="center"/>
    </xf>
    <xf numFmtId="0" fontId="0" fillId="0" borderId="0" xfId="0" applyAlignment="1">
      <alignment horizontal="left" indent="1"/>
    </xf>
    <xf numFmtId="0" fontId="11" fillId="0" borderId="0" xfId="0" applyFont="1" applyAlignment="1">
      <alignment horizontal="left" indent="1"/>
    </xf>
    <xf numFmtId="0" fontId="12" fillId="0" borderId="0" xfId="0" applyFont="1"/>
    <xf numFmtId="0" fontId="13" fillId="0" borderId="0" xfId="0" applyFont="1" applyAlignment="1">
      <alignment horizontal="center"/>
    </xf>
    <xf numFmtId="0" fontId="15" fillId="0" borderId="0" xfId="0" applyFont="1"/>
    <xf numFmtId="0" fontId="14" fillId="0" borderId="0" xfId="0" applyFont="1"/>
    <xf numFmtId="0" fontId="17" fillId="0" borderId="0" xfId="0" applyFont="1"/>
    <xf numFmtId="0" fontId="18" fillId="0" borderId="0" xfId="0" applyFont="1"/>
    <xf numFmtId="0" fontId="16" fillId="0" borderId="0" xfId="0" applyFont="1"/>
    <xf numFmtId="0" fontId="22" fillId="0" borderId="0" xfId="0" applyFont="1"/>
    <xf numFmtId="0" fontId="24" fillId="0" borderId="0" xfId="0" applyFont="1"/>
    <xf numFmtId="0" fontId="5" fillId="0" borderId="0" xfId="0" applyFont="1"/>
    <xf numFmtId="0" fontId="25" fillId="0" borderId="0" xfId="0" applyFont="1"/>
    <xf numFmtId="0" fontId="0" fillId="0" borderId="0" xfId="0" applyAlignment="1">
      <alignment horizontal="right"/>
    </xf>
    <xf numFmtId="0" fontId="27" fillId="0" borderId="0" xfId="0" applyFont="1"/>
    <xf numFmtId="0" fontId="28" fillId="0" borderId="0" xfId="0" applyFont="1"/>
    <xf numFmtId="0" fontId="27" fillId="0" borderId="0" xfId="0" applyFont="1" applyAlignment="1">
      <alignment horizontal="center"/>
    </xf>
    <xf numFmtId="0" fontId="29" fillId="0" borderId="0" xfId="0" applyFont="1"/>
    <xf numFmtId="0" fontId="30" fillId="0" borderId="0" xfId="0" applyFont="1"/>
    <xf numFmtId="0" fontId="31" fillId="0" borderId="0" xfId="0" applyFont="1"/>
    <xf numFmtId="0" fontId="32" fillId="0" borderId="0" xfId="0" applyFont="1"/>
    <xf numFmtId="0" fontId="34" fillId="0" borderId="0" xfId="0" applyFont="1"/>
    <xf numFmtId="17" fontId="0" fillId="0" borderId="0" xfId="0" quotePrefix="1" applyNumberFormat="1" applyAlignment="1">
      <alignment horizontal="center"/>
    </xf>
    <xf numFmtId="0" fontId="0" fillId="0" borderId="0" xfId="0" quotePrefix="1"/>
    <xf numFmtId="0" fontId="36" fillId="0" borderId="0" xfId="0" applyFont="1"/>
    <xf numFmtId="0" fontId="0" fillId="0" borderId="0" xfId="0" applyAlignment="1">
      <alignment horizontal="center" vertical="center"/>
    </xf>
    <xf numFmtId="167" fontId="0" fillId="0" borderId="0" xfId="0" applyNumberFormat="1" applyAlignment="1">
      <alignment horizontal="center"/>
    </xf>
    <xf numFmtId="168" fontId="0" fillId="0" borderId="0" xfId="0" applyNumberFormat="1" applyAlignment="1">
      <alignment horizontal="center"/>
    </xf>
    <xf numFmtId="166" fontId="0" fillId="0" borderId="0" xfId="0" applyNumberFormat="1" applyAlignment="1">
      <alignment horizontal="center"/>
    </xf>
    <xf numFmtId="0" fontId="0" fillId="0" borderId="0" xfId="0"/>
    <xf numFmtId="0" fontId="4" fillId="0" borderId="0" xfId="0" applyFont="1"/>
    <xf numFmtId="166" fontId="0" fillId="0" borderId="0" xfId="0" applyNumberFormat="1" applyAlignment="1">
      <alignment horizontal="center"/>
    </xf>
    <xf numFmtId="168" fontId="0" fillId="0" borderId="0" xfId="0" applyNumberFormat="1" applyAlignment="1">
      <alignment horizontal="center"/>
    </xf>
    <xf numFmtId="166" fontId="0" fillId="2" borderId="0" xfId="0" applyNumberFormat="1" applyFill="1" applyAlignment="1">
      <alignment horizontal="center"/>
    </xf>
    <xf numFmtId="0" fontId="39" fillId="0" borderId="0" xfId="0" applyFont="1"/>
    <xf numFmtId="2" fontId="0" fillId="0" borderId="0" xfId="0" applyNumberFormat="1" applyAlignment="1">
      <alignment horizontal="center"/>
    </xf>
    <xf numFmtId="166" fontId="0" fillId="0" borderId="0" xfId="0" applyNumberFormat="1" applyAlignment="1">
      <alignment horizontal="center"/>
    </xf>
    <xf numFmtId="168" fontId="0" fillId="0" borderId="0" xfId="0" applyNumberFormat="1" applyAlignment="1">
      <alignment horizontal="right"/>
    </xf>
    <xf numFmtId="0" fontId="0" fillId="0" borderId="0" xfId="0" applyAlignment="1">
      <alignment vertical="center"/>
    </xf>
    <xf numFmtId="1" fontId="0" fillId="0" borderId="0" xfId="0" applyNumberFormat="1" applyAlignment="1">
      <alignment horizontal="center"/>
    </xf>
    <xf numFmtId="168" fontId="0" fillId="0" borderId="0" xfId="0" applyNumberFormat="1" applyAlignment="1">
      <alignment horizontal="center"/>
    </xf>
    <xf numFmtId="166" fontId="0" fillId="0" borderId="0" xfId="0" applyNumberFormat="1" applyAlignment="1">
      <alignment horizontal="center"/>
    </xf>
    <xf numFmtId="1" fontId="0" fillId="0" borderId="0" xfId="0" applyNumberFormat="1" applyAlignment="1">
      <alignment horizontal="center"/>
    </xf>
    <xf numFmtId="2" fontId="0" fillId="0" borderId="0" xfId="0" applyNumberFormat="1" applyAlignment="1">
      <alignment horizontal="right"/>
    </xf>
    <xf numFmtId="0" fontId="0" fillId="0" borderId="0" xfId="0" applyAlignment="1"/>
    <xf numFmtId="2" fontId="0" fillId="0" borderId="0" xfId="0" applyNumberFormat="1" applyAlignment="1">
      <alignment horizontal="center"/>
    </xf>
    <xf numFmtId="2" fontId="0" fillId="0" borderId="0" xfId="0" applyNumberFormat="1" applyAlignment="1">
      <alignment horizontal="center"/>
    </xf>
    <xf numFmtId="168" fontId="0" fillId="0" borderId="0" xfId="0" applyNumberFormat="1" applyAlignment="1">
      <alignment horizontal="center"/>
    </xf>
    <xf numFmtId="1" fontId="0" fillId="0" borderId="0" xfId="0" applyNumberFormat="1" applyAlignment="1">
      <alignment horizontal="center"/>
    </xf>
    <xf numFmtId="1" fontId="0" fillId="0" borderId="0" xfId="0" applyNumberFormat="1" applyAlignment="1">
      <alignment horizontal="center"/>
    </xf>
    <xf numFmtId="167" fontId="0" fillId="0" borderId="0" xfId="0" applyNumberFormat="1"/>
    <xf numFmtId="168" fontId="0" fillId="0" borderId="0" xfId="0" applyNumberFormat="1" applyAlignment="1">
      <alignment horizontal="center"/>
    </xf>
    <xf numFmtId="168" fontId="0" fillId="0" borderId="0" xfId="0" applyNumberFormat="1" applyAlignment="1">
      <alignment horizontal="center"/>
    </xf>
    <xf numFmtId="0" fontId="0" fillId="0" borderId="0" xfId="0" applyAlignment="1">
      <alignment horizontal="left" vertical="center"/>
    </xf>
    <xf numFmtId="0" fontId="2" fillId="0" borderId="0" xfId="0" applyFont="1"/>
    <xf numFmtId="0" fontId="2" fillId="0" borderId="0" xfId="0" applyFont="1" applyAlignment="1">
      <alignment horizontal="center"/>
    </xf>
    <xf numFmtId="1" fontId="2" fillId="0" borderId="0" xfId="0" applyNumberFormat="1" applyFont="1" applyAlignment="1">
      <alignment horizontal="center"/>
    </xf>
    <xf numFmtId="0" fontId="4" fillId="0" borderId="0" xfId="0" applyFont="1" applyAlignment="1">
      <alignment vertical="center"/>
    </xf>
    <xf numFmtId="0" fontId="4" fillId="0" borderId="0" xfId="0" applyFont="1" applyAlignment="1">
      <alignment horizontal="right" vertical="center"/>
    </xf>
    <xf numFmtId="0" fontId="41" fillId="0" borderId="0" xfId="0" applyFont="1" applyAlignment="1">
      <alignment horizontal="center"/>
    </xf>
    <xf numFmtId="0" fontId="42" fillId="0" borderId="0" xfId="0" applyFont="1"/>
    <xf numFmtId="0" fontId="41" fillId="0" borderId="0" xfId="0" quotePrefix="1" applyFont="1" applyAlignment="1">
      <alignment horizontal="center"/>
    </xf>
    <xf numFmtId="0" fontId="44" fillId="0" borderId="0" xfId="0" applyFont="1"/>
    <xf numFmtId="0" fontId="46" fillId="0" borderId="0" xfId="0" applyFont="1"/>
    <xf numFmtId="17" fontId="0" fillId="0" borderId="0" xfId="0" quotePrefix="1" applyNumberFormat="1"/>
    <xf numFmtId="16" fontId="0" fillId="0" borderId="0" xfId="0" quotePrefix="1" applyNumberFormat="1"/>
    <xf numFmtId="0" fontId="22" fillId="0" borderId="1" xfId="0" applyFont="1" applyBorder="1" applyAlignment="1">
      <alignment vertical="top" wrapText="1"/>
    </xf>
    <xf numFmtId="1" fontId="22" fillId="0" borderId="2" xfId="0" applyNumberFormat="1" applyFont="1" applyBorder="1" applyAlignment="1">
      <alignment horizontal="center" vertical="top" wrapText="1"/>
    </xf>
    <xf numFmtId="0" fontId="22" fillId="0" borderId="2" xfId="0" applyFont="1" applyBorder="1" applyAlignment="1">
      <alignment horizontal="center" vertical="top" wrapText="1"/>
    </xf>
    <xf numFmtId="0" fontId="3" fillId="0" borderId="3" xfId="0" applyFont="1" applyBorder="1" applyAlignment="1">
      <alignment horizontal="center"/>
    </xf>
    <xf numFmtId="0" fontId="22" fillId="0" borderId="1" xfId="0" applyFont="1" applyBorder="1" applyAlignment="1">
      <alignment vertical="center" wrapText="1"/>
    </xf>
    <xf numFmtId="1" fontId="22" fillId="0" borderId="2" xfId="0" applyNumberFormat="1" applyFont="1" applyBorder="1" applyAlignment="1">
      <alignment horizontal="center" vertical="center" wrapText="1"/>
    </xf>
    <xf numFmtId="0" fontId="22" fillId="0" borderId="2" xfId="0" applyFont="1" applyBorder="1" applyAlignment="1">
      <alignment horizontal="center" vertical="center" wrapText="1"/>
    </xf>
    <xf numFmtId="0" fontId="3" fillId="0" borderId="3" xfId="0" applyFont="1" applyBorder="1" applyAlignment="1">
      <alignment horizontal="center" vertical="center"/>
    </xf>
    <xf numFmtId="0" fontId="47" fillId="0" borderId="0" xfId="0" applyFont="1"/>
    <xf numFmtId="0" fontId="40" fillId="0" borderId="0" xfId="1" applyAlignment="1" applyProtection="1"/>
    <xf numFmtId="0" fontId="3" fillId="0" borderId="0" xfId="0" applyFont="1"/>
    <xf numFmtId="167" fontId="0" fillId="0" borderId="0" xfId="0" applyNumberFormat="1" applyAlignment="1">
      <alignment horizontal="center"/>
    </xf>
    <xf numFmtId="166" fontId="0" fillId="0" borderId="0" xfId="0" applyNumberFormat="1" applyAlignment="1">
      <alignment horizontal="center"/>
    </xf>
    <xf numFmtId="0" fontId="48" fillId="0" borderId="0" xfId="0" applyFont="1"/>
    <xf numFmtId="0" fontId="3" fillId="0" borderId="0" xfId="0" applyFont="1" applyAlignment="1">
      <alignment horizontal="center"/>
    </xf>
    <xf numFmtId="166" fontId="0" fillId="0" borderId="0" xfId="0" applyNumberFormat="1" applyAlignment="1">
      <alignment horizontal="center"/>
    </xf>
    <xf numFmtId="1" fontId="0" fillId="0" borderId="0" xfId="0" applyNumberFormat="1" applyAlignment="1">
      <alignment horizontal="center"/>
    </xf>
    <xf numFmtId="0" fontId="16" fillId="0" borderId="0" xfId="0" applyFont="1" applyAlignment="1">
      <alignment horizontal="right"/>
    </xf>
    <xf numFmtId="0" fontId="0" fillId="0" borderId="0" xfId="0" applyFill="1" applyBorder="1"/>
    <xf numFmtId="0" fontId="0" fillId="0" borderId="0" xfId="0" applyFill="1"/>
    <xf numFmtId="166" fontId="0" fillId="0" borderId="0" xfId="0" applyNumberFormat="1" applyAlignment="1">
      <alignment horizontal="center"/>
    </xf>
    <xf numFmtId="0" fontId="50" fillId="0" borderId="0" xfId="0" applyFont="1" applyAlignment="1">
      <alignment horizontal="center"/>
    </xf>
    <xf numFmtId="16" fontId="0" fillId="0" borderId="0" xfId="0" quotePrefix="1" applyNumberFormat="1" applyAlignment="1">
      <alignment horizontal="center"/>
    </xf>
    <xf numFmtId="0" fontId="51" fillId="0" borderId="0" xfId="0" applyFont="1"/>
    <xf numFmtId="0" fontId="42" fillId="0" borderId="0" xfId="0" applyFont="1" applyAlignment="1">
      <alignment horizontal="right"/>
    </xf>
    <xf numFmtId="2" fontId="0" fillId="0" borderId="0" xfId="0" applyNumberFormat="1" applyAlignment="1">
      <alignment horizontal="center"/>
    </xf>
    <xf numFmtId="166" fontId="0" fillId="0" borderId="0" xfId="0" applyNumberFormat="1" applyFill="1" applyAlignment="1">
      <alignment horizontal="center"/>
    </xf>
    <xf numFmtId="0" fontId="22" fillId="0" borderId="0" xfId="0" applyFont="1" applyAlignment="1"/>
    <xf numFmtId="0" fontId="18" fillId="0" borderId="0" xfId="0" applyFont="1" applyAlignment="1"/>
    <xf numFmtId="0" fontId="3" fillId="0" borderId="0" xfId="0" quotePrefix="1" applyFont="1" applyAlignment="1">
      <alignment horizontal="center"/>
    </xf>
    <xf numFmtId="2" fontId="0" fillId="0" borderId="0" xfId="0" applyNumberFormat="1" applyAlignment="1">
      <alignment horizontal="center"/>
    </xf>
    <xf numFmtId="168" fontId="0" fillId="0" borderId="0" xfId="0" applyNumberFormat="1" applyAlignment="1">
      <alignment horizontal="center"/>
    </xf>
    <xf numFmtId="2" fontId="0" fillId="0" borderId="0" xfId="0" applyNumberFormat="1" applyAlignment="1">
      <alignment horizontal="center"/>
    </xf>
    <xf numFmtId="0" fontId="22" fillId="0" borderId="0" xfId="0" applyFont="1" applyAlignment="1">
      <alignment horizontal="center" vertical="center"/>
    </xf>
    <xf numFmtId="168" fontId="0" fillId="0" borderId="0" xfId="0" applyNumberFormat="1" applyAlignment="1">
      <alignment horizontal="center"/>
    </xf>
    <xf numFmtId="2" fontId="0" fillId="0" borderId="0" xfId="0" applyNumberFormat="1" applyAlignment="1">
      <alignment horizontal="center"/>
    </xf>
    <xf numFmtId="166" fontId="0" fillId="0" borderId="0" xfId="0" applyNumberFormat="1" applyAlignment="1">
      <alignment horizontal="center"/>
    </xf>
    <xf numFmtId="9" fontId="0" fillId="0" borderId="0" xfId="0" applyNumberFormat="1"/>
    <xf numFmtId="169" fontId="0" fillId="0" borderId="0" xfId="0" applyNumberFormat="1"/>
    <xf numFmtId="9" fontId="3" fillId="0" borderId="0" xfId="0" applyNumberFormat="1" applyFont="1" applyAlignment="1">
      <alignment horizontal="center"/>
    </xf>
    <xf numFmtId="0" fontId="40" fillId="0" borderId="0" xfId="1" applyFont="1" applyAlignment="1" applyProtection="1"/>
    <xf numFmtId="168" fontId="0" fillId="0" borderId="0" xfId="0" applyNumberFormat="1" applyAlignment="1">
      <alignment horizontal="center"/>
    </xf>
    <xf numFmtId="2" fontId="0" fillId="0" borderId="0" xfId="0" applyNumberFormat="1" applyAlignment="1">
      <alignment horizontal="center"/>
    </xf>
    <xf numFmtId="0" fontId="54" fillId="0" borderId="0" xfId="0" applyFont="1"/>
    <xf numFmtId="2" fontId="0" fillId="0" borderId="0" xfId="0" applyNumberFormat="1" applyAlignment="1">
      <alignment horizontal="center"/>
    </xf>
    <xf numFmtId="0" fontId="6" fillId="0" borderId="0" xfId="0" applyFont="1" applyAlignment="1">
      <alignment horizontal="center"/>
    </xf>
    <xf numFmtId="2" fontId="0" fillId="0" borderId="0" xfId="0" applyNumberFormat="1" applyAlignment="1">
      <alignment horizontal="center"/>
    </xf>
    <xf numFmtId="0" fontId="0" fillId="0" borderId="0" xfId="0"/>
    <xf numFmtId="0" fontId="57" fillId="0" borderId="0" xfId="0" applyFont="1"/>
    <xf numFmtId="0" fontId="55" fillId="0" borderId="0" xfId="0" applyFont="1"/>
    <xf numFmtId="3" fontId="60" fillId="0" borderId="0" xfId="0" applyNumberFormat="1" applyFont="1" applyAlignment="1">
      <alignment horizontal="center"/>
    </xf>
    <xf numFmtId="0" fontId="61" fillId="0" borderId="0" xfId="0" applyFont="1"/>
    <xf numFmtId="3" fontId="0" fillId="0" borderId="0" xfId="0" applyNumberFormat="1"/>
    <xf numFmtId="3" fontId="64" fillId="0" borderId="0" xfId="0" applyNumberFormat="1" applyFont="1" applyAlignment="1">
      <alignment horizontal="center"/>
    </xf>
    <xf numFmtId="0" fontId="60" fillId="0" borderId="0" xfId="0" applyFont="1"/>
    <xf numFmtId="0" fontId="0" fillId="0" borderId="0" xfId="0" applyFont="1"/>
    <xf numFmtId="0" fontId="65" fillId="0" borderId="0" xfId="0" applyFont="1"/>
    <xf numFmtId="0" fontId="60" fillId="0" borderId="0" xfId="0" applyFont="1" applyAlignment="1">
      <alignment horizontal="center"/>
    </xf>
    <xf numFmtId="3" fontId="61" fillId="0" borderId="0" xfId="0" applyNumberFormat="1" applyFont="1"/>
    <xf numFmtId="168" fontId="60" fillId="0" borderId="0" xfId="0" applyNumberFormat="1" applyFont="1" applyAlignment="1">
      <alignment horizontal="center"/>
    </xf>
    <xf numFmtId="168" fontId="60" fillId="0" borderId="0" xfId="0" applyNumberFormat="1" applyFont="1" applyAlignment="1">
      <alignment horizontal="left"/>
    </xf>
    <xf numFmtId="3" fontId="60" fillId="0" borderId="0" xfId="0" applyNumberFormat="1" applyFont="1"/>
    <xf numFmtId="2" fontId="60" fillId="0" borderId="0" xfId="0" applyNumberFormat="1" applyFont="1" applyAlignment="1">
      <alignment horizontal="center"/>
    </xf>
    <xf numFmtId="0" fontId="60" fillId="0" borderId="0" xfId="0" applyFont="1" applyAlignment="1">
      <alignment horizontal="center" vertical="center"/>
    </xf>
    <xf numFmtId="0" fontId="68" fillId="0" borderId="0" xfId="0" applyFont="1"/>
    <xf numFmtId="0" fontId="70" fillId="0" borderId="0" xfId="0" applyFont="1"/>
    <xf numFmtId="10" fontId="60" fillId="0" borderId="0" xfId="3" applyNumberFormat="1" applyFont="1"/>
    <xf numFmtId="1" fontId="60" fillId="0" borderId="0" xfId="0" applyNumberFormat="1" applyFont="1"/>
    <xf numFmtId="0" fontId="64" fillId="0" borderId="0" xfId="0" applyFont="1"/>
    <xf numFmtId="0" fontId="64" fillId="0" borderId="0" xfId="0" applyFont="1" applyAlignment="1">
      <alignment horizontal="center"/>
    </xf>
    <xf numFmtId="0" fontId="64" fillId="7" borderId="0" xfId="0" applyFont="1" applyFill="1" applyBorder="1" applyAlignment="1">
      <alignment horizontal="center"/>
    </xf>
    <xf numFmtId="0" fontId="64" fillId="7" borderId="5" xfId="0" applyFont="1" applyFill="1" applyBorder="1" applyAlignment="1">
      <alignment horizontal="center"/>
    </xf>
    <xf numFmtId="0" fontId="60" fillId="7" borderId="0" xfId="0" applyFont="1" applyFill="1" applyBorder="1" applyAlignment="1">
      <alignment horizontal="center"/>
    </xf>
    <xf numFmtId="0" fontId="60" fillId="11" borderId="0" xfId="0" applyFont="1" applyFill="1" applyAlignment="1">
      <alignment horizontal="center"/>
    </xf>
    <xf numFmtId="0" fontId="60" fillId="11" borderId="0" xfId="0" applyFont="1" applyFill="1"/>
    <xf numFmtId="2" fontId="60" fillId="11" borderId="0" xfId="0" applyNumberFormat="1" applyFont="1" applyFill="1" applyAlignment="1">
      <alignment horizontal="center"/>
    </xf>
    <xf numFmtId="0" fontId="60" fillId="11" borderId="0" xfId="0" applyFont="1" applyFill="1" applyAlignment="1">
      <alignment horizontal="left"/>
    </xf>
    <xf numFmtId="0" fontId="73" fillId="11" borderId="0" xfId="0" applyFont="1" applyFill="1" applyAlignment="1">
      <alignment horizontal="left"/>
    </xf>
    <xf numFmtId="0" fontId="73" fillId="11" borderId="0" xfId="0" applyFont="1" applyFill="1" applyAlignment="1">
      <alignment horizontal="center"/>
    </xf>
    <xf numFmtId="3" fontId="60" fillId="0" borderId="0" xfId="2" applyNumberFormat="1" applyFont="1" applyAlignment="1">
      <alignment horizontal="center"/>
    </xf>
    <xf numFmtId="0" fontId="64" fillId="0" borderId="0" xfId="0" applyFont="1" applyFill="1" applyAlignment="1">
      <alignment horizontal="center"/>
    </xf>
    <xf numFmtId="0" fontId="64" fillId="0" borderId="0" xfId="0" applyFont="1" applyFill="1"/>
    <xf numFmtId="3" fontId="64" fillId="0" borderId="0" xfId="0" applyNumberFormat="1" applyFont="1"/>
    <xf numFmtId="1" fontId="60" fillId="0" borderId="0" xfId="0" applyNumberFormat="1" applyFont="1" applyAlignment="1">
      <alignment horizontal="center"/>
    </xf>
    <xf numFmtId="3" fontId="74" fillId="0" borderId="0" xfId="0" applyNumberFormat="1" applyFont="1"/>
    <xf numFmtId="3" fontId="75" fillId="0" borderId="0" xfId="0" applyNumberFormat="1" applyFont="1"/>
    <xf numFmtId="0" fontId="78" fillId="0" borderId="0" xfId="0" applyFont="1"/>
    <xf numFmtId="2" fontId="79" fillId="0" borderId="0" xfId="0" applyNumberFormat="1" applyFont="1" applyAlignment="1">
      <alignment horizontal="center"/>
    </xf>
    <xf numFmtId="0" fontId="80" fillId="0" borderId="0" xfId="0" applyFont="1" applyAlignment="1">
      <alignment horizontal="right"/>
    </xf>
    <xf numFmtId="0" fontId="60" fillId="10" borderId="0" xfId="0" applyFont="1" applyFill="1" applyAlignment="1">
      <alignment horizontal="center"/>
    </xf>
    <xf numFmtId="164" fontId="64" fillId="0" borderId="0" xfId="0" applyNumberFormat="1" applyFont="1" applyAlignment="1">
      <alignment horizontal="center"/>
    </xf>
    <xf numFmtId="0" fontId="0" fillId="0" borderId="0" xfId="0" applyFont="1" applyAlignment="1">
      <alignment horizontal="center"/>
    </xf>
    <xf numFmtId="0" fontId="0" fillId="0" borderId="0" xfId="0"/>
    <xf numFmtId="0" fontId="0" fillId="0" borderId="0" xfId="0" applyFill="1" applyAlignment="1">
      <alignment horizontal="center"/>
    </xf>
    <xf numFmtId="0" fontId="60" fillId="0" borderId="0" xfId="0" applyFont="1" applyFill="1" applyAlignment="1">
      <alignment horizontal="center"/>
    </xf>
    <xf numFmtId="2" fontId="60" fillId="0" borderId="0" xfId="0" applyNumberFormat="1" applyFont="1" applyFill="1" applyAlignment="1">
      <alignment horizontal="center"/>
    </xf>
    <xf numFmtId="4" fontId="60" fillId="0" borderId="0" xfId="0" applyNumberFormat="1" applyFont="1" applyFill="1" applyAlignment="1">
      <alignment horizontal="center"/>
    </xf>
    <xf numFmtId="3" fontId="60" fillId="0" borderId="0" xfId="2" applyNumberFormat="1" applyFont="1" applyFill="1" applyAlignment="1">
      <alignment horizontal="center"/>
    </xf>
    <xf numFmtId="0" fontId="70" fillId="0" borderId="0" xfId="0" applyFont="1" applyFill="1" applyBorder="1"/>
    <xf numFmtId="0" fontId="83" fillId="0" borderId="0" xfId="0" applyFont="1"/>
    <xf numFmtId="0" fontId="83" fillId="0" borderId="0" xfId="0" applyFont="1" applyFill="1" applyBorder="1" applyAlignment="1">
      <alignment horizontal="center"/>
    </xf>
    <xf numFmtId="0" fontId="84" fillId="0" borderId="0" xfId="0" applyFont="1"/>
    <xf numFmtId="3" fontId="74" fillId="12" borderId="0" xfId="0" applyNumberFormat="1" applyFont="1" applyFill="1"/>
    <xf numFmtId="0" fontId="74" fillId="12" borderId="0" xfId="0" applyFont="1" applyFill="1"/>
    <xf numFmtId="3" fontId="74" fillId="0" borderId="0" xfId="0" applyNumberFormat="1" applyFont="1" applyFill="1"/>
    <xf numFmtId="0" fontId="60" fillId="0" borderId="0" xfId="0" applyFont="1" applyFill="1"/>
    <xf numFmtId="0" fontId="60" fillId="0" borderId="0" xfId="0" applyFont="1" applyFill="1" applyBorder="1" applyAlignment="1">
      <alignment horizontal="center"/>
    </xf>
    <xf numFmtId="0" fontId="85" fillId="0" borderId="0" xfId="0" applyFont="1"/>
    <xf numFmtId="0" fontId="74" fillId="0" borderId="0" xfId="0" applyFont="1"/>
    <xf numFmtId="3" fontId="74" fillId="0" borderId="9" xfId="0" applyNumberFormat="1" applyFont="1" applyBorder="1"/>
    <xf numFmtId="3" fontId="84" fillId="0" borderId="0" xfId="0" applyNumberFormat="1" applyFont="1" applyAlignment="1">
      <alignment horizontal="center"/>
    </xf>
    <xf numFmtId="0" fontId="86" fillId="0" borderId="0" xfId="0" applyFont="1"/>
    <xf numFmtId="2" fontId="58" fillId="0" borderId="0" xfId="0" applyNumberFormat="1" applyFont="1" applyAlignment="1">
      <alignment horizontal="left"/>
    </xf>
    <xf numFmtId="3" fontId="60" fillId="0" borderId="9" xfId="0" applyNumberFormat="1" applyFont="1" applyBorder="1" applyAlignment="1">
      <alignment horizontal="center"/>
    </xf>
    <xf numFmtId="0" fontId="60" fillId="10" borderId="9" xfId="0" applyFont="1" applyFill="1" applyBorder="1" applyAlignment="1">
      <alignment horizontal="center"/>
    </xf>
    <xf numFmtId="0" fontId="0" fillId="0" borderId="0" xfId="0"/>
    <xf numFmtId="0" fontId="0" fillId="0" borderId="0" xfId="0"/>
    <xf numFmtId="0" fontId="0" fillId="0" borderId="0" xfId="0" applyFont="1" applyBorder="1"/>
    <xf numFmtId="0" fontId="0" fillId="0" borderId="0" xfId="0" applyFont="1" applyFill="1" applyAlignment="1">
      <alignment horizontal="center"/>
    </xf>
    <xf numFmtId="0" fontId="74" fillId="0" borderId="0" xfId="0" applyFont="1" applyAlignment="1">
      <alignment horizontal="right"/>
    </xf>
    <xf numFmtId="3" fontId="60" fillId="0" borderId="0" xfId="0" applyNumberFormat="1" applyFont="1" applyFill="1"/>
    <xf numFmtId="0" fontId="0" fillId="0" borderId="0" xfId="0"/>
    <xf numFmtId="0" fontId="0" fillId="0" borderId="0" xfId="0" applyAlignment="1">
      <alignment horizontal="center"/>
    </xf>
    <xf numFmtId="0" fontId="60" fillId="7" borderId="0" xfId="0" applyFont="1" applyFill="1"/>
    <xf numFmtId="3" fontId="60" fillId="15" borderId="9" xfId="0" applyNumberFormat="1" applyFont="1" applyFill="1" applyBorder="1" applyAlignment="1">
      <alignment horizontal="center"/>
    </xf>
    <xf numFmtId="0" fontId="60" fillId="0" borderId="7" xfId="0" applyFont="1" applyFill="1" applyBorder="1" applyAlignment="1">
      <alignment horizontal="right"/>
    </xf>
    <xf numFmtId="0" fontId="61" fillId="0" borderId="0" xfId="0" applyFont="1" applyFill="1" applyAlignment="1">
      <alignment horizontal="center"/>
    </xf>
    <xf numFmtId="0" fontId="60" fillId="0" borderId="0" xfId="0" applyFont="1" applyBorder="1" applyAlignment="1">
      <alignment horizontal="center"/>
    </xf>
    <xf numFmtId="166" fontId="60" fillId="0" borderId="0" xfId="0" applyNumberFormat="1" applyFont="1" applyBorder="1" applyAlignment="1">
      <alignment horizontal="center"/>
    </xf>
    <xf numFmtId="2" fontId="60" fillId="0" borderId="0" xfId="0" applyNumberFormat="1" applyFont="1" applyBorder="1" applyAlignment="1">
      <alignment horizontal="center"/>
    </xf>
    <xf numFmtId="0" fontId="64" fillId="0" borderId="0" xfId="0" applyFont="1" applyFill="1" applyBorder="1"/>
    <xf numFmtId="0" fontId="0" fillId="0" borderId="0" xfId="0" quotePrefix="1" applyFill="1" applyBorder="1" applyAlignment="1">
      <alignment horizontal="center"/>
    </xf>
    <xf numFmtId="0" fontId="87" fillId="0" borderId="0" xfId="0" applyFont="1" applyFill="1" applyBorder="1" applyAlignment="1">
      <alignment horizontal="center"/>
    </xf>
    <xf numFmtId="1" fontId="64" fillId="0" borderId="0" xfId="0" applyNumberFormat="1" applyFont="1"/>
    <xf numFmtId="0" fontId="88" fillId="0" borderId="0" xfId="0" applyFont="1"/>
    <xf numFmtId="1" fontId="89" fillId="0" borderId="0" xfId="0" applyNumberFormat="1" applyFont="1" applyAlignment="1">
      <alignment horizontal="right"/>
    </xf>
    <xf numFmtId="172" fontId="89" fillId="0" borderId="0" xfId="0" applyNumberFormat="1" applyFont="1" applyAlignment="1">
      <alignment horizontal="center"/>
    </xf>
    <xf numFmtId="166" fontId="89" fillId="0" borderId="0" xfId="0" applyNumberFormat="1" applyFont="1" applyAlignment="1">
      <alignment horizontal="center"/>
    </xf>
    <xf numFmtId="0" fontId="89" fillId="0" borderId="0" xfId="0" applyFont="1" applyAlignment="1">
      <alignment horizontal="center"/>
    </xf>
    <xf numFmtId="9" fontId="89" fillId="0" borderId="0" xfId="3" applyFont="1" applyAlignment="1">
      <alignment horizontal="center"/>
    </xf>
    <xf numFmtId="1" fontId="64" fillId="0" borderId="0" xfId="0" applyNumberFormat="1" applyFont="1" applyAlignment="1">
      <alignment horizontal="center"/>
    </xf>
    <xf numFmtId="0" fontId="61" fillId="0" borderId="0" xfId="0" applyFont="1" applyAlignment="1">
      <alignment vertical="center"/>
    </xf>
    <xf numFmtId="0" fontId="81" fillId="4" borderId="11" xfId="0" applyFont="1" applyFill="1" applyBorder="1" applyAlignment="1">
      <alignment vertical="center" wrapText="1"/>
    </xf>
    <xf numFmtId="0" fontId="61" fillId="5" borderId="12" xfId="0" applyFont="1" applyFill="1" applyBorder="1" applyAlignment="1">
      <alignment vertical="center" wrapText="1"/>
    </xf>
    <xf numFmtId="0" fontId="90" fillId="4" borderId="12" xfId="0" applyFont="1" applyFill="1" applyBorder="1" applyAlignment="1">
      <alignment horizontal="center" vertical="center" wrapText="1"/>
    </xf>
    <xf numFmtId="0" fontId="90" fillId="5" borderId="12" xfId="0" applyFont="1" applyFill="1" applyBorder="1" applyAlignment="1">
      <alignment horizontal="center" vertical="center" wrapText="1"/>
    </xf>
    <xf numFmtId="0" fontId="81" fillId="0" borderId="13" xfId="0" applyFont="1" applyBorder="1" applyAlignment="1">
      <alignment vertical="center" wrapText="1"/>
    </xf>
    <xf numFmtId="0" fontId="81" fillId="0" borderId="13" xfId="0" applyFont="1" applyBorder="1" applyAlignment="1">
      <alignment horizontal="center" vertical="center" wrapText="1"/>
    </xf>
    <xf numFmtId="0" fontId="90" fillId="6" borderId="14" xfId="0" applyFont="1" applyFill="1" applyBorder="1" applyAlignment="1">
      <alignment vertical="center" wrapText="1"/>
    </xf>
    <xf numFmtId="0" fontId="90" fillId="6" borderId="15" xfId="0" applyFont="1" applyFill="1" applyBorder="1" applyAlignment="1">
      <alignment horizontal="right" vertical="center" wrapText="1"/>
    </xf>
    <xf numFmtId="0" fontId="63" fillId="0" borderId="0" xfId="0" applyFont="1" applyFill="1" applyBorder="1" applyAlignment="1">
      <alignment horizontal="right" vertical="center" wrapText="1"/>
    </xf>
    <xf numFmtId="2" fontId="63" fillId="0" borderId="0" xfId="0" applyNumberFormat="1" applyFont="1" applyFill="1" applyBorder="1" applyAlignment="1">
      <alignment vertical="center" wrapText="1"/>
    </xf>
    <xf numFmtId="0" fontId="62" fillId="0" borderId="0" xfId="0" applyFont="1" applyFill="1" applyBorder="1" applyAlignment="1">
      <alignment vertical="center" wrapText="1"/>
    </xf>
    <xf numFmtId="3" fontId="60" fillId="0" borderId="0" xfId="0" applyNumberFormat="1" applyFont="1" applyFill="1" applyAlignment="1">
      <alignment horizontal="center"/>
    </xf>
    <xf numFmtId="0" fontId="83" fillId="0" borderId="0" xfId="0" applyFont="1" applyFill="1" applyBorder="1" applyAlignment="1">
      <alignment horizontal="left"/>
    </xf>
    <xf numFmtId="0" fontId="83" fillId="11" borderId="0" xfId="0" applyFont="1" applyFill="1" applyBorder="1" applyAlignment="1">
      <alignment horizontal="left"/>
    </xf>
    <xf numFmtId="2" fontId="74" fillId="0" borderId="0" xfId="0" applyNumberFormat="1" applyFont="1" applyAlignment="1">
      <alignment horizontal="center"/>
    </xf>
    <xf numFmtId="0" fontId="64" fillId="0" borderId="0" xfId="0" quotePrefix="1" applyFont="1"/>
    <xf numFmtId="0" fontId="2" fillId="0" borderId="0" xfId="0" applyFont="1" applyAlignment="1">
      <alignment horizontal="center"/>
    </xf>
    <xf numFmtId="0" fontId="0" fillId="0" borderId="0" xfId="0"/>
    <xf numFmtId="0" fontId="64" fillId="0" borderId="0" xfId="0" applyFont="1" applyAlignment="1">
      <alignment horizontal="center"/>
    </xf>
    <xf numFmtId="0" fontId="0" fillId="0" borderId="0" xfId="0"/>
    <xf numFmtId="0" fontId="2" fillId="14" borderId="0" xfId="0" applyFont="1" applyFill="1"/>
    <xf numFmtId="0" fontId="2" fillId="14" borderId="0" xfId="0" applyFont="1" applyFill="1" applyAlignment="1">
      <alignment horizontal="left"/>
    </xf>
    <xf numFmtId="0" fontId="2" fillId="14" borderId="0" xfId="0" applyFont="1" applyFill="1" applyAlignment="1">
      <alignment horizontal="center"/>
    </xf>
    <xf numFmtId="0" fontId="2" fillId="14" borderId="0" xfId="0" applyFont="1" applyFill="1" applyAlignment="1">
      <alignment horizontal="center" vertical="center"/>
    </xf>
    <xf numFmtId="168" fontId="2" fillId="14" borderId="0" xfId="0" applyNumberFormat="1" applyFont="1" applyFill="1" applyAlignment="1">
      <alignment horizontal="right"/>
    </xf>
    <xf numFmtId="168" fontId="2" fillId="14" borderId="0" xfId="0" applyNumberFormat="1" applyFont="1" applyFill="1" applyAlignment="1">
      <alignment horizontal="center"/>
    </xf>
    <xf numFmtId="0" fontId="0" fillId="0" borderId="0" xfId="0" applyFont="1" applyAlignment="1">
      <alignment vertical="center"/>
    </xf>
    <xf numFmtId="0" fontId="60" fillId="0" borderId="0" xfId="0" applyFont="1" applyFill="1" applyAlignment="1">
      <alignment horizontal="left"/>
    </xf>
    <xf numFmtId="0" fontId="0" fillId="17" borderId="0" xfId="0" applyFill="1"/>
    <xf numFmtId="0" fontId="4" fillId="18" borderId="0" xfId="0" applyFont="1" applyFill="1"/>
    <xf numFmtId="0" fontId="0" fillId="18" borderId="0" xfId="0" applyFill="1"/>
    <xf numFmtId="168" fontId="2" fillId="18" borderId="0" xfId="0" applyNumberFormat="1" applyFont="1" applyFill="1" applyAlignment="1">
      <alignment horizontal="center"/>
    </xf>
    <xf numFmtId="168" fontId="0" fillId="18" borderId="0" xfId="0" applyNumberFormat="1" applyFill="1" applyAlignment="1">
      <alignment horizontal="center"/>
    </xf>
    <xf numFmtId="1" fontId="0" fillId="18" borderId="0" xfId="0" applyNumberFormat="1" applyFill="1" applyAlignment="1">
      <alignment horizontal="center"/>
    </xf>
    <xf numFmtId="0" fontId="0" fillId="18" borderId="0" xfId="0" applyFill="1" applyAlignment="1">
      <alignment vertical="center"/>
    </xf>
    <xf numFmtId="0" fontId="0" fillId="18" borderId="0" xfId="0" applyFill="1" applyAlignment="1">
      <alignment horizontal="center"/>
    </xf>
    <xf numFmtId="0" fontId="0" fillId="18" borderId="0" xfId="0" applyFill="1" applyAlignment="1">
      <alignment horizontal="center" vertical="center"/>
    </xf>
    <xf numFmtId="166" fontId="0" fillId="18" borderId="0" xfId="0" applyNumberFormat="1" applyFill="1" applyAlignment="1">
      <alignment horizontal="center"/>
    </xf>
    <xf numFmtId="0" fontId="0" fillId="0" borderId="0" xfId="0" applyFont="1" applyFill="1" applyAlignment="1">
      <alignment horizontal="center" vertical="center"/>
    </xf>
    <xf numFmtId="0" fontId="0" fillId="0" borderId="0" xfId="0" applyFont="1" applyFill="1"/>
    <xf numFmtId="0" fontId="0" fillId="0" borderId="0" xfId="0" applyFont="1" applyFill="1" applyAlignment="1">
      <alignment horizontal="left"/>
    </xf>
    <xf numFmtId="0" fontId="0" fillId="0" borderId="0" xfId="0" quotePrefix="1" applyFont="1" applyFill="1" applyAlignment="1">
      <alignment horizontal="center"/>
    </xf>
    <xf numFmtId="0" fontId="0" fillId="0" borderId="0" xfId="0" applyFont="1" applyFill="1" applyAlignment="1">
      <alignment vertical="center"/>
    </xf>
    <xf numFmtId="0" fontId="94" fillId="0" borderId="0" xfId="0" applyFont="1"/>
    <xf numFmtId="0" fontId="22" fillId="0" borderId="0" xfId="0" applyFont="1" applyAlignment="1">
      <alignment horizontal="left"/>
    </xf>
    <xf numFmtId="0" fontId="6" fillId="0" borderId="0" xfId="0" applyFont="1"/>
    <xf numFmtId="0" fontId="97" fillId="0" borderId="0" xfId="0" applyFont="1"/>
    <xf numFmtId="168" fontId="0" fillId="14" borderId="0" xfId="0" applyNumberFormat="1" applyFill="1" applyAlignment="1">
      <alignment horizontal="center"/>
    </xf>
    <xf numFmtId="0" fontId="0" fillId="19" borderId="0" xfId="0" applyFill="1"/>
    <xf numFmtId="0" fontId="0" fillId="19" borderId="0" xfId="0" applyFill="1" applyAlignment="1">
      <alignment horizontal="center"/>
    </xf>
    <xf numFmtId="0" fontId="0" fillId="19" borderId="0" xfId="0" applyFill="1" applyAlignment="1">
      <alignment horizontal="center" vertical="center"/>
    </xf>
    <xf numFmtId="168" fontId="0" fillId="19" borderId="0" xfId="0" applyNumberFormat="1" applyFill="1" applyAlignment="1">
      <alignment horizontal="center"/>
    </xf>
    <xf numFmtId="2" fontId="0" fillId="19" borderId="0" xfId="0" applyNumberFormat="1" applyFill="1" applyAlignment="1">
      <alignment horizontal="center"/>
    </xf>
    <xf numFmtId="0" fontId="2" fillId="14" borderId="0" xfId="0" applyFont="1" applyFill="1" applyAlignment="1">
      <alignment horizontal="right"/>
    </xf>
    <xf numFmtId="167" fontId="2" fillId="0" borderId="0" xfId="0" applyNumberFormat="1" applyFont="1" applyFill="1" applyAlignment="1">
      <alignment horizontal="center"/>
    </xf>
    <xf numFmtId="168" fontId="2" fillId="0" borderId="0" xfId="0" applyNumberFormat="1" applyFont="1" applyFill="1" applyAlignment="1">
      <alignment horizontal="center"/>
    </xf>
    <xf numFmtId="168" fontId="0" fillId="0" borderId="0" xfId="0" applyNumberFormat="1" applyFont="1" applyFill="1" applyAlignment="1">
      <alignment horizontal="center"/>
    </xf>
    <xf numFmtId="166" fontId="2" fillId="14" borderId="0" xfId="0" applyNumberFormat="1" applyFont="1" applyFill="1" applyAlignment="1">
      <alignment horizontal="center"/>
    </xf>
    <xf numFmtId="0" fontId="99" fillId="0" borderId="0" xfId="0" applyFont="1"/>
    <xf numFmtId="0" fontId="99" fillId="0" borderId="0" xfId="0" applyFont="1" applyAlignment="1">
      <alignment horizontal="center"/>
    </xf>
    <xf numFmtId="0" fontId="99" fillId="0" borderId="0" xfId="0" applyFont="1" applyAlignment="1">
      <alignment horizontal="center" vertical="center"/>
    </xf>
    <xf numFmtId="2" fontId="99" fillId="0" borderId="0" xfId="0" applyNumberFormat="1" applyFont="1" applyAlignment="1">
      <alignment horizontal="center"/>
    </xf>
    <xf numFmtId="168" fontId="99" fillId="0" borderId="0" xfId="0" applyNumberFormat="1" applyFont="1" applyAlignment="1">
      <alignment horizontal="center"/>
    </xf>
    <xf numFmtId="1" fontId="99" fillId="0" borderId="0" xfId="0" applyNumberFormat="1" applyFont="1" applyAlignment="1">
      <alignment horizontal="center"/>
    </xf>
    <xf numFmtId="166" fontId="99" fillId="0" borderId="0" xfId="0" applyNumberFormat="1" applyFont="1" applyAlignment="1">
      <alignment horizontal="center"/>
    </xf>
    <xf numFmtId="167" fontId="99" fillId="0" borderId="0" xfId="0" applyNumberFormat="1" applyFont="1" applyAlignment="1">
      <alignment horizontal="center"/>
    </xf>
    <xf numFmtId="0" fontId="99" fillId="0" borderId="0" xfId="0" applyFont="1" applyAlignment="1"/>
    <xf numFmtId="2" fontId="99" fillId="0" borderId="0" xfId="0" applyNumberFormat="1" applyFont="1" applyAlignment="1">
      <alignment horizontal="right"/>
    </xf>
    <xf numFmtId="168" fontId="99" fillId="0" borderId="0" xfId="0" applyNumberFormat="1" applyFont="1" applyAlignment="1">
      <alignment horizontal="right"/>
    </xf>
    <xf numFmtId="2" fontId="2" fillId="14" borderId="0" xfId="0" applyNumberFormat="1" applyFont="1" applyFill="1" applyAlignment="1">
      <alignment horizontal="center" vertical="center"/>
    </xf>
    <xf numFmtId="0" fontId="8" fillId="0" borderId="0" xfId="0" applyFont="1" applyAlignment="1">
      <alignment horizontal="left" wrapText="1"/>
    </xf>
    <xf numFmtId="0" fontId="0" fillId="17" borderId="0" xfId="0" applyFill="1" applyAlignment="1">
      <alignment horizontal="center"/>
    </xf>
    <xf numFmtId="166" fontId="0" fillId="17" borderId="0" xfId="0" applyNumberFormat="1" applyFill="1" applyAlignment="1">
      <alignment horizontal="center"/>
    </xf>
    <xf numFmtId="0" fontId="8" fillId="17" borderId="0" xfId="0" applyFont="1" applyFill="1" applyAlignment="1">
      <alignment horizontal="left" wrapText="1"/>
    </xf>
    <xf numFmtId="166" fontId="0" fillId="0" borderId="0" xfId="0" applyNumberFormat="1" applyAlignment="1">
      <alignment horizontal="center" vertical="center"/>
    </xf>
    <xf numFmtId="168" fontId="99" fillId="0" borderId="0" xfId="0" applyNumberFormat="1" applyFont="1"/>
    <xf numFmtId="0" fontId="64" fillId="0" borderId="0" xfId="0" applyFont="1" applyAlignment="1">
      <alignment horizontal="center"/>
    </xf>
    <xf numFmtId="0" fontId="0" fillId="0" borderId="0" xfId="0"/>
    <xf numFmtId="0" fontId="2" fillId="0" borderId="0" xfId="0" applyFont="1" applyFill="1"/>
    <xf numFmtId="168" fontId="2" fillId="0" borderId="0" xfId="0" applyNumberFormat="1" applyFont="1" applyFill="1" applyAlignment="1">
      <alignment horizontal="right"/>
    </xf>
    <xf numFmtId="0" fontId="104" fillId="0" borderId="0" xfId="0" applyFont="1" applyFill="1" applyAlignment="1">
      <alignment horizontal="center"/>
    </xf>
    <xf numFmtId="0" fontId="61" fillId="4" borderId="8" xfId="0" applyFont="1" applyFill="1" applyBorder="1" applyAlignment="1">
      <alignment horizontal="right" vertical="center" wrapText="1"/>
    </xf>
    <xf numFmtId="0" fontId="61" fillId="4" borderId="16" xfId="0" applyFont="1" applyFill="1" applyBorder="1" applyAlignment="1">
      <alignment horizontal="right" vertical="center" wrapText="1"/>
    </xf>
    <xf numFmtId="0" fontId="64" fillId="0" borderId="0" xfId="0" applyFont="1" applyAlignment="1">
      <alignment horizontal="center"/>
    </xf>
    <xf numFmtId="0" fontId="0" fillId="0" borderId="0" xfId="0"/>
    <xf numFmtId="1" fontId="60" fillId="0" borderId="0" xfId="0" applyNumberFormat="1" applyFont="1" applyFill="1" applyAlignment="1">
      <alignment horizontal="center"/>
    </xf>
    <xf numFmtId="2" fontId="60" fillId="0" borderId="9" xfId="0" applyNumberFormat="1" applyFont="1" applyFill="1" applyBorder="1" applyAlignment="1">
      <alignment horizontal="center"/>
    </xf>
    <xf numFmtId="0" fontId="64" fillId="0" borderId="0" xfId="0" applyNumberFormat="1" applyFont="1"/>
    <xf numFmtId="0" fontId="60" fillId="13" borderId="0" xfId="0" applyFont="1" applyFill="1" applyBorder="1" applyAlignment="1">
      <alignment horizontal="center"/>
    </xf>
    <xf numFmtId="0" fontId="60" fillId="13" borderId="10" xfId="0" applyFont="1" applyFill="1" applyBorder="1" applyAlignment="1">
      <alignment horizontal="center"/>
    </xf>
    <xf numFmtId="0" fontId="60" fillId="3" borderId="0" xfId="0" applyFont="1" applyFill="1" applyBorder="1" applyAlignment="1">
      <alignment horizontal="center"/>
    </xf>
    <xf numFmtId="0" fontId="60" fillId="3" borderId="10" xfId="0" applyFont="1" applyFill="1" applyBorder="1" applyAlignment="1">
      <alignment horizontal="center"/>
    </xf>
    <xf numFmtId="0" fontId="83" fillId="7" borderId="0" xfId="0" applyFont="1" applyFill="1" applyAlignment="1">
      <alignment horizontal="left"/>
    </xf>
    <xf numFmtId="0" fontId="60" fillId="7" borderId="0" xfId="0" applyFont="1" applyFill="1" applyBorder="1" applyAlignment="1">
      <alignment horizontal="left"/>
    </xf>
    <xf numFmtId="0" fontId="60" fillId="20" borderId="10" xfId="0" applyFont="1" applyFill="1" applyBorder="1" applyAlignment="1">
      <alignment horizontal="center"/>
    </xf>
    <xf numFmtId="0" fontId="60" fillId="21" borderId="0" xfId="0" applyFont="1" applyFill="1"/>
    <xf numFmtId="0" fontId="60" fillId="21" borderId="0" xfId="0" applyFont="1" applyFill="1" applyAlignment="1">
      <alignment horizontal="center"/>
    </xf>
    <xf numFmtId="3" fontId="60" fillId="21" borderId="0" xfId="0" applyNumberFormat="1" applyFont="1" applyFill="1" applyAlignment="1">
      <alignment horizontal="center"/>
    </xf>
    <xf numFmtId="1" fontId="60" fillId="21" borderId="0" xfId="0" applyNumberFormat="1" applyFont="1" applyFill="1" applyAlignment="1">
      <alignment horizontal="center"/>
    </xf>
    <xf numFmtId="3" fontId="106" fillId="0" borderId="0" xfId="0" applyNumberFormat="1" applyFont="1" applyAlignment="1">
      <alignment horizontal="center"/>
    </xf>
    <xf numFmtId="0" fontId="61" fillId="4" borderId="7" xfId="0" applyFont="1" applyFill="1" applyBorder="1" applyAlignment="1">
      <alignment horizontal="right" vertical="center" wrapText="1"/>
    </xf>
    <xf numFmtId="166" fontId="81" fillId="0" borderId="13" xfId="0" applyNumberFormat="1" applyFont="1" applyBorder="1" applyAlignment="1">
      <alignment horizontal="center" vertical="center" wrapText="1"/>
    </xf>
    <xf numFmtId="0" fontId="60" fillId="0" borderId="0" xfId="0" applyFont="1" applyFill="1" applyBorder="1"/>
    <xf numFmtId="0" fontId="61" fillId="8" borderId="7" xfId="0" applyFont="1" applyFill="1" applyBorder="1"/>
    <xf numFmtId="0" fontId="61" fillId="8" borderId="7" xfId="0" applyFont="1" applyFill="1" applyBorder="1" applyAlignment="1">
      <alignment horizontal="center"/>
    </xf>
    <xf numFmtId="0" fontId="61" fillId="8" borderId="5" xfId="0" applyFont="1" applyFill="1" applyBorder="1"/>
    <xf numFmtId="0" fontId="61" fillId="8" borderId="5" xfId="0" applyFont="1" applyFill="1" applyBorder="1" applyAlignment="1">
      <alignment horizontal="center"/>
    </xf>
    <xf numFmtId="0" fontId="60" fillId="0" borderId="0" xfId="0" applyFont="1" applyBorder="1"/>
    <xf numFmtId="0" fontId="60" fillId="0" borderId="5" xfId="0" applyFont="1" applyBorder="1"/>
    <xf numFmtId="166" fontId="60" fillId="0" borderId="5" xfId="0" applyNumberFormat="1" applyFont="1" applyBorder="1" applyAlignment="1">
      <alignment horizontal="center"/>
    </xf>
    <xf numFmtId="2" fontId="60" fillId="0" borderId="5" xfId="0" applyNumberFormat="1" applyFont="1" applyBorder="1" applyAlignment="1">
      <alignment horizontal="center"/>
    </xf>
    <xf numFmtId="0" fontId="60" fillId="7" borderId="0" xfId="0" applyFont="1" applyFill="1" applyBorder="1"/>
    <xf numFmtId="2" fontId="60" fillId="7" borderId="0" xfId="0" applyNumberFormat="1" applyFont="1" applyFill="1"/>
    <xf numFmtId="0" fontId="60" fillId="9" borderId="7" xfId="0" applyFont="1" applyFill="1" applyBorder="1"/>
    <xf numFmtId="0" fontId="60" fillId="9" borderId="7" xfId="0" applyFont="1" applyFill="1" applyBorder="1" applyAlignment="1">
      <alignment horizontal="center"/>
    </xf>
    <xf numFmtId="166" fontId="60" fillId="9" borderId="7" xfId="0" applyNumberFormat="1" applyFont="1" applyFill="1" applyBorder="1" applyAlignment="1">
      <alignment horizontal="center"/>
    </xf>
    <xf numFmtId="2" fontId="81" fillId="0" borderId="13" xfId="0" applyNumberFormat="1" applyFont="1" applyBorder="1" applyAlignment="1">
      <alignment horizontal="center" vertical="center" wrapText="1"/>
    </xf>
    <xf numFmtId="0" fontId="60" fillId="21" borderId="0" xfId="0" applyFont="1" applyFill="1" applyAlignment="1">
      <alignment horizontal="left"/>
    </xf>
    <xf numFmtId="0" fontId="61" fillId="21" borderId="0" xfId="0" applyFont="1" applyFill="1"/>
    <xf numFmtId="0" fontId="61" fillId="21" borderId="0" xfId="0" applyFont="1" applyFill="1" applyAlignment="1">
      <alignment horizontal="left"/>
    </xf>
    <xf numFmtId="0" fontId="0" fillId="21" borderId="0" xfId="0" applyFill="1"/>
    <xf numFmtId="0" fontId="61" fillId="21" borderId="0" xfId="0" applyFont="1" applyFill="1" applyAlignment="1">
      <alignment horizontal="center"/>
    </xf>
    <xf numFmtId="2" fontId="61" fillId="21" borderId="0" xfId="0" applyNumberFormat="1" applyFont="1" applyFill="1" applyAlignment="1">
      <alignment horizontal="center"/>
    </xf>
    <xf numFmtId="0" fontId="60" fillId="0" borderId="7" xfId="0" applyFont="1" applyBorder="1"/>
    <xf numFmtId="0" fontId="60" fillId="0" borderId="7" xfId="0" quotePrefix="1" applyFont="1" applyBorder="1"/>
    <xf numFmtId="0" fontId="60" fillId="0" borderId="5" xfId="0" quotePrefix="1" applyFont="1" applyBorder="1"/>
    <xf numFmtId="0" fontId="60" fillId="23" borderId="0" xfId="0" applyFont="1" applyFill="1"/>
    <xf numFmtId="0" fontId="60" fillId="23" borderId="0" xfId="0" applyFont="1" applyFill="1" applyAlignment="1">
      <alignment horizontal="center"/>
    </xf>
    <xf numFmtId="0" fontId="60" fillId="23" borderId="0" xfId="0" applyFont="1" applyFill="1" applyAlignment="1">
      <alignment horizontal="left"/>
    </xf>
    <xf numFmtId="9" fontId="60" fillId="23" borderId="0" xfId="0" applyNumberFormat="1" applyFont="1" applyFill="1" applyAlignment="1">
      <alignment horizontal="center"/>
    </xf>
    <xf numFmtId="9" fontId="60" fillId="23" borderId="5" xfId="0" applyNumberFormat="1" applyFont="1" applyFill="1" applyBorder="1" applyAlignment="1">
      <alignment horizontal="center"/>
    </xf>
    <xf numFmtId="0" fontId="60" fillId="7" borderId="7" xfId="0" applyFont="1" applyFill="1" applyBorder="1" applyAlignment="1">
      <alignment horizontal="left"/>
    </xf>
    <xf numFmtId="0" fontId="64" fillId="7" borderId="7" xfId="0" applyFont="1" applyFill="1" applyBorder="1" applyAlignment="1">
      <alignment horizontal="center"/>
    </xf>
    <xf numFmtId="0" fontId="64" fillId="7" borderId="0" xfId="0" applyFont="1" applyFill="1" applyBorder="1" applyAlignment="1">
      <alignment horizontal="left"/>
    </xf>
    <xf numFmtId="0" fontId="64" fillId="7" borderId="5" xfId="0" applyFont="1" applyFill="1" applyBorder="1" applyAlignment="1">
      <alignment horizontal="left"/>
    </xf>
    <xf numFmtId="10" fontId="60" fillId="21" borderId="0" xfId="3" applyNumberFormat="1" applyFont="1" applyFill="1" applyAlignment="1">
      <alignment horizontal="center"/>
    </xf>
    <xf numFmtId="0" fontId="82" fillId="0" borderId="0" xfId="0" applyNumberFormat="1" applyFont="1" applyFill="1" applyAlignment="1">
      <alignment horizontal="left"/>
    </xf>
    <xf numFmtId="0" fontId="84" fillId="0" borderId="0" xfId="0" applyFont="1" applyAlignment="1">
      <alignment horizontal="left"/>
    </xf>
    <xf numFmtId="0" fontId="85" fillId="0" borderId="0" xfId="0" applyFont="1" applyFill="1"/>
    <xf numFmtId="0" fontId="60" fillId="0" borderId="0" xfId="0" applyFont="1" applyFill="1" applyAlignment="1">
      <alignment horizontal="right"/>
    </xf>
    <xf numFmtId="9" fontId="60" fillId="0" borderId="0" xfId="3" applyFont="1" applyFill="1" applyAlignment="1">
      <alignment horizontal="center"/>
    </xf>
    <xf numFmtId="0" fontId="82" fillId="0" borderId="0" xfId="0" applyFont="1" applyFill="1" applyAlignment="1">
      <alignment horizontal="right"/>
    </xf>
    <xf numFmtId="173" fontId="82" fillId="0" borderId="0" xfId="2" applyNumberFormat="1" applyFont="1" applyFill="1"/>
    <xf numFmtId="3" fontId="74" fillId="0" borderId="0" xfId="0" applyNumberFormat="1" applyFont="1" applyAlignment="1">
      <alignment horizontal="center"/>
    </xf>
    <xf numFmtId="0" fontId="74" fillId="0" borderId="0" xfId="0" applyFont="1" applyAlignment="1">
      <alignment horizontal="center"/>
    </xf>
    <xf numFmtId="3" fontId="74" fillId="0" borderId="9" xfId="0" applyNumberFormat="1" applyFont="1" applyBorder="1" applyAlignment="1">
      <alignment horizontal="center"/>
    </xf>
    <xf numFmtId="0" fontId="75" fillId="0" borderId="0" xfId="0" applyFont="1" applyFill="1" applyBorder="1" applyAlignment="1">
      <alignment horizontal="left"/>
    </xf>
    <xf numFmtId="0" fontId="60" fillId="13" borderId="0" xfId="0" applyFont="1" applyFill="1" applyBorder="1" applyAlignment="1">
      <alignment horizontal="left"/>
    </xf>
    <xf numFmtId="0" fontId="83" fillId="13" borderId="0" xfId="0" applyFont="1" applyFill="1" applyBorder="1" applyAlignment="1">
      <alignment horizontal="left"/>
    </xf>
    <xf numFmtId="0" fontId="83" fillId="13" borderId="0" xfId="0" applyFont="1" applyFill="1" applyBorder="1" applyAlignment="1">
      <alignment horizontal="center"/>
    </xf>
    <xf numFmtId="0" fontId="83" fillId="8" borderId="0" xfId="0" applyFont="1" applyFill="1" applyBorder="1" applyAlignment="1">
      <alignment horizontal="center"/>
    </xf>
    <xf numFmtId="0" fontId="60" fillId="8" borderId="0" xfId="0" applyFont="1" applyFill="1" applyBorder="1" applyAlignment="1">
      <alignment horizontal="center"/>
    </xf>
    <xf numFmtId="0" fontId="60" fillId="8" borderId="10" xfId="0" applyFont="1" applyFill="1" applyBorder="1" applyAlignment="1">
      <alignment horizontal="center"/>
    </xf>
    <xf numFmtId="173" fontId="108" fillId="0" borderId="0" xfId="2" applyNumberFormat="1" applyFont="1" applyFill="1" applyAlignment="1">
      <alignment horizontal="left"/>
    </xf>
    <xf numFmtId="0" fontId="109" fillId="0" borderId="0" xfId="0" applyFont="1"/>
    <xf numFmtId="167" fontId="60" fillId="11" borderId="0" xfId="0" quotePrefix="1" applyNumberFormat="1" applyFont="1" applyFill="1" applyBorder="1" applyAlignment="1">
      <alignment horizontal="center"/>
    </xf>
    <xf numFmtId="0" fontId="60" fillId="7" borderId="0" xfId="0" applyFont="1" applyFill="1" applyAlignment="1">
      <alignment horizontal="left"/>
    </xf>
    <xf numFmtId="0" fontId="0" fillId="0" borderId="0" xfId="0"/>
    <xf numFmtId="0" fontId="64" fillId="0" borderId="0" xfId="0" applyFont="1" applyAlignment="1">
      <alignment horizontal="left"/>
    </xf>
    <xf numFmtId="0" fontId="0" fillId="0" borderId="0" xfId="0" applyFont="1" applyBorder="1" applyAlignment="1">
      <alignment horizontal="center"/>
    </xf>
    <xf numFmtId="0" fontId="60" fillId="0" borderId="0" xfId="0" quotePrefix="1" applyFont="1" applyFill="1" applyAlignment="1">
      <alignment horizontal="center"/>
    </xf>
    <xf numFmtId="0" fontId="64" fillId="0" borderId="0" xfId="0" applyFont="1" applyAlignment="1">
      <alignment horizontal="center"/>
    </xf>
    <xf numFmtId="0" fontId="0" fillId="0" borderId="0" xfId="0"/>
    <xf numFmtId="0" fontId="78" fillId="0" borderId="0" xfId="0" applyNumberFormat="1" applyFont="1" applyFill="1" applyAlignment="1">
      <alignment horizontal="center"/>
    </xf>
    <xf numFmtId="0" fontId="78" fillId="0" borderId="0" xfId="0" applyNumberFormat="1" applyFont="1" applyFill="1" applyBorder="1" applyAlignment="1">
      <alignment horizontal="center"/>
    </xf>
    <xf numFmtId="0" fontId="104" fillId="16" borderId="0" xfId="0" applyFont="1" applyFill="1" applyBorder="1"/>
    <xf numFmtId="166" fontId="104" fillId="16" borderId="0" xfId="0" applyNumberFormat="1" applyFont="1" applyFill="1" applyBorder="1" applyAlignment="1">
      <alignment horizontal="center"/>
    </xf>
    <xf numFmtId="2" fontId="104" fillId="16" borderId="0" xfId="0" applyNumberFormat="1" applyFont="1" applyFill="1" applyBorder="1" applyAlignment="1">
      <alignment horizontal="center"/>
    </xf>
    <xf numFmtId="170" fontId="60" fillId="0" borderId="0" xfId="0" applyNumberFormat="1" applyFont="1" applyAlignment="1">
      <alignment horizontal="center"/>
    </xf>
    <xf numFmtId="0" fontId="0" fillId="0" borderId="0" xfId="0"/>
    <xf numFmtId="0" fontId="60" fillId="0" borderId="0" xfId="0" applyFont="1" applyFill="1" applyBorder="1" applyAlignment="1">
      <alignment horizontal="left"/>
    </xf>
    <xf numFmtId="0" fontId="60" fillId="0" borderId="4" xfId="0" applyFont="1" applyFill="1" applyBorder="1" applyAlignment="1">
      <alignment horizontal="center"/>
    </xf>
    <xf numFmtId="3" fontId="60" fillId="0" borderId="5" xfId="2" applyNumberFormat="1" applyFont="1" applyBorder="1" applyAlignment="1">
      <alignment horizontal="center"/>
    </xf>
    <xf numFmtId="3" fontId="60" fillId="0" borderId="0" xfId="0" applyNumberFormat="1" applyFont="1" applyBorder="1" applyAlignment="1">
      <alignment horizontal="center"/>
    </xf>
    <xf numFmtId="0" fontId="60" fillId="7" borderId="5" xfId="0" applyFont="1" applyFill="1" applyBorder="1" applyAlignment="1">
      <alignment horizontal="center"/>
    </xf>
    <xf numFmtId="3" fontId="60" fillId="0" borderId="5" xfId="0" applyNumberFormat="1" applyFont="1" applyBorder="1" applyAlignment="1">
      <alignment horizontal="center"/>
    </xf>
    <xf numFmtId="0" fontId="61" fillId="16" borderId="0" xfId="0" applyFont="1" applyFill="1" applyBorder="1"/>
    <xf numFmtId="0" fontId="113" fillId="0" borderId="0" xfId="0" applyFont="1"/>
    <xf numFmtId="0" fontId="106" fillId="0" borderId="0" xfId="0" applyFont="1"/>
    <xf numFmtId="0" fontId="113" fillId="22" borderId="7" xfId="0" applyFont="1" applyFill="1" applyBorder="1"/>
    <xf numFmtId="0" fontId="113" fillId="22" borderId="7" xfId="0" applyFont="1" applyFill="1" applyBorder="1" applyAlignment="1">
      <alignment horizontal="center"/>
    </xf>
    <xf numFmtId="0" fontId="113" fillId="22" borderId="5" xfId="0" applyFont="1" applyFill="1" applyBorder="1"/>
    <xf numFmtId="0" fontId="113" fillId="22" borderId="5" xfId="0" applyFont="1" applyFill="1" applyBorder="1" applyAlignment="1">
      <alignment horizontal="center"/>
    </xf>
    <xf numFmtId="0" fontId="106" fillId="0" borderId="7" xfId="0" applyFont="1" applyFill="1" applyBorder="1"/>
    <xf numFmtId="0" fontId="106" fillId="0" borderId="0" xfId="0" applyFont="1" applyBorder="1"/>
    <xf numFmtId="166" fontId="106" fillId="0" borderId="0" xfId="0" applyNumberFormat="1" applyFont="1" applyBorder="1" applyAlignment="1">
      <alignment horizontal="center"/>
    </xf>
    <xf numFmtId="0" fontId="106" fillId="0" borderId="0" xfId="0" applyFont="1" applyBorder="1" applyAlignment="1">
      <alignment horizontal="center"/>
    </xf>
    <xf numFmtId="0" fontId="106" fillId="12" borderId="0" xfId="0" applyFont="1" applyFill="1" applyBorder="1"/>
    <xf numFmtId="166" fontId="106" fillId="12" borderId="0" xfId="0" applyNumberFormat="1" applyFont="1" applyFill="1" applyBorder="1" applyAlignment="1">
      <alignment horizontal="center"/>
    </xf>
    <xf numFmtId="0" fontId="106" fillId="24" borderId="0" xfId="0" applyFont="1" applyFill="1" applyBorder="1"/>
    <xf numFmtId="0" fontId="114" fillId="24" borderId="0" xfId="0" applyFont="1" applyFill="1"/>
    <xf numFmtId="2" fontId="106" fillId="24" borderId="0" xfId="0" applyNumberFormat="1" applyFont="1" applyFill="1" applyAlignment="1">
      <alignment horizontal="center"/>
    </xf>
    <xf numFmtId="0" fontId="113" fillId="0" borderId="0" xfId="0" applyFont="1" applyFill="1" applyBorder="1"/>
    <xf numFmtId="0" fontId="106" fillId="0" borderId="0" xfId="0" applyFont="1" applyFill="1" applyBorder="1"/>
    <xf numFmtId="0" fontId="114" fillId="0" borderId="0" xfId="0" applyFont="1"/>
    <xf numFmtId="0" fontId="115" fillId="0" borderId="0" xfId="0" applyFont="1"/>
    <xf numFmtId="0" fontId="0" fillId="0" borderId="0" xfId="0" applyBorder="1"/>
    <xf numFmtId="0" fontId="0" fillId="0" borderId="0" xfId="0" applyFont="1" applyBorder="1" applyAlignment="1">
      <alignment horizontal="left"/>
    </xf>
    <xf numFmtId="0" fontId="56" fillId="0" borderId="0" xfId="0" applyFont="1" applyBorder="1" applyAlignment="1">
      <alignment horizontal="center"/>
    </xf>
    <xf numFmtId="0" fontId="111" fillId="0" borderId="0" xfId="0" applyFont="1" applyBorder="1"/>
    <xf numFmtId="9" fontId="0" fillId="0" borderId="0" xfId="3" applyFont="1" applyBorder="1" applyAlignment="1">
      <alignment horizontal="center"/>
    </xf>
    <xf numFmtId="9" fontId="112" fillId="0" borderId="0" xfId="3" applyFont="1" applyBorder="1" applyAlignment="1">
      <alignment horizontal="center"/>
    </xf>
    <xf numFmtId="9" fontId="64" fillId="0" borderId="0" xfId="3" applyFont="1" applyBorder="1" applyAlignment="1">
      <alignment horizontal="center"/>
    </xf>
    <xf numFmtId="0" fontId="85" fillId="0" borderId="0" xfId="0" applyFont="1" applyFill="1" applyBorder="1"/>
    <xf numFmtId="0" fontId="78" fillId="0" borderId="0" xfId="0" applyNumberFormat="1" applyFont="1" applyFill="1" applyBorder="1" applyAlignment="1">
      <alignment horizontal="left"/>
    </xf>
    <xf numFmtId="0" fontId="78" fillId="0" borderId="0" xfId="0" applyFont="1" applyFill="1" applyBorder="1" applyAlignment="1">
      <alignment horizontal="left"/>
    </xf>
    <xf numFmtId="0" fontId="116" fillId="0" borderId="0" xfId="0" applyFont="1" applyFill="1"/>
    <xf numFmtId="3" fontId="116" fillId="0" borderId="17" xfId="0" applyNumberFormat="1" applyFont="1" applyBorder="1" applyAlignment="1">
      <alignment horizontal="center"/>
    </xf>
    <xf numFmtId="2" fontId="60" fillId="0" borderId="0" xfId="0" applyNumberFormat="1" applyFont="1" applyFill="1" applyBorder="1" applyAlignment="1">
      <alignment horizontal="center"/>
    </xf>
    <xf numFmtId="11" fontId="0" fillId="0" borderId="0" xfId="0" applyNumberFormat="1"/>
    <xf numFmtId="0" fontId="118" fillId="17" borderId="0" xfId="0" applyFont="1" applyFill="1" applyAlignment="1">
      <alignment horizontal="center"/>
    </xf>
    <xf numFmtId="0" fontId="60" fillId="20" borderId="4" xfId="0" applyFont="1" applyFill="1" applyBorder="1" applyAlignment="1">
      <alignment horizontal="center"/>
    </xf>
    <xf numFmtId="0" fontId="22" fillId="0" borderId="0" xfId="0" applyFont="1" applyAlignment="1">
      <alignment horizontal="center"/>
    </xf>
    <xf numFmtId="170" fontId="60" fillId="0" borderId="7" xfId="0" applyNumberFormat="1" applyFont="1" applyBorder="1" applyAlignment="1">
      <alignment horizontal="center"/>
    </xf>
    <xf numFmtId="170" fontId="106" fillId="0" borderId="7" xfId="0" applyNumberFormat="1" applyFont="1" applyBorder="1" applyAlignment="1">
      <alignment horizontal="center"/>
    </xf>
    <xf numFmtId="0" fontId="82" fillId="0" borderId="0" xfId="0" applyFont="1" applyFill="1" applyAlignment="1">
      <alignment horizontal="center"/>
    </xf>
    <xf numFmtId="0" fontId="2" fillId="0" borderId="0" xfId="0" applyFont="1" applyFill="1" applyAlignment="1">
      <alignment horizontal="center"/>
    </xf>
    <xf numFmtId="0" fontId="65" fillId="0" borderId="0" xfId="0" applyFont="1" applyFill="1" applyAlignment="1">
      <alignment horizontal="center"/>
    </xf>
    <xf numFmtId="2" fontId="117" fillId="0" borderId="0" xfId="0" applyNumberFormat="1" applyFont="1" applyAlignment="1">
      <alignment horizontal="center"/>
    </xf>
    <xf numFmtId="0" fontId="107" fillId="0" borderId="0" xfId="0" applyFont="1" applyFill="1" applyBorder="1" applyAlignment="1">
      <alignment horizontal="left"/>
    </xf>
    <xf numFmtId="0" fontId="107" fillId="0" borderId="4" xfId="0" applyFont="1" applyFill="1" applyBorder="1" applyAlignment="1">
      <alignment horizontal="left"/>
    </xf>
    <xf numFmtId="0" fontId="107" fillId="0" borderId="0" xfId="0" applyFont="1" applyAlignment="1">
      <alignment horizontal="center"/>
    </xf>
    <xf numFmtId="0" fontId="0" fillId="0" borderId="0" xfId="0"/>
    <xf numFmtId="1" fontId="116" fillId="0" borderId="0" xfId="0" applyNumberFormat="1" applyFont="1" applyFill="1" applyAlignment="1">
      <alignment horizontal="center"/>
    </xf>
    <xf numFmtId="164" fontId="70" fillId="0" borderId="0" xfId="0" applyNumberFormat="1" applyFont="1" applyAlignment="1">
      <alignment horizontal="left"/>
    </xf>
    <xf numFmtId="0" fontId="73" fillId="11" borderId="0" xfId="0" applyFont="1" applyFill="1" applyBorder="1" applyAlignment="1">
      <alignment horizontal="center"/>
    </xf>
    <xf numFmtId="0" fontId="64" fillId="0" borderId="0" xfId="0" applyFont="1" applyBorder="1"/>
    <xf numFmtId="0" fontId="7" fillId="25" borderId="5" xfId="0" applyFont="1" applyFill="1" applyBorder="1" applyAlignment="1">
      <alignment horizontal="center" wrapText="1"/>
    </xf>
    <xf numFmtId="0" fontId="60" fillId="7" borderId="0" xfId="0" applyFont="1" applyFill="1" applyBorder="1" applyAlignment="1"/>
    <xf numFmtId="1" fontId="60" fillId="0" borderId="0" xfId="0" applyNumberFormat="1" applyFont="1" applyFill="1" applyBorder="1" applyAlignment="1">
      <alignment horizontal="center"/>
    </xf>
    <xf numFmtId="167" fontId="60" fillId="0" borderId="0" xfId="0" applyNumberFormat="1" applyFont="1" applyAlignment="1">
      <alignment horizontal="center"/>
    </xf>
    <xf numFmtId="166" fontId="60" fillId="0" borderId="0" xfId="0" applyNumberFormat="1" applyFont="1" applyAlignment="1">
      <alignment horizontal="center"/>
    </xf>
    <xf numFmtId="0" fontId="60" fillId="7" borderId="9" xfId="0" applyFont="1" applyFill="1" applyBorder="1"/>
    <xf numFmtId="166" fontId="60" fillId="7" borderId="9" xfId="0" applyNumberFormat="1" applyFont="1" applyFill="1" applyBorder="1" applyAlignment="1">
      <alignment horizontal="center"/>
    </xf>
    <xf numFmtId="0" fontId="60" fillId="7" borderId="9" xfId="0" applyFont="1" applyFill="1" applyBorder="1" applyAlignment="1">
      <alignment horizontal="right"/>
    </xf>
    <xf numFmtId="3" fontId="75" fillId="0" borderId="0" xfId="0" applyNumberFormat="1" applyFont="1" applyBorder="1"/>
    <xf numFmtId="3" fontId="64" fillId="0" borderId="0" xfId="0" applyNumberFormat="1" applyFont="1" applyBorder="1"/>
    <xf numFmtId="3" fontId="74" fillId="0" borderId="0" xfId="0" applyNumberFormat="1" applyFont="1" applyBorder="1" applyAlignment="1">
      <alignment horizontal="center"/>
    </xf>
    <xf numFmtId="0" fontId="74" fillId="0" borderId="0" xfId="0" applyFont="1" applyBorder="1" applyAlignment="1">
      <alignment horizontal="center"/>
    </xf>
    <xf numFmtId="0" fontId="121" fillId="0" borderId="0" xfId="0" applyFont="1"/>
    <xf numFmtId="171" fontId="60" fillId="0" borderId="0" xfId="0" applyNumberFormat="1" applyFont="1" applyFill="1" applyAlignment="1">
      <alignment horizontal="center"/>
    </xf>
    <xf numFmtId="0" fontId="0" fillId="0" borderId="0" xfId="0"/>
    <xf numFmtId="2" fontId="122" fillId="0" borderId="7" xfId="0" applyNumberFormat="1" applyFont="1" applyBorder="1" applyAlignment="1">
      <alignment horizontal="center"/>
    </xf>
    <xf numFmtId="0" fontId="116" fillId="0" borderId="0" xfId="0" applyNumberFormat="1" applyFont="1" applyFill="1" applyBorder="1" applyAlignment="1">
      <alignment horizontal="left"/>
    </xf>
    <xf numFmtId="3" fontId="116" fillId="0" borderId="0" xfId="0" applyNumberFormat="1" applyFont="1" applyBorder="1" applyAlignment="1">
      <alignment horizontal="center"/>
    </xf>
    <xf numFmtId="164" fontId="119" fillId="0" borderId="0" xfId="0" applyNumberFormat="1" applyFont="1" applyBorder="1" applyAlignment="1">
      <alignment horizontal="left"/>
    </xf>
    <xf numFmtId="166" fontId="122" fillId="0" borderId="0" xfId="0" applyNumberFormat="1" applyFont="1" applyBorder="1" applyAlignment="1">
      <alignment horizontal="center"/>
    </xf>
    <xf numFmtId="3" fontId="84" fillId="0" borderId="0" xfId="2" applyNumberFormat="1" applyFont="1" applyFill="1" applyBorder="1" applyAlignment="1">
      <alignment horizontal="left"/>
    </xf>
    <xf numFmtId="3" fontId="60" fillId="0" borderId="0" xfId="2" applyNumberFormat="1" applyFont="1" applyBorder="1" applyAlignment="1">
      <alignment horizontal="center"/>
    </xf>
    <xf numFmtId="0" fontId="105" fillId="0" borderId="0" xfId="0" applyFont="1" applyBorder="1"/>
    <xf numFmtId="0" fontId="123" fillId="0" borderId="0" xfId="0" applyFont="1" applyFill="1"/>
    <xf numFmtId="0" fontId="123" fillId="0" borderId="0" xfId="0" applyFont="1" applyFill="1" applyAlignment="1">
      <alignment horizontal="center"/>
    </xf>
    <xf numFmtId="0" fontId="123" fillId="0" borderId="0" xfId="0" applyFont="1"/>
    <xf numFmtId="0" fontId="123" fillId="0" borderId="0" xfId="0" applyFont="1" applyAlignment="1">
      <alignment horizontal="left"/>
    </xf>
    <xf numFmtId="0" fontId="123" fillId="0" borderId="0" xfId="0" applyFont="1" applyFill="1" applyAlignment="1">
      <alignment horizontal="center" vertical="center"/>
    </xf>
    <xf numFmtId="1" fontId="123" fillId="0" borderId="0" xfId="0" applyNumberFormat="1" applyFont="1" applyAlignment="1">
      <alignment horizontal="center"/>
    </xf>
    <xf numFmtId="168" fontId="123" fillId="0" borderId="0" xfId="0" applyNumberFormat="1" applyFont="1" applyAlignment="1">
      <alignment horizontal="center"/>
    </xf>
    <xf numFmtId="0" fontId="123" fillId="0" borderId="0" xfId="0" applyFont="1" applyAlignment="1">
      <alignment horizontal="center"/>
    </xf>
    <xf numFmtId="0" fontId="123" fillId="0" borderId="0" xfId="0" applyFont="1" applyAlignment="1">
      <alignment horizontal="center" vertical="center"/>
    </xf>
    <xf numFmtId="0" fontId="2" fillId="0" borderId="0" xfId="0" applyFont="1" applyFill="1" applyAlignment="1">
      <alignment horizontal="center" vertical="center"/>
    </xf>
    <xf numFmtId="2" fontId="123" fillId="0" borderId="0" xfId="0" applyNumberFormat="1" applyFont="1" applyFill="1" applyAlignment="1">
      <alignment horizontal="center"/>
    </xf>
    <xf numFmtId="3" fontId="60" fillId="0" borderId="9" xfId="0" applyNumberFormat="1" applyFont="1" applyFill="1" applyBorder="1" applyAlignment="1">
      <alignment horizontal="center"/>
    </xf>
    <xf numFmtId="3" fontId="124" fillId="0" borderId="0" xfId="0" applyNumberFormat="1" applyFont="1" applyBorder="1" applyAlignment="1">
      <alignment horizontal="center"/>
    </xf>
    <xf numFmtId="0" fontId="0" fillId="27" borderId="0" xfId="0" applyFill="1" applyAlignment="1">
      <alignment horizontal="right"/>
    </xf>
    <xf numFmtId="0" fontId="123" fillId="28" borderId="0" xfId="0" applyFont="1" applyFill="1"/>
    <xf numFmtId="0" fontId="0" fillId="28" borderId="0" xfId="0" applyFont="1" applyFill="1"/>
    <xf numFmtId="0" fontId="0" fillId="28" borderId="0" xfId="0" applyFont="1" applyFill="1" applyAlignment="1">
      <alignment horizontal="center"/>
    </xf>
    <xf numFmtId="0" fontId="0" fillId="28" borderId="0" xfId="0" applyFont="1" applyFill="1" applyAlignment="1">
      <alignment horizontal="left"/>
    </xf>
    <xf numFmtId="0" fontId="123" fillId="28" borderId="0" xfId="0" applyFont="1" applyFill="1" applyAlignment="1">
      <alignment horizontal="left"/>
    </xf>
    <xf numFmtId="168" fontId="2" fillId="28" borderId="0" xfId="0" applyNumberFormat="1" applyFont="1" applyFill="1" applyAlignment="1">
      <alignment horizontal="center"/>
    </xf>
    <xf numFmtId="0" fontId="2" fillId="28" borderId="0" xfId="0" applyFont="1" applyFill="1"/>
    <xf numFmtId="168" fontId="2" fillId="28" borderId="0" xfId="0" applyNumberFormat="1" applyFont="1" applyFill="1" applyAlignment="1">
      <alignment horizontal="right"/>
    </xf>
    <xf numFmtId="0" fontId="0" fillId="0" borderId="0" xfId="0"/>
    <xf numFmtId="2" fontId="70" fillId="7" borderId="0" xfId="0" applyNumberFormat="1" applyFont="1" applyFill="1" applyAlignment="1">
      <alignment horizontal="left"/>
    </xf>
    <xf numFmtId="0" fontId="60" fillId="20" borderId="0" xfId="0" applyFont="1" applyFill="1" applyAlignment="1">
      <alignment horizontal="left"/>
    </xf>
    <xf numFmtId="0" fontId="60" fillId="20" borderId="9" xfId="0" applyFont="1" applyFill="1" applyBorder="1" applyAlignment="1">
      <alignment horizontal="left"/>
    </xf>
    <xf numFmtId="0" fontId="60" fillId="20" borderId="0" xfId="0" applyFont="1" applyFill="1" applyBorder="1" applyAlignment="1">
      <alignment horizontal="left"/>
    </xf>
    <xf numFmtId="0" fontId="60" fillId="8" borderId="0" xfId="0" applyFont="1" applyFill="1" applyAlignment="1">
      <alignment horizontal="left"/>
    </xf>
    <xf numFmtId="0" fontId="60" fillId="8" borderId="9" xfId="0" applyFont="1" applyFill="1" applyBorder="1" applyAlignment="1">
      <alignment horizontal="left"/>
    </xf>
    <xf numFmtId="0" fontId="60" fillId="13" borderId="0" xfId="0" applyFont="1" applyFill="1" applyAlignment="1">
      <alignment horizontal="left"/>
    </xf>
    <xf numFmtId="0" fontId="60" fillId="13" borderId="9" xfId="0" applyFont="1" applyFill="1" applyBorder="1" applyAlignment="1">
      <alignment horizontal="left"/>
    </xf>
    <xf numFmtId="0" fontId="60" fillId="7" borderId="5" xfId="0" applyFont="1" applyFill="1" applyBorder="1" applyAlignment="1">
      <alignment horizontal="left"/>
    </xf>
    <xf numFmtId="0" fontId="79" fillId="0" borderId="0" xfId="0" applyFont="1" applyAlignment="1">
      <alignment horizontal="left"/>
    </xf>
    <xf numFmtId="0" fontId="60" fillId="3" borderId="0" xfId="0" applyFont="1" applyFill="1" applyAlignment="1">
      <alignment horizontal="left"/>
    </xf>
    <xf numFmtId="0" fontId="60" fillId="3" borderId="9" xfId="0" applyFont="1" applyFill="1" applyBorder="1" applyAlignment="1">
      <alignment horizontal="left"/>
    </xf>
    <xf numFmtId="0" fontId="60" fillId="0" borderId="0" xfId="0" applyFont="1" applyAlignment="1">
      <alignment horizontal="left"/>
    </xf>
    <xf numFmtId="0" fontId="60" fillId="10" borderId="0" xfId="0" applyFont="1" applyFill="1" applyBorder="1" applyAlignment="1">
      <alignment horizontal="left"/>
    </xf>
    <xf numFmtId="0" fontId="60" fillId="10" borderId="9" xfId="0" applyFont="1" applyFill="1" applyBorder="1" applyAlignment="1">
      <alignment horizontal="left"/>
    </xf>
    <xf numFmtId="0" fontId="83" fillId="7" borderId="0" xfId="0" applyFont="1" applyFill="1" applyAlignment="1">
      <alignment horizontal="center" vertical="center"/>
    </xf>
    <xf numFmtId="167" fontId="60" fillId="7" borderId="0" xfId="0" applyNumberFormat="1" applyFont="1" applyFill="1" applyAlignment="1">
      <alignment horizontal="center" vertical="center"/>
    </xf>
    <xf numFmtId="167" fontId="60" fillId="7" borderId="0" xfId="2" applyNumberFormat="1" applyFont="1" applyFill="1" applyAlignment="1">
      <alignment horizontal="center" vertical="center"/>
    </xf>
    <xf numFmtId="0" fontId="73" fillId="0" borderId="0" xfId="0" applyFont="1" applyFill="1" applyBorder="1" applyAlignment="1">
      <alignment horizontal="center"/>
    </xf>
    <xf numFmtId="3" fontId="116" fillId="0" borderId="0" xfId="0" applyNumberFormat="1" applyFont="1" applyFill="1" applyBorder="1" applyAlignment="1">
      <alignment horizontal="center"/>
    </xf>
    <xf numFmtId="0" fontId="60" fillId="0" borderId="0" xfId="0" applyFont="1" applyFill="1" applyBorder="1" applyAlignment="1">
      <alignment horizontal="center" wrapText="1"/>
    </xf>
    <xf numFmtId="170" fontId="106" fillId="0" borderId="0" xfId="0" applyNumberFormat="1" applyFont="1" applyFill="1" applyBorder="1" applyAlignment="1">
      <alignment horizontal="center"/>
    </xf>
    <xf numFmtId="0" fontId="127" fillId="29" borderId="0" xfId="0" applyFont="1" applyFill="1"/>
    <xf numFmtId="0" fontId="126" fillId="29" borderId="0" xfId="0" applyFont="1" applyFill="1" applyAlignment="1">
      <alignment horizontal="left"/>
    </xf>
    <xf numFmtId="0" fontId="107" fillId="26" borderId="0" xfId="0" applyFont="1" applyFill="1" applyBorder="1" applyAlignment="1">
      <alignment horizontal="center"/>
    </xf>
    <xf numFmtId="0" fontId="107" fillId="26" borderId="0" xfId="0" applyFont="1" applyFill="1" applyAlignment="1">
      <alignment horizontal="left"/>
    </xf>
    <xf numFmtId="171" fontId="107" fillId="26" borderId="0" xfId="0" applyNumberFormat="1" applyFont="1" applyFill="1" applyAlignment="1">
      <alignment horizontal="center"/>
    </xf>
    <xf numFmtId="0" fontId="107" fillId="0" borderId="0" xfId="0" applyFont="1" applyFill="1" applyBorder="1" applyAlignment="1">
      <alignment horizontal="center"/>
    </xf>
    <xf numFmtId="174" fontId="107" fillId="26" borderId="0" xfId="0" applyNumberFormat="1" applyFont="1" applyFill="1" applyAlignment="1">
      <alignment horizontal="center"/>
    </xf>
    <xf numFmtId="164" fontId="126" fillId="29" borderId="0" xfId="0" applyNumberFormat="1" applyFont="1" applyFill="1" applyAlignment="1">
      <alignment horizontal="left"/>
    </xf>
    <xf numFmtId="0" fontId="126" fillId="29" borderId="0" xfId="0" applyFont="1" applyFill="1" applyAlignment="1">
      <alignment horizontal="center"/>
    </xf>
    <xf numFmtId="0" fontId="126" fillId="29" borderId="0" xfId="0" applyFont="1" applyFill="1"/>
    <xf numFmtId="0" fontId="126" fillId="29" borderId="0" xfId="0" applyFont="1" applyFill="1" applyBorder="1"/>
    <xf numFmtId="3" fontId="127" fillId="29" borderId="17" xfId="0" applyNumberFormat="1" applyFont="1" applyFill="1" applyBorder="1" applyAlignment="1">
      <alignment horizontal="center"/>
    </xf>
    <xf numFmtId="0" fontId="0" fillId="0" borderId="0" xfId="0"/>
    <xf numFmtId="2" fontId="0" fillId="0" borderId="0" xfId="0" applyNumberFormat="1"/>
    <xf numFmtId="2" fontId="64" fillId="0" borderId="0" xfId="0" applyNumberFormat="1" applyFont="1" applyFill="1" applyBorder="1"/>
    <xf numFmtId="2" fontId="0" fillId="0" borderId="0" xfId="0" applyNumberFormat="1" applyFill="1" applyAlignment="1">
      <alignment horizontal="center"/>
    </xf>
    <xf numFmtId="2" fontId="117" fillId="0" borderId="0" xfId="0" applyNumberFormat="1" applyFont="1" applyFill="1" applyAlignment="1">
      <alignment horizontal="center"/>
    </xf>
    <xf numFmtId="0" fontId="3" fillId="0" borderId="0" xfId="0" applyFont="1" applyAlignment="1">
      <alignment horizontal="left"/>
    </xf>
    <xf numFmtId="0" fontId="64" fillId="0" borderId="20" xfId="0" applyFont="1" applyBorder="1"/>
    <xf numFmtId="3" fontId="64" fillId="0" borderId="20" xfId="0" applyNumberFormat="1" applyFont="1" applyBorder="1"/>
    <xf numFmtId="2" fontId="124" fillId="0" borderId="20" xfId="0" applyNumberFormat="1" applyFont="1" applyFill="1" applyBorder="1" applyAlignment="1">
      <alignment horizontal="center"/>
    </xf>
    <xf numFmtId="0" fontId="125" fillId="0" borderId="20" xfId="0" applyFont="1" applyFill="1" applyBorder="1"/>
    <xf numFmtId="0" fontId="128" fillId="11" borderId="20" xfId="0" applyFont="1" applyFill="1" applyBorder="1" applyAlignment="1">
      <alignment horizontal="center"/>
    </xf>
    <xf numFmtId="3" fontId="122" fillId="0" borderId="20" xfId="0" applyNumberFormat="1" applyFont="1" applyBorder="1" applyAlignment="1">
      <alignment horizontal="center"/>
    </xf>
    <xf numFmtId="2" fontId="124" fillId="0" borderId="20" xfId="0" applyNumberFormat="1" applyFont="1" applyBorder="1" applyAlignment="1">
      <alignment horizontal="center"/>
    </xf>
    <xf numFmtId="0" fontId="125" fillId="0" borderId="20" xfId="0" applyFont="1" applyBorder="1"/>
    <xf numFmtId="3" fontId="60" fillId="0" borderId="7" xfId="2" applyNumberFormat="1" applyFont="1" applyBorder="1" applyAlignment="1">
      <alignment horizontal="center"/>
    </xf>
    <xf numFmtId="3" fontId="122" fillId="0" borderId="20" xfId="2" applyNumberFormat="1" applyFont="1" applyBorder="1" applyAlignment="1">
      <alignment horizontal="center"/>
    </xf>
    <xf numFmtId="3" fontId="122" fillId="0" borderId="19" xfId="2" applyNumberFormat="1" applyFont="1" applyBorder="1" applyAlignment="1">
      <alignment horizontal="center"/>
    </xf>
    <xf numFmtId="0" fontId="8" fillId="25" borderId="0" xfId="0" applyFont="1" applyFill="1" applyAlignment="1">
      <alignment horizontal="left"/>
    </xf>
    <xf numFmtId="3" fontId="122" fillId="0" borderId="19" xfId="0" applyNumberFormat="1" applyFont="1" applyBorder="1" applyAlignment="1">
      <alignment horizontal="center"/>
    </xf>
    <xf numFmtId="0" fontId="123" fillId="18" borderId="0" xfId="0" applyFont="1" applyFill="1"/>
    <xf numFmtId="0" fontId="123" fillId="18" borderId="0" xfId="0" applyFont="1" applyFill="1" applyAlignment="1">
      <alignment horizontal="left"/>
    </xf>
    <xf numFmtId="0" fontId="123" fillId="18" borderId="0" xfId="0" applyFont="1" applyFill="1" applyAlignment="1">
      <alignment horizontal="center"/>
    </xf>
    <xf numFmtId="0" fontId="123" fillId="18" borderId="0" xfId="0" applyFont="1" applyFill="1" applyAlignment="1">
      <alignment horizontal="center" vertical="center"/>
    </xf>
    <xf numFmtId="1" fontId="123" fillId="18" borderId="0" xfId="0" applyNumberFormat="1" applyFont="1" applyFill="1" applyAlignment="1">
      <alignment horizontal="center"/>
    </xf>
    <xf numFmtId="168" fontId="123" fillId="18" borderId="0" xfId="0" applyNumberFormat="1" applyFont="1" applyFill="1" applyAlignment="1">
      <alignment horizontal="center"/>
    </xf>
    <xf numFmtId="0" fontId="3" fillId="28" borderId="0" xfId="0" applyFont="1" applyFill="1" applyAlignment="1">
      <alignment horizontal="left"/>
    </xf>
    <xf numFmtId="3" fontId="60" fillId="16" borderId="9" xfId="0" applyNumberFormat="1" applyFont="1" applyFill="1" applyBorder="1" applyAlignment="1">
      <alignment horizontal="center"/>
    </xf>
    <xf numFmtId="2" fontId="58" fillId="0" borderId="0" xfId="0" applyNumberFormat="1" applyFont="1" applyFill="1" applyAlignment="1">
      <alignment horizontal="left"/>
    </xf>
    <xf numFmtId="2" fontId="79" fillId="0" borderId="0" xfId="0" applyNumberFormat="1" applyFont="1" applyFill="1" applyAlignment="1">
      <alignment horizontal="center"/>
    </xf>
    <xf numFmtId="0" fontId="130" fillId="11" borderId="0" xfId="0" applyFont="1" applyFill="1" applyAlignment="1">
      <alignment horizontal="center"/>
    </xf>
    <xf numFmtId="0" fontId="131" fillId="0" borderId="0" xfId="0" applyFont="1"/>
    <xf numFmtId="0" fontId="73" fillId="0" borderId="0" xfId="0" applyFont="1"/>
    <xf numFmtId="3" fontId="122" fillId="0" borderId="5" xfId="2" applyNumberFormat="1" applyFont="1" applyBorder="1" applyAlignment="1">
      <alignment horizontal="center"/>
    </xf>
    <xf numFmtId="3" fontId="122" fillId="0" borderId="7" xfId="2" applyNumberFormat="1" applyFont="1" applyBorder="1" applyAlignment="1">
      <alignment horizontal="center"/>
    </xf>
    <xf numFmtId="3" fontId="122" fillId="0" borderId="0" xfId="2" applyNumberFormat="1" applyFont="1" applyBorder="1" applyAlignment="1">
      <alignment horizontal="center"/>
    </xf>
    <xf numFmtId="2" fontId="122" fillId="0" borderId="9" xfId="0" applyNumberFormat="1" applyFont="1" applyFill="1" applyBorder="1" applyAlignment="1">
      <alignment horizontal="center"/>
    </xf>
    <xf numFmtId="3" fontId="122" fillId="0" borderId="9" xfId="0" applyNumberFormat="1" applyFont="1" applyBorder="1" applyAlignment="1">
      <alignment horizontal="center"/>
    </xf>
    <xf numFmtId="166" fontId="122" fillId="0" borderId="7" xfId="0" applyNumberFormat="1" applyFont="1" applyBorder="1" applyAlignment="1">
      <alignment horizontal="center"/>
    </xf>
    <xf numFmtId="3" fontId="122" fillId="0" borderId="5" xfId="0" applyNumberFormat="1" applyFont="1" applyBorder="1" applyAlignment="1">
      <alignment horizontal="center"/>
    </xf>
    <xf numFmtId="3" fontId="122" fillId="0" borderId="0" xfId="0" applyNumberFormat="1" applyFont="1" applyBorder="1" applyAlignment="1">
      <alignment horizontal="center"/>
    </xf>
    <xf numFmtId="3" fontId="125" fillId="0" borderId="0" xfId="0" applyNumberFormat="1" applyFont="1" applyBorder="1"/>
    <xf numFmtId="0" fontId="125" fillId="0" borderId="0" xfId="0" applyFont="1" applyBorder="1" applyAlignment="1">
      <alignment horizontal="center"/>
    </xf>
    <xf numFmtId="0" fontId="128" fillId="11" borderId="0" xfId="0" applyFont="1" applyFill="1" applyBorder="1" applyAlignment="1">
      <alignment horizontal="center"/>
    </xf>
    <xf numFmtId="3" fontId="122" fillId="0" borderId="0" xfId="2" applyNumberFormat="1" applyFont="1" applyFill="1" applyBorder="1" applyAlignment="1">
      <alignment horizontal="center"/>
    </xf>
    <xf numFmtId="3" fontId="122" fillId="0" borderId="7" xfId="0" applyNumberFormat="1" applyFont="1" applyBorder="1" applyAlignment="1">
      <alignment horizontal="center"/>
    </xf>
    <xf numFmtId="2" fontId="124" fillId="0" borderId="0" xfId="0" applyNumberFormat="1" applyFont="1" applyBorder="1" applyAlignment="1">
      <alignment horizontal="center"/>
    </xf>
    <xf numFmtId="0" fontId="125" fillId="0" borderId="0" xfId="0" applyFont="1" applyBorder="1"/>
    <xf numFmtId="3" fontId="58" fillId="0" borderId="0" xfId="0" applyNumberFormat="1" applyFont="1" applyBorder="1" applyAlignment="1">
      <alignment horizontal="center"/>
    </xf>
    <xf numFmtId="0" fontId="124" fillId="0" borderId="0" xfId="0" applyFont="1" applyBorder="1"/>
    <xf numFmtId="2" fontId="122" fillId="0" borderId="0" xfId="0" applyNumberFormat="1" applyFont="1" applyFill="1" applyBorder="1" applyAlignment="1">
      <alignment horizontal="center"/>
    </xf>
    <xf numFmtId="2" fontId="124" fillId="0" borderId="0" xfId="0" applyNumberFormat="1" applyFont="1" applyFill="1" applyBorder="1" applyAlignment="1">
      <alignment horizontal="center"/>
    </xf>
    <xf numFmtId="0" fontId="125" fillId="0" borderId="0" xfId="0" applyFont="1" applyFill="1" applyBorder="1"/>
    <xf numFmtId="3" fontId="124" fillId="0" borderId="7" xfId="0" applyNumberFormat="1" applyFont="1" applyBorder="1" applyAlignment="1">
      <alignment horizontal="center"/>
    </xf>
    <xf numFmtId="0" fontId="132" fillId="11" borderId="0" xfId="0" applyFont="1" applyFill="1" applyAlignment="1">
      <alignment horizontal="center"/>
    </xf>
    <xf numFmtId="3" fontId="79" fillId="0" borderId="17" xfId="0" applyNumberFormat="1" applyFont="1" applyBorder="1" applyAlignment="1">
      <alignment horizontal="center"/>
    </xf>
    <xf numFmtId="170" fontId="79" fillId="0" borderId="7" xfId="0" applyNumberFormat="1" applyFont="1" applyBorder="1" applyAlignment="1">
      <alignment horizontal="center"/>
    </xf>
    <xf numFmtId="0" fontId="78" fillId="0" borderId="0" xfId="0" applyNumberFormat="1" applyFont="1"/>
    <xf numFmtId="164" fontId="133" fillId="0" borderId="0" xfId="0" applyNumberFormat="1" applyFont="1" applyAlignment="1">
      <alignment horizontal="left"/>
    </xf>
    <xf numFmtId="166" fontId="79" fillId="0" borderId="0" xfId="0" applyNumberFormat="1" applyFont="1" applyAlignment="1">
      <alignment horizontal="center"/>
    </xf>
    <xf numFmtId="166" fontId="79" fillId="0" borderId="7" xfId="0" applyNumberFormat="1" applyFont="1" applyBorder="1" applyAlignment="1">
      <alignment horizontal="center"/>
    </xf>
    <xf numFmtId="3" fontId="79" fillId="0" borderId="0" xfId="0" applyNumberFormat="1" applyFont="1" applyBorder="1" applyAlignment="1">
      <alignment horizontal="center"/>
    </xf>
    <xf numFmtId="3" fontId="78" fillId="0" borderId="0" xfId="0" applyNumberFormat="1" applyFont="1"/>
    <xf numFmtId="3" fontId="134" fillId="0" borderId="0" xfId="0" applyNumberFormat="1" applyFont="1"/>
    <xf numFmtId="2" fontId="79" fillId="0" borderId="9" xfId="0" applyNumberFormat="1" applyFont="1" applyFill="1" applyBorder="1" applyAlignment="1">
      <alignment horizontal="center"/>
    </xf>
    <xf numFmtId="0" fontId="78" fillId="0" borderId="0" xfId="0" applyFont="1" applyFill="1"/>
    <xf numFmtId="3" fontId="79" fillId="0" borderId="0" xfId="0" applyNumberFormat="1" applyFont="1" applyAlignment="1">
      <alignment horizontal="center"/>
    </xf>
    <xf numFmtId="3" fontId="79" fillId="0" borderId="9" xfId="0" applyNumberFormat="1" applyFont="1" applyBorder="1" applyAlignment="1">
      <alignment horizontal="center"/>
    </xf>
    <xf numFmtId="0" fontId="78" fillId="0" borderId="0" xfId="0" applyFont="1" applyAlignment="1">
      <alignment horizontal="center"/>
    </xf>
    <xf numFmtId="3" fontId="79" fillId="0" borderId="0" xfId="2" applyNumberFormat="1" applyFont="1" applyAlignment="1">
      <alignment horizontal="center"/>
    </xf>
    <xf numFmtId="3" fontId="79" fillId="0" borderId="5" xfId="2" applyNumberFormat="1" applyFont="1" applyBorder="1" applyAlignment="1">
      <alignment horizontal="center"/>
    </xf>
    <xf numFmtId="3" fontId="79" fillId="0" borderId="7" xfId="2" applyNumberFormat="1" applyFont="1" applyBorder="1" applyAlignment="1">
      <alignment horizontal="center"/>
    </xf>
    <xf numFmtId="3" fontId="79" fillId="0" borderId="0" xfId="2" applyNumberFormat="1" applyFont="1" applyBorder="1" applyAlignment="1">
      <alignment horizontal="center"/>
    </xf>
    <xf numFmtId="0" fontId="79" fillId="0" borderId="0" xfId="0" applyFont="1" applyAlignment="1">
      <alignment horizontal="center"/>
    </xf>
    <xf numFmtId="3" fontId="79" fillId="0" borderId="5" xfId="0" applyNumberFormat="1" applyFont="1" applyBorder="1" applyAlignment="1">
      <alignment horizontal="center"/>
    </xf>
    <xf numFmtId="1" fontId="79" fillId="0" borderId="0" xfId="0" applyNumberFormat="1" applyFont="1" applyAlignment="1">
      <alignment horizontal="center"/>
    </xf>
    <xf numFmtId="0" fontId="79" fillId="0" borderId="0" xfId="0" applyFont="1"/>
    <xf numFmtId="3" fontId="79" fillId="15" borderId="9" xfId="0" applyNumberFormat="1" applyFont="1" applyFill="1" applyBorder="1" applyAlignment="1">
      <alignment horizontal="center"/>
    </xf>
    <xf numFmtId="3" fontId="79" fillId="15" borderId="7" xfId="0" applyNumberFormat="1" applyFont="1" applyFill="1" applyBorder="1" applyAlignment="1">
      <alignment horizontal="center"/>
    </xf>
    <xf numFmtId="4" fontId="78" fillId="0" borderId="0" xfId="0" applyNumberFormat="1" applyFont="1"/>
    <xf numFmtId="0" fontId="126" fillId="0" borderId="0" xfId="0" applyFont="1" applyFill="1" applyAlignment="1">
      <alignment horizontal="right"/>
    </xf>
    <xf numFmtId="3" fontId="126" fillId="0" borderId="0" xfId="0" applyNumberFormat="1" applyFont="1" applyFill="1" applyAlignment="1">
      <alignment horizontal="center"/>
    </xf>
    <xf numFmtId="175" fontId="126" fillId="0" borderId="0" xfId="3" applyNumberFormat="1" applyFont="1" applyFill="1"/>
    <xf numFmtId="0" fontId="126" fillId="0" borderId="0" xfId="0" applyFont="1" applyFill="1"/>
    <xf numFmtId="173" fontId="126" fillId="0" borderId="0" xfId="2" applyNumberFormat="1" applyFont="1" applyFill="1"/>
    <xf numFmtId="171" fontId="60" fillId="16" borderId="0" xfId="0" applyNumberFormat="1" applyFont="1" applyFill="1" applyAlignment="1">
      <alignment horizontal="center"/>
    </xf>
    <xf numFmtId="3" fontId="64" fillId="16" borderId="0" xfId="0" applyNumberFormat="1" applyFont="1" applyFill="1" applyBorder="1" applyAlignment="1">
      <alignment horizontal="center"/>
    </xf>
    <xf numFmtId="3" fontId="57" fillId="0" borderId="20" xfId="2" applyNumberFormat="1" applyFont="1" applyBorder="1" applyAlignment="1">
      <alignment horizontal="center"/>
    </xf>
    <xf numFmtId="3" fontId="57" fillId="0" borderId="19" xfId="2" applyNumberFormat="1" applyFont="1" applyBorder="1" applyAlignment="1">
      <alignment horizontal="center"/>
    </xf>
    <xf numFmtId="3" fontId="57" fillId="0" borderId="21" xfId="2" applyNumberFormat="1" applyFont="1" applyBorder="1" applyAlignment="1">
      <alignment horizontal="center"/>
    </xf>
    <xf numFmtId="3" fontId="56" fillId="0" borderId="0" xfId="0" applyNumberFormat="1" applyFont="1" applyFill="1" applyAlignment="1">
      <alignment horizontal="center"/>
    </xf>
    <xf numFmtId="0" fontId="56" fillId="0" borderId="0" xfId="0" applyFont="1" applyFill="1"/>
    <xf numFmtId="173" fontId="56" fillId="0" borderId="0" xfId="2" applyNumberFormat="1" applyFont="1" applyFill="1"/>
    <xf numFmtId="9" fontId="122" fillId="0" borderId="0" xfId="3" applyFont="1" applyAlignment="1">
      <alignment horizontal="center"/>
    </xf>
    <xf numFmtId="0" fontId="0" fillId="0" borderId="0" xfId="0"/>
    <xf numFmtId="0" fontId="107" fillId="0" borderId="0" xfId="0" applyFont="1" applyFill="1" applyAlignment="1">
      <alignment horizontal="left"/>
    </xf>
    <xf numFmtId="174" fontId="107" fillId="0" borderId="0" xfId="0" applyNumberFormat="1" applyFont="1" applyFill="1" applyAlignment="1">
      <alignment horizontal="center"/>
    </xf>
    <xf numFmtId="3" fontId="64" fillId="16" borderId="0" xfId="2" applyNumberFormat="1" applyFont="1" applyFill="1" applyAlignment="1">
      <alignment horizontal="center"/>
    </xf>
    <xf numFmtId="3" fontId="60" fillId="16" borderId="0" xfId="0" applyNumberFormat="1" applyFont="1" applyFill="1" applyAlignment="1">
      <alignment horizontal="center"/>
    </xf>
    <xf numFmtId="3" fontId="64" fillId="16" borderId="0" xfId="0" applyNumberFormat="1" applyFont="1" applyFill="1" applyAlignment="1">
      <alignment horizontal="center"/>
    </xf>
    <xf numFmtId="3" fontId="56" fillId="30" borderId="0" xfId="0" applyNumberFormat="1" applyFont="1" applyFill="1" applyBorder="1" applyAlignment="1">
      <alignment horizontal="center"/>
    </xf>
    <xf numFmtId="4" fontId="56" fillId="30" borderId="0" xfId="0" applyNumberFormat="1" applyFont="1" applyFill="1" applyBorder="1" applyAlignment="1">
      <alignment horizontal="center"/>
    </xf>
    <xf numFmtId="3" fontId="122" fillId="0" borderId="7" xfId="2" applyNumberFormat="1" applyFont="1" applyFill="1" applyBorder="1" applyAlignment="1">
      <alignment horizontal="center"/>
    </xf>
    <xf numFmtId="3" fontId="60" fillId="0" borderId="5" xfId="2" applyNumberFormat="1" applyFont="1" applyFill="1" applyBorder="1" applyAlignment="1">
      <alignment horizontal="center"/>
    </xf>
    <xf numFmtId="3" fontId="56" fillId="27" borderId="0" xfId="0" applyNumberFormat="1" applyFont="1" applyFill="1" applyAlignment="1">
      <alignment horizontal="center"/>
    </xf>
    <xf numFmtId="0" fontId="58" fillId="0" borderId="0" xfId="0" applyFont="1" applyFill="1" applyBorder="1" applyAlignment="1">
      <alignment horizontal="right"/>
    </xf>
    <xf numFmtId="164" fontId="135" fillId="0" borderId="20" xfId="0" applyNumberFormat="1" applyFont="1" applyFill="1" applyBorder="1" applyAlignment="1">
      <alignment horizontal="right"/>
    </xf>
    <xf numFmtId="167" fontId="136" fillId="7" borderId="0" xfId="0" applyNumberFormat="1" applyFont="1" applyFill="1" applyAlignment="1">
      <alignment horizontal="center"/>
    </xf>
    <xf numFmtId="0" fontId="137" fillId="0" borderId="0" xfId="0" applyFont="1" applyAlignment="1">
      <alignment horizontal="left"/>
    </xf>
    <xf numFmtId="165" fontId="137" fillId="0" borderId="0" xfId="2" applyFont="1" applyAlignment="1">
      <alignment horizontal="center"/>
    </xf>
    <xf numFmtId="1" fontId="137" fillId="0" borderId="0" xfId="0" applyNumberFormat="1" applyFont="1"/>
    <xf numFmtId="175" fontId="0" fillId="0" borderId="0" xfId="3" applyNumberFormat="1" applyFont="1" applyAlignment="1">
      <alignment horizontal="center"/>
    </xf>
    <xf numFmtId="175" fontId="0" fillId="0" borderId="0" xfId="0" applyNumberFormat="1" applyAlignment="1">
      <alignment horizontal="center"/>
    </xf>
    <xf numFmtId="4" fontId="106" fillId="0" borderId="0" xfId="2" applyNumberFormat="1" applyFont="1" applyAlignment="1">
      <alignment horizontal="center"/>
    </xf>
    <xf numFmtId="0" fontId="64" fillId="27" borderId="0" xfId="0" applyFont="1" applyFill="1"/>
    <xf numFmtId="0" fontId="56" fillId="27" borderId="0" xfId="0" quotePrefix="1" applyFont="1" applyFill="1" applyAlignment="1">
      <alignment horizontal="right"/>
    </xf>
    <xf numFmtId="0" fontId="64" fillId="0" borderId="0" xfId="0" applyFont="1" applyFill="1" applyAlignment="1">
      <alignment horizontal="right"/>
    </xf>
    <xf numFmtId="0" fontId="56" fillId="0" borderId="0" xfId="0" applyFont="1" applyFill="1" applyAlignment="1">
      <alignment horizontal="right"/>
    </xf>
    <xf numFmtId="170" fontId="60" fillId="0" borderId="0" xfId="0" applyNumberFormat="1" applyFont="1" applyBorder="1" applyAlignment="1">
      <alignment horizontal="center"/>
    </xf>
    <xf numFmtId="176" fontId="60" fillId="0" borderId="0" xfId="0" applyNumberFormat="1" applyFont="1" applyBorder="1" applyAlignment="1">
      <alignment horizontal="center"/>
    </xf>
    <xf numFmtId="2" fontId="122" fillId="0" borderId="0" xfId="0" applyNumberFormat="1" applyFont="1" applyAlignment="1">
      <alignment horizontal="center"/>
    </xf>
    <xf numFmtId="0" fontId="60" fillId="31" borderId="0" xfId="0" applyFont="1" applyFill="1" applyBorder="1" applyAlignment="1">
      <alignment horizontal="center"/>
    </xf>
    <xf numFmtId="0" fontId="60" fillId="31" borderId="0" xfId="0" applyFont="1" applyFill="1" applyAlignment="1">
      <alignment horizontal="left"/>
    </xf>
    <xf numFmtId="0" fontId="60" fillId="31" borderId="0" xfId="0" applyFont="1" applyFill="1" applyBorder="1" applyAlignment="1">
      <alignment horizontal="left"/>
    </xf>
    <xf numFmtId="0" fontId="60" fillId="31" borderId="5" xfId="0" applyFont="1" applyFill="1" applyBorder="1" applyAlignment="1">
      <alignment horizontal="center"/>
    </xf>
    <xf numFmtId="0" fontId="60" fillId="31" borderId="5" xfId="0" applyFont="1" applyFill="1" applyBorder="1" applyAlignment="1">
      <alignment horizontal="left"/>
    </xf>
    <xf numFmtId="0" fontId="60" fillId="31" borderId="7" xfId="0" applyFont="1" applyFill="1" applyBorder="1" applyAlignment="1">
      <alignment horizontal="center"/>
    </xf>
    <xf numFmtId="0" fontId="60" fillId="31" borderId="6" xfId="0" applyFont="1" applyFill="1" applyBorder="1" applyAlignment="1">
      <alignment horizontal="center"/>
    </xf>
    <xf numFmtId="0" fontId="60" fillId="31" borderId="7" xfId="0" applyFont="1" applyFill="1" applyBorder="1"/>
    <xf numFmtId="0" fontId="60" fillId="31" borderId="7" xfId="0" applyFont="1" applyFill="1" applyBorder="1" applyAlignment="1">
      <alignment horizontal="left"/>
    </xf>
    <xf numFmtId="0" fontId="60" fillId="31" borderId="5" xfId="0" applyFont="1" applyFill="1" applyBorder="1"/>
    <xf numFmtId="0" fontId="64" fillId="31" borderId="5" xfId="0" applyFont="1" applyFill="1" applyBorder="1"/>
    <xf numFmtId="3" fontId="58" fillId="0" borderId="0" xfId="2" applyNumberFormat="1" applyFont="1" applyAlignment="1">
      <alignment horizontal="center"/>
    </xf>
    <xf numFmtId="165" fontId="56" fillId="0" borderId="0" xfId="2" applyFont="1" applyFill="1"/>
    <xf numFmtId="0" fontId="0" fillId="0" borderId="0" xfId="0"/>
    <xf numFmtId="0" fontId="138" fillId="28" borderId="0" xfId="0" applyFont="1" applyFill="1"/>
    <xf numFmtId="0" fontId="60" fillId="0" borderId="7" xfId="0" applyFont="1" applyFill="1" applyBorder="1" applyAlignment="1">
      <alignment horizontal="center"/>
    </xf>
    <xf numFmtId="0" fontId="78" fillId="0" borderId="20" xfId="0" applyFont="1" applyBorder="1"/>
    <xf numFmtId="0" fontId="73" fillId="11" borderId="20" xfId="0" applyFont="1" applyFill="1" applyBorder="1" applyAlignment="1">
      <alignment horizontal="center"/>
    </xf>
    <xf numFmtId="3" fontId="122" fillId="0" borderId="20" xfId="2" applyNumberFormat="1" applyFont="1" applyBorder="1" applyAlignment="1">
      <alignment horizontal="left"/>
    </xf>
    <xf numFmtId="3" fontId="79" fillId="0" borderId="20" xfId="0" applyNumberFormat="1" applyFont="1" applyBorder="1" applyAlignment="1">
      <alignment horizontal="center"/>
    </xf>
    <xf numFmtId="2" fontId="79" fillId="0" borderId="20" xfId="0" applyNumberFormat="1" applyFont="1" applyBorder="1" applyAlignment="1">
      <alignment horizontal="center"/>
    </xf>
    <xf numFmtId="0" fontId="78" fillId="0" borderId="20" xfId="0" applyNumberFormat="1" applyFont="1" applyBorder="1"/>
    <xf numFmtId="3" fontId="78" fillId="0" borderId="20" xfId="0" applyNumberFormat="1" applyFont="1" applyBorder="1"/>
    <xf numFmtId="2" fontId="79" fillId="0" borderId="20" xfId="0" applyNumberFormat="1" applyFont="1" applyFill="1" applyBorder="1" applyAlignment="1">
      <alignment horizontal="center"/>
    </xf>
    <xf numFmtId="0" fontId="78" fillId="0" borderId="20" xfId="0" applyFont="1" applyFill="1" applyBorder="1"/>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xf>
    <xf numFmtId="168" fontId="3" fillId="0" borderId="0" xfId="0" applyNumberFormat="1" applyFont="1" applyAlignment="1">
      <alignment horizontal="center"/>
    </xf>
    <xf numFmtId="2" fontId="3" fillId="0" borderId="0" xfId="0" applyNumberFormat="1" applyFont="1" applyAlignment="1">
      <alignment horizontal="center"/>
    </xf>
    <xf numFmtId="166" fontId="3" fillId="0" borderId="0" xfId="0" applyNumberFormat="1" applyFont="1" applyAlignment="1">
      <alignment horizontal="center"/>
    </xf>
    <xf numFmtId="1" fontId="3" fillId="0" borderId="0" xfId="0" applyNumberFormat="1" applyFont="1" applyAlignment="1">
      <alignment horizontal="center"/>
    </xf>
    <xf numFmtId="0" fontId="3" fillId="0" borderId="0" xfId="0" applyFont="1" applyAlignment="1"/>
    <xf numFmtId="2" fontId="3" fillId="0" borderId="0" xfId="0" applyNumberFormat="1" applyFont="1" applyAlignment="1">
      <alignment horizontal="right"/>
    </xf>
    <xf numFmtId="168" fontId="3" fillId="0" borderId="0" xfId="0" applyNumberFormat="1" applyFont="1" applyAlignment="1">
      <alignment horizontal="right"/>
    </xf>
    <xf numFmtId="0" fontId="0" fillId="0" borderId="0" xfId="0"/>
    <xf numFmtId="168" fontId="127" fillId="32" borderId="0" xfId="0" applyNumberFormat="1" applyFont="1" applyFill="1" applyBorder="1" applyAlignment="1">
      <alignment horizontal="center"/>
    </xf>
    <xf numFmtId="167" fontId="60" fillId="0" borderId="0" xfId="0" applyNumberFormat="1" applyFont="1" applyFill="1" applyBorder="1" applyAlignment="1">
      <alignment horizontal="center"/>
    </xf>
    <xf numFmtId="168" fontId="60" fillId="0" borderId="0" xfId="0" applyNumberFormat="1" applyFont="1" applyFill="1" applyBorder="1" applyAlignment="1">
      <alignment horizontal="center"/>
    </xf>
    <xf numFmtId="3" fontId="60" fillId="21" borderId="0" xfId="2" applyNumberFormat="1" applyFont="1" applyFill="1" applyAlignment="1">
      <alignment horizontal="center"/>
    </xf>
    <xf numFmtId="3" fontId="60" fillId="21" borderId="20" xfId="2" applyNumberFormat="1" applyFont="1" applyFill="1" applyBorder="1" applyAlignment="1">
      <alignment horizontal="center"/>
    </xf>
    <xf numFmtId="3" fontId="60" fillId="21" borderId="7" xfId="2" applyNumberFormat="1" applyFont="1" applyFill="1" applyBorder="1" applyAlignment="1">
      <alignment horizontal="center"/>
    </xf>
    <xf numFmtId="3" fontId="60" fillId="21" borderId="21" xfId="2" applyNumberFormat="1" applyFont="1" applyFill="1" applyBorder="1" applyAlignment="1">
      <alignment horizontal="center"/>
    </xf>
    <xf numFmtId="3" fontId="60" fillId="21" borderId="0" xfId="2" applyNumberFormat="1" applyFont="1" applyFill="1" applyBorder="1" applyAlignment="1">
      <alignment horizontal="center"/>
    </xf>
    <xf numFmtId="3" fontId="122" fillId="21" borderId="7" xfId="2" applyNumberFormat="1" applyFont="1" applyFill="1" applyBorder="1" applyAlignment="1">
      <alignment horizontal="center"/>
    </xf>
    <xf numFmtId="3" fontId="60" fillId="21" borderId="5" xfId="2" applyNumberFormat="1" applyFont="1" applyFill="1" applyBorder="1" applyAlignment="1">
      <alignment horizontal="center"/>
    </xf>
    <xf numFmtId="3" fontId="122" fillId="21" borderId="0" xfId="0" applyNumberFormat="1" applyFont="1" applyFill="1" applyAlignment="1">
      <alignment horizontal="center"/>
    </xf>
    <xf numFmtId="3" fontId="122" fillId="21" borderId="20" xfId="0" applyNumberFormat="1" applyFont="1" applyFill="1" applyBorder="1" applyAlignment="1">
      <alignment horizontal="center"/>
    </xf>
    <xf numFmtId="3" fontId="122" fillId="21" borderId="0" xfId="0" applyNumberFormat="1" applyFont="1" applyFill="1" applyBorder="1" applyAlignment="1">
      <alignment horizontal="center"/>
    </xf>
    <xf numFmtId="3" fontId="122" fillId="21" borderId="9" xfId="0" applyNumberFormat="1" applyFont="1" applyFill="1" applyBorder="1" applyAlignment="1">
      <alignment horizontal="center"/>
    </xf>
    <xf numFmtId="3" fontId="122" fillId="21" borderId="22" xfId="0" applyNumberFormat="1" applyFont="1" applyFill="1" applyBorder="1" applyAlignment="1">
      <alignment horizontal="center"/>
    </xf>
    <xf numFmtId="166" fontId="60" fillId="21" borderId="0" xfId="0" applyNumberFormat="1" applyFont="1" applyFill="1" applyAlignment="1">
      <alignment horizontal="center"/>
    </xf>
    <xf numFmtId="166" fontId="60" fillId="21" borderId="20" xfId="0" applyNumberFormat="1" applyFont="1" applyFill="1" applyBorder="1" applyAlignment="1">
      <alignment horizontal="center"/>
    </xf>
    <xf numFmtId="166" fontId="60" fillId="21" borderId="7" xfId="0" applyNumberFormat="1" applyFont="1" applyFill="1" applyBorder="1" applyAlignment="1">
      <alignment horizontal="center"/>
    </xf>
    <xf numFmtId="2" fontId="60" fillId="21" borderId="0" xfId="0" applyNumberFormat="1" applyFont="1" applyFill="1" applyAlignment="1">
      <alignment horizontal="center"/>
    </xf>
    <xf numFmtId="2" fontId="60" fillId="21" borderId="20" xfId="0" applyNumberFormat="1" applyFont="1" applyFill="1" applyBorder="1" applyAlignment="1">
      <alignment horizontal="center"/>
    </xf>
    <xf numFmtId="2" fontId="60" fillId="21" borderId="9" xfId="0" applyNumberFormat="1" applyFont="1" applyFill="1" applyBorder="1" applyAlignment="1">
      <alignment horizontal="center"/>
    </xf>
    <xf numFmtId="2" fontId="60" fillId="21" borderId="22" xfId="0" applyNumberFormat="1" applyFont="1" applyFill="1" applyBorder="1" applyAlignment="1">
      <alignment horizontal="center"/>
    </xf>
    <xf numFmtId="3" fontId="60" fillId="21" borderId="22" xfId="0" applyNumberFormat="1" applyFont="1" applyFill="1" applyBorder="1" applyAlignment="1">
      <alignment horizontal="center"/>
    </xf>
    <xf numFmtId="3" fontId="60" fillId="21" borderId="19" xfId="0" applyNumberFormat="1" applyFont="1" applyFill="1" applyBorder="1" applyAlignment="1">
      <alignment horizontal="center"/>
    </xf>
    <xf numFmtId="3" fontId="122" fillId="21" borderId="8" xfId="0" applyNumberFormat="1" applyFont="1" applyFill="1" applyBorder="1" applyAlignment="1">
      <alignment horizontal="center"/>
    </xf>
    <xf numFmtId="3" fontId="122" fillId="21" borderId="21" xfId="0" applyNumberFormat="1" applyFont="1" applyFill="1" applyBorder="1" applyAlignment="1">
      <alignment horizontal="center"/>
    </xf>
    <xf numFmtId="0" fontId="60" fillId="7" borderId="0" xfId="0" applyFont="1" applyFill="1" applyBorder="1" applyAlignment="1">
      <alignment horizontal="left" vertical="center"/>
    </xf>
    <xf numFmtId="0" fontId="60" fillId="13" borderId="0" xfId="0" applyFont="1" applyFill="1" applyBorder="1" applyAlignment="1">
      <alignment horizontal="center" vertical="center"/>
    </xf>
    <xf numFmtId="0" fontId="60" fillId="13" borderId="0" xfId="0" applyFont="1" applyFill="1" applyBorder="1" applyAlignment="1">
      <alignment horizontal="left" vertical="center"/>
    </xf>
    <xf numFmtId="2" fontId="60" fillId="13" borderId="0" xfId="0" applyNumberFormat="1" applyFont="1" applyFill="1" applyBorder="1" applyAlignment="1">
      <alignment horizontal="center" vertical="center"/>
    </xf>
    <xf numFmtId="2" fontId="64" fillId="8" borderId="0" xfId="0" applyNumberFormat="1" applyFont="1" applyFill="1" applyAlignment="1">
      <alignment horizontal="center" vertical="center"/>
    </xf>
    <xf numFmtId="3" fontId="122" fillId="15" borderId="22" xfId="0" applyNumberFormat="1" applyFont="1" applyFill="1" applyBorder="1" applyAlignment="1">
      <alignment horizontal="center"/>
    </xf>
    <xf numFmtId="3" fontId="61" fillId="15" borderId="22" xfId="0" applyNumberFormat="1" applyFont="1" applyFill="1" applyBorder="1" applyAlignment="1">
      <alignment horizontal="center"/>
    </xf>
    <xf numFmtId="0" fontId="0" fillId="0" borderId="0" xfId="0"/>
    <xf numFmtId="0" fontId="3" fillId="0" borderId="0" xfId="0" applyFont="1" applyFill="1" applyAlignment="1">
      <alignment horizontal="center"/>
    </xf>
    <xf numFmtId="0" fontId="60" fillId="20" borderId="0" xfId="0" applyFont="1" applyFill="1" applyBorder="1" applyAlignment="1">
      <alignment horizontal="center"/>
    </xf>
    <xf numFmtId="2" fontId="139" fillId="0" borderId="0" xfId="0" applyNumberFormat="1" applyFont="1" applyAlignment="1">
      <alignment horizontal="center"/>
    </xf>
    <xf numFmtId="2" fontId="122" fillId="0" borderId="20" xfId="0" applyNumberFormat="1" applyFont="1" applyFill="1" applyBorder="1" applyAlignment="1">
      <alignment horizontal="center"/>
    </xf>
    <xf numFmtId="2" fontId="122" fillId="0" borderId="22" xfId="0" applyNumberFormat="1" applyFont="1" applyFill="1" applyBorder="1" applyAlignment="1">
      <alignment horizontal="center"/>
    </xf>
    <xf numFmtId="3" fontId="122" fillId="0" borderId="20" xfId="0" applyNumberFormat="1" applyFont="1" applyFill="1" applyBorder="1" applyAlignment="1">
      <alignment horizontal="center"/>
    </xf>
    <xf numFmtId="3" fontId="122" fillId="0" borderId="22" xfId="0" applyNumberFormat="1" applyFont="1" applyFill="1" applyBorder="1" applyAlignment="1">
      <alignment horizontal="center"/>
    </xf>
    <xf numFmtId="0" fontId="122" fillId="21" borderId="20" xfId="0" applyFont="1" applyFill="1" applyBorder="1"/>
    <xf numFmtId="3" fontId="64" fillId="0" borderId="0" xfId="0" applyNumberFormat="1" applyFont="1" applyFill="1" applyAlignment="1">
      <alignment horizontal="center"/>
    </xf>
    <xf numFmtId="166" fontId="60" fillId="21" borderId="21" xfId="0" applyNumberFormat="1" applyFont="1" applyFill="1" applyBorder="1" applyAlignment="1">
      <alignment horizontal="center"/>
    </xf>
    <xf numFmtId="3" fontId="127" fillId="29" borderId="0" xfId="0" applyNumberFormat="1" applyFont="1" applyFill="1" applyBorder="1" applyAlignment="1">
      <alignment horizontal="center"/>
    </xf>
    <xf numFmtId="3" fontId="122" fillId="21" borderId="6" xfId="0" applyNumberFormat="1" applyFont="1" applyFill="1" applyBorder="1" applyAlignment="1">
      <alignment horizontal="center"/>
    </xf>
    <xf numFmtId="3" fontId="122" fillId="21" borderId="19" xfId="0" applyNumberFormat="1" applyFont="1" applyFill="1" applyBorder="1" applyAlignment="1">
      <alignment horizontal="center"/>
    </xf>
    <xf numFmtId="3" fontId="61" fillId="15" borderId="9" xfId="0" applyNumberFormat="1" applyFont="1" applyFill="1" applyBorder="1" applyAlignment="1">
      <alignment horizontal="center"/>
    </xf>
    <xf numFmtId="3" fontId="65" fillId="27" borderId="0" xfId="0" applyNumberFormat="1" applyFont="1" applyFill="1" applyAlignment="1">
      <alignment horizontal="center"/>
    </xf>
    <xf numFmtId="0" fontId="64" fillId="0" borderId="0" xfId="0" applyFont="1" applyFill="1" applyAlignment="1">
      <alignment horizontal="right" indent="1"/>
    </xf>
    <xf numFmtId="168" fontId="0" fillId="0" borderId="0" xfId="0" applyNumberFormat="1" applyFill="1" applyAlignment="1">
      <alignment horizontal="center"/>
    </xf>
    <xf numFmtId="0" fontId="0" fillId="0" borderId="0" xfId="0" applyFill="1" applyAlignment="1">
      <alignment horizontal="center" vertical="center"/>
    </xf>
    <xf numFmtId="0" fontId="3" fillId="0" borderId="0" xfId="0" applyFont="1" applyFill="1"/>
    <xf numFmtId="0" fontId="3" fillId="0" borderId="0" xfId="0" applyFont="1" applyFill="1" applyAlignment="1">
      <alignment horizontal="center" vertical="center"/>
    </xf>
    <xf numFmtId="167" fontId="3" fillId="0" borderId="0" xfId="0" applyNumberFormat="1" applyFont="1"/>
    <xf numFmtId="0" fontId="0" fillId="28" borderId="0" xfId="0" applyFill="1"/>
    <xf numFmtId="166" fontId="3" fillId="0" borderId="0" xfId="0" applyNumberFormat="1" applyFont="1" applyFill="1" applyAlignment="1">
      <alignment horizontal="center"/>
    </xf>
    <xf numFmtId="0" fontId="2" fillId="28" borderId="0" xfId="0" applyFont="1" applyFill="1" applyAlignment="1">
      <alignment horizontal="center"/>
    </xf>
    <xf numFmtId="0" fontId="2" fillId="28" borderId="0" xfId="0" applyFont="1" applyFill="1" applyAlignment="1">
      <alignment horizontal="center" vertical="center"/>
    </xf>
    <xf numFmtId="3" fontId="65" fillId="0" borderId="0" xfId="0" applyNumberFormat="1" applyFont="1" applyFill="1" applyAlignment="1">
      <alignment horizontal="center"/>
    </xf>
    <xf numFmtId="2" fontId="3" fillId="0" borderId="0" xfId="0" applyNumberFormat="1" applyFont="1" applyFill="1" applyAlignment="1">
      <alignment horizontal="center" vertical="center"/>
    </xf>
    <xf numFmtId="168" fontId="127" fillId="32" borderId="7" xfId="0" applyNumberFormat="1" applyFont="1" applyFill="1" applyBorder="1" applyAlignment="1">
      <alignment horizontal="center"/>
    </xf>
    <xf numFmtId="168" fontId="60" fillId="32" borderId="0" xfId="0" applyNumberFormat="1" applyFont="1" applyFill="1" applyAlignment="1">
      <alignment horizontal="center"/>
    </xf>
    <xf numFmtId="168" fontId="58" fillId="32" borderId="0" xfId="0" applyNumberFormat="1" applyFont="1" applyFill="1" applyBorder="1" applyAlignment="1">
      <alignment horizontal="center"/>
    </xf>
    <xf numFmtId="0" fontId="3" fillId="28" borderId="0" xfId="0" applyFont="1" applyFill="1"/>
    <xf numFmtId="168" fontId="3" fillId="0" borderId="0" xfId="0" applyNumberFormat="1" applyFont="1" applyFill="1" applyAlignment="1">
      <alignment horizontal="center" vertical="center"/>
    </xf>
    <xf numFmtId="168" fontId="0" fillId="28" borderId="0" xfId="0" applyNumberFormat="1" applyFill="1" applyAlignment="1">
      <alignment horizontal="center"/>
    </xf>
    <xf numFmtId="3" fontId="60" fillId="21" borderId="6" xfId="0" applyNumberFormat="1" applyFont="1" applyFill="1" applyBorder="1" applyAlignment="1">
      <alignment horizontal="center"/>
    </xf>
    <xf numFmtId="3" fontId="60" fillId="21" borderId="10" xfId="0" applyNumberFormat="1" applyFont="1" applyFill="1" applyBorder="1" applyAlignment="1">
      <alignment horizontal="center"/>
    </xf>
    <xf numFmtId="3" fontId="122" fillId="21" borderId="4" xfId="0" applyNumberFormat="1" applyFont="1" applyFill="1" applyBorder="1" applyAlignment="1">
      <alignment horizontal="center"/>
    </xf>
    <xf numFmtId="3" fontId="122" fillId="21" borderId="10" xfId="0" applyNumberFormat="1" applyFont="1" applyFill="1" applyBorder="1" applyAlignment="1">
      <alignment horizontal="center"/>
    </xf>
    <xf numFmtId="0" fontId="122" fillId="21" borderId="4" xfId="0" applyFont="1" applyFill="1" applyBorder="1"/>
    <xf numFmtId="167" fontId="107" fillId="7" borderId="0" xfId="0" applyNumberFormat="1" applyFont="1" applyFill="1" applyAlignment="1">
      <alignment horizontal="center"/>
    </xf>
    <xf numFmtId="167" fontId="107" fillId="7" borderId="0" xfId="0" applyNumberFormat="1" applyFont="1" applyFill="1" applyAlignment="1">
      <alignment horizontal="center" vertical="center"/>
    </xf>
    <xf numFmtId="4" fontId="60" fillId="21" borderId="0" xfId="0" applyNumberFormat="1" applyFont="1" applyFill="1" applyAlignment="1">
      <alignment horizontal="center"/>
    </xf>
    <xf numFmtId="4" fontId="60" fillId="21" borderId="20" xfId="0" applyNumberFormat="1" applyFont="1" applyFill="1" applyBorder="1" applyAlignment="1">
      <alignment horizontal="center"/>
    </xf>
    <xf numFmtId="4" fontId="60" fillId="21" borderId="9" xfId="0" applyNumberFormat="1" applyFont="1" applyFill="1" applyBorder="1" applyAlignment="1">
      <alignment horizontal="center"/>
    </xf>
    <xf numFmtId="4" fontId="60" fillId="21" borderId="22" xfId="0" applyNumberFormat="1" applyFont="1" applyFill="1" applyBorder="1" applyAlignment="1">
      <alignment horizontal="center"/>
    </xf>
    <xf numFmtId="1" fontId="122" fillId="0" borderId="0" xfId="2" applyNumberFormat="1" applyFont="1" applyFill="1" applyBorder="1" applyAlignment="1">
      <alignment horizontal="center"/>
    </xf>
    <xf numFmtId="0" fontId="64" fillId="0" borderId="0" xfId="0" applyFont="1" applyAlignment="1">
      <alignment horizontal="center" vertical="center"/>
    </xf>
    <xf numFmtId="0" fontId="58" fillId="31" borderId="0" xfId="0" applyFont="1" applyFill="1" applyBorder="1" applyAlignment="1">
      <alignment horizontal="center"/>
    </xf>
    <xf numFmtId="0" fontId="78" fillId="0" borderId="0" xfId="0" applyFont="1" applyBorder="1"/>
    <xf numFmtId="0" fontId="142" fillId="11" borderId="0" xfId="0" applyFont="1" applyFill="1" applyAlignment="1">
      <alignment horizontal="center"/>
    </xf>
    <xf numFmtId="0" fontId="142" fillId="11" borderId="0" xfId="0" applyFont="1" applyFill="1" applyBorder="1" applyAlignment="1">
      <alignment horizontal="center"/>
    </xf>
    <xf numFmtId="0" fontId="142" fillId="11" borderId="20" xfId="0" applyFont="1" applyFill="1" applyBorder="1" applyAlignment="1">
      <alignment horizontal="center"/>
    </xf>
    <xf numFmtId="3" fontId="136" fillId="0" borderId="0" xfId="2" applyNumberFormat="1" applyFont="1" applyAlignment="1">
      <alignment horizontal="center"/>
    </xf>
    <xf numFmtId="3" fontId="136" fillId="0" borderId="0" xfId="2" applyNumberFormat="1" applyFont="1" applyBorder="1" applyAlignment="1">
      <alignment horizontal="center"/>
    </xf>
    <xf numFmtId="3" fontId="136" fillId="0" borderId="20" xfId="2" applyNumberFormat="1" applyFont="1" applyBorder="1" applyAlignment="1">
      <alignment horizontal="center"/>
    </xf>
    <xf numFmtId="3" fontId="136" fillId="0" borderId="5" xfId="2" applyNumberFormat="1" applyFont="1" applyBorder="1" applyAlignment="1">
      <alignment horizontal="center"/>
    </xf>
    <xf numFmtId="3" fontId="136" fillId="0" borderId="19" xfId="2" applyNumberFormat="1" applyFont="1" applyBorder="1" applyAlignment="1">
      <alignment horizontal="center"/>
    </xf>
    <xf numFmtId="175" fontId="136" fillId="0" borderId="0" xfId="3" applyNumberFormat="1" applyFont="1" applyAlignment="1">
      <alignment horizontal="center"/>
    </xf>
    <xf numFmtId="3" fontId="136" fillId="0" borderId="0" xfId="0" applyNumberFormat="1" applyFont="1" applyAlignment="1">
      <alignment horizontal="center"/>
    </xf>
    <xf numFmtId="3" fontId="136" fillId="0" borderId="0" xfId="0" applyNumberFormat="1" applyFont="1" applyBorder="1" applyAlignment="1">
      <alignment horizontal="center"/>
    </xf>
    <xf numFmtId="3" fontId="136" fillId="0" borderId="20" xfId="0" applyNumberFormat="1" applyFont="1" applyBorder="1" applyAlignment="1">
      <alignment horizontal="center"/>
    </xf>
    <xf numFmtId="3" fontId="136" fillId="0" borderId="6" xfId="0" applyNumberFormat="1" applyFont="1" applyBorder="1" applyAlignment="1">
      <alignment horizontal="center"/>
    </xf>
    <xf numFmtId="3" fontId="136" fillId="0" borderId="5" xfId="0" applyNumberFormat="1" applyFont="1" applyBorder="1" applyAlignment="1">
      <alignment horizontal="center"/>
    </xf>
    <xf numFmtId="3" fontId="136" fillId="0" borderId="19" xfId="0" applyNumberFormat="1" applyFont="1" applyBorder="1" applyAlignment="1">
      <alignment horizontal="center"/>
    </xf>
    <xf numFmtId="2" fontId="136" fillId="0" borderId="0" xfId="0" applyNumberFormat="1" applyFont="1" applyAlignment="1">
      <alignment horizontal="center"/>
    </xf>
    <xf numFmtId="2" fontId="136" fillId="0" borderId="0" xfId="0" applyNumberFormat="1" applyFont="1" applyBorder="1" applyAlignment="1">
      <alignment horizontal="center"/>
    </xf>
    <xf numFmtId="2" fontId="136" fillId="0" borderId="20" xfId="0" applyNumberFormat="1" applyFont="1" applyBorder="1" applyAlignment="1">
      <alignment horizontal="center"/>
    </xf>
    <xf numFmtId="3" fontId="136" fillId="0" borderId="9" xfId="0" applyNumberFormat="1" applyFont="1" applyBorder="1" applyAlignment="1">
      <alignment horizontal="center"/>
    </xf>
    <xf numFmtId="3" fontId="136" fillId="0" borderId="22" xfId="0" applyNumberFormat="1" applyFont="1" applyBorder="1" applyAlignment="1">
      <alignment horizontal="center"/>
    </xf>
    <xf numFmtId="0" fontId="137" fillId="0" borderId="0" xfId="0" applyNumberFormat="1" applyFont="1"/>
    <xf numFmtId="0" fontId="137" fillId="0" borderId="0" xfId="0" applyNumberFormat="1" applyFont="1" applyBorder="1"/>
    <xf numFmtId="0" fontId="137" fillId="0" borderId="20" xfId="0" applyNumberFormat="1" applyFont="1" applyBorder="1"/>
    <xf numFmtId="0" fontId="137" fillId="0" borderId="0" xfId="0" applyFont="1"/>
    <xf numFmtId="0" fontId="137" fillId="0" borderId="0" xfId="0" applyFont="1" applyBorder="1"/>
    <xf numFmtId="0" fontId="137" fillId="0" borderId="20" xfId="0" applyFont="1" applyBorder="1"/>
    <xf numFmtId="166" fontId="136" fillId="0" borderId="0" xfId="0" applyNumberFormat="1" applyFont="1" applyAlignment="1">
      <alignment horizontal="center"/>
    </xf>
    <xf numFmtId="166" fontId="136" fillId="0" borderId="7" xfId="0" applyNumberFormat="1" applyFont="1" applyBorder="1" applyAlignment="1">
      <alignment horizontal="center"/>
    </xf>
    <xf numFmtId="166" fontId="136" fillId="0" borderId="21" xfId="0" applyNumberFormat="1" applyFont="1" applyBorder="1" applyAlignment="1">
      <alignment horizontal="center"/>
    </xf>
    <xf numFmtId="3" fontId="136" fillId="0" borderId="17" xfId="0" applyNumberFormat="1" applyFont="1" applyBorder="1" applyAlignment="1">
      <alignment horizontal="center"/>
    </xf>
    <xf numFmtId="3" fontId="137" fillId="0" borderId="0" xfId="0" applyNumberFormat="1" applyFont="1"/>
    <xf numFmtId="3" fontId="137" fillId="0" borderId="0" xfId="0" applyNumberFormat="1" applyFont="1" applyBorder="1"/>
    <xf numFmtId="3" fontId="137" fillId="0" borderId="20" xfId="0" applyNumberFormat="1" applyFont="1" applyBorder="1"/>
    <xf numFmtId="2" fontId="136" fillId="0" borderId="0" xfId="0" applyNumberFormat="1" applyFont="1" applyFill="1" applyAlignment="1">
      <alignment horizontal="center"/>
    </xf>
    <xf numFmtId="2" fontId="136" fillId="0" borderId="0" xfId="0" applyNumberFormat="1" applyFont="1" applyFill="1" applyBorder="1" applyAlignment="1">
      <alignment horizontal="center"/>
    </xf>
    <xf numFmtId="2" fontId="136" fillId="0" borderId="20" xfId="0" applyNumberFormat="1" applyFont="1" applyFill="1" applyBorder="1" applyAlignment="1">
      <alignment horizontal="center"/>
    </xf>
    <xf numFmtId="2" fontId="136" fillId="0" borderId="9" xfId="0" applyNumberFormat="1" applyFont="1" applyFill="1" applyBorder="1" applyAlignment="1">
      <alignment horizontal="center"/>
    </xf>
    <xf numFmtId="2" fontId="136" fillId="0" borderId="22" xfId="0" applyNumberFormat="1" applyFont="1" applyFill="1" applyBorder="1" applyAlignment="1">
      <alignment horizontal="center"/>
    </xf>
    <xf numFmtId="0" fontId="137" fillId="0" borderId="0" xfId="0" applyFont="1" applyFill="1"/>
    <xf numFmtId="0" fontId="137" fillId="0" borderId="0" xfId="0" applyFont="1" applyFill="1" applyBorder="1"/>
    <xf numFmtId="0" fontId="137" fillId="0" borderId="20" xfId="0" applyFont="1" applyFill="1" applyBorder="1"/>
    <xf numFmtId="3" fontId="136" fillId="0" borderId="0" xfId="0" applyNumberFormat="1" applyFont="1" applyAlignment="1">
      <alignment horizontal="left"/>
    </xf>
    <xf numFmtId="3" fontId="136" fillId="0" borderId="19" xfId="0" applyNumberFormat="1" applyFont="1" applyFill="1" applyBorder="1" applyAlignment="1">
      <alignment horizontal="center"/>
    </xf>
    <xf numFmtId="3" fontId="136" fillId="0" borderId="5" xfId="0" applyNumberFormat="1" applyFont="1" applyFill="1" applyBorder="1" applyAlignment="1">
      <alignment horizontal="center"/>
    </xf>
    <xf numFmtId="3" fontId="136" fillId="0" borderId="22" xfId="0" applyNumberFormat="1" applyFont="1" applyFill="1" applyBorder="1" applyAlignment="1">
      <alignment horizontal="center"/>
    </xf>
    <xf numFmtId="3" fontId="136" fillId="0" borderId="9" xfId="0" applyNumberFormat="1" applyFont="1" applyFill="1" applyBorder="1" applyAlignment="1">
      <alignment horizontal="center"/>
    </xf>
    <xf numFmtId="3" fontId="136" fillId="0" borderId="0" xfId="0" applyNumberFormat="1" applyFont="1" applyFill="1" applyBorder="1" applyAlignment="1">
      <alignment horizontal="center"/>
    </xf>
    <xf numFmtId="0" fontId="136" fillId="0" borderId="0" xfId="0" applyFont="1" applyFill="1" applyBorder="1"/>
    <xf numFmtId="0" fontId="136" fillId="0" borderId="0" xfId="0" applyFont="1" applyBorder="1"/>
    <xf numFmtId="0" fontId="136" fillId="0" borderId="20" xfId="0" applyFont="1" applyBorder="1"/>
    <xf numFmtId="3" fontId="143" fillId="15" borderId="22" xfId="0" applyNumberFormat="1" applyFont="1" applyFill="1" applyBorder="1" applyAlignment="1">
      <alignment horizontal="center"/>
    </xf>
    <xf numFmtId="3" fontId="143" fillId="15" borderId="9" xfId="0" applyNumberFormat="1" applyFont="1" applyFill="1" applyBorder="1" applyAlignment="1">
      <alignment horizontal="center"/>
    </xf>
    <xf numFmtId="170" fontId="136" fillId="0" borderId="7" xfId="0" applyNumberFormat="1" applyFont="1" applyBorder="1" applyAlignment="1">
      <alignment horizontal="center"/>
    </xf>
    <xf numFmtId="9" fontId="136" fillId="0" borderId="5" xfId="3" applyFont="1" applyBorder="1" applyAlignment="1">
      <alignment horizontal="center"/>
    </xf>
    <xf numFmtId="3" fontId="136" fillId="0" borderId="7" xfId="2" applyNumberFormat="1" applyFont="1" applyBorder="1" applyAlignment="1">
      <alignment horizontal="left"/>
    </xf>
    <xf numFmtId="3" fontId="136" fillId="0" borderId="5" xfId="2" applyNumberFormat="1" applyFont="1" applyBorder="1" applyAlignment="1">
      <alignment horizontal="left"/>
    </xf>
    <xf numFmtId="0" fontId="116" fillId="0" borderId="0" xfId="0" applyNumberFormat="1" applyFont="1" applyFill="1" applyAlignment="1">
      <alignment horizontal="right"/>
    </xf>
    <xf numFmtId="3" fontId="137" fillId="0" borderId="0" xfId="0" applyNumberFormat="1" applyFont="1" applyAlignment="1">
      <alignment horizontal="center"/>
    </xf>
    <xf numFmtId="3" fontId="57" fillId="0" borderId="0" xfId="2" applyNumberFormat="1" applyFont="1" applyAlignment="1">
      <alignment horizontal="center"/>
    </xf>
    <xf numFmtId="3" fontId="57" fillId="0" borderId="0" xfId="2" applyNumberFormat="1" applyFont="1" applyBorder="1" applyAlignment="1">
      <alignment horizontal="center"/>
    </xf>
    <xf numFmtId="3" fontId="57" fillId="0" borderId="5" xfId="2" applyNumberFormat="1" applyFont="1" applyBorder="1" applyAlignment="1">
      <alignment horizontal="center"/>
    </xf>
    <xf numFmtId="3" fontId="57" fillId="0" borderId="7" xfId="2" applyNumberFormat="1" applyFont="1" applyBorder="1" applyAlignment="1">
      <alignment horizontal="center"/>
    </xf>
    <xf numFmtId="9" fontId="60" fillId="0" borderId="0" xfId="3" applyFont="1" applyAlignment="1">
      <alignment horizontal="center"/>
    </xf>
    <xf numFmtId="2" fontId="144" fillId="0" borderId="0" xfId="0" applyNumberFormat="1" applyFont="1" applyAlignment="1">
      <alignment horizontal="center"/>
    </xf>
    <xf numFmtId="170" fontId="65" fillId="0" borderId="0" xfId="0" applyNumberFormat="1" applyFont="1" applyAlignment="1">
      <alignment horizontal="center"/>
    </xf>
    <xf numFmtId="0" fontId="64" fillId="33" borderId="0" xfId="0" applyFont="1" applyFill="1"/>
    <xf numFmtId="0" fontId="64" fillId="33" borderId="0" xfId="0" applyFont="1" applyFill="1" applyAlignment="1">
      <alignment horizontal="center"/>
    </xf>
    <xf numFmtId="0" fontId="140" fillId="33" borderId="0" xfId="0" applyFont="1" applyFill="1" applyAlignment="1">
      <alignment horizontal="right"/>
    </xf>
    <xf numFmtId="3" fontId="64" fillId="33" borderId="0" xfId="0" applyNumberFormat="1" applyFont="1" applyFill="1" applyAlignment="1">
      <alignment horizontal="center"/>
    </xf>
    <xf numFmtId="4" fontId="64" fillId="33" borderId="20" xfId="0" applyNumberFormat="1" applyFont="1" applyFill="1" applyBorder="1" applyAlignment="1">
      <alignment horizontal="center"/>
    </xf>
    <xf numFmtId="4" fontId="64" fillId="33" borderId="0" xfId="0" applyNumberFormat="1" applyFont="1" applyFill="1" applyAlignment="1">
      <alignment horizontal="center"/>
    </xf>
    <xf numFmtId="4" fontId="60" fillId="33" borderId="0" xfId="0" applyNumberFormat="1" applyFont="1" applyFill="1" applyAlignment="1">
      <alignment horizontal="center"/>
    </xf>
    <xf numFmtId="4" fontId="65" fillId="33" borderId="0" xfId="0" applyNumberFormat="1" applyFont="1" applyFill="1" applyAlignment="1">
      <alignment horizontal="center"/>
    </xf>
    <xf numFmtId="0" fontId="145" fillId="0" borderId="0" xfId="0" applyFont="1" applyFill="1"/>
    <xf numFmtId="4" fontId="145" fillId="0" borderId="0" xfId="0" applyNumberFormat="1" applyFont="1"/>
    <xf numFmtId="3" fontId="127" fillId="29" borderId="17" xfId="0" applyNumberFormat="1" applyFont="1" applyFill="1" applyBorder="1" applyAlignment="1">
      <alignment horizontal="left"/>
    </xf>
    <xf numFmtId="3" fontId="64" fillId="0" borderId="25" xfId="0" applyNumberFormat="1" applyFont="1" applyBorder="1" applyAlignment="1">
      <alignment horizontal="center"/>
    </xf>
    <xf numFmtId="0" fontId="64" fillId="0" borderId="26" xfId="0" applyFont="1" applyBorder="1"/>
    <xf numFmtId="0" fontId="64" fillId="0" borderId="27" xfId="0" applyFont="1" applyBorder="1"/>
    <xf numFmtId="3" fontId="64" fillId="0" borderId="26" xfId="0" applyNumberFormat="1" applyFont="1" applyBorder="1"/>
    <xf numFmtId="1" fontId="64" fillId="27" borderId="28" xfId="0" applyNumberFormat="1" applyFont="1" applyFill="1" applyBorder="1"/>
    <xf numFmtId="1" fontId="64" fillId="27" borderId="29" xfId="0" applyNumberFormat="1" applyFont="1" applyFill="1" applyBorder="1"/>
    <xf numFmtId="1" fontId="64" fillId="27" borderId="30" xfId="0" applyNumberFormat="1" applyFont="1" applyFill="1" applyBorder="1"/>
    <xf numFmtId="3" fontId="64" fillId="16" borderId="23" xfId="0" applyNumberFormat="1" applyFont="1" applyFill="1" applyBorder="1" applyAlignment="1">
      <alignment horizontal="center"/>
    </xf>
    <xf numFmtId="3" fontId="64" fillId="16" borderId="24" xfId="0" applyNumberFormat="1" applyFont="1" applyFill="1" applyBorder="1" applyAlignment="1">
      <alignment horizontal="center"/>
    </xf>
    <xf numFmtId="0" fontId="116" fillId="0" borderId="0" xfId="0" applyFont="1" applyFill="1" applyAlignment="1">
      <alignment horizontal="center" wrapText="1"/>
    </xf>
    <xf numFmtId="0" fontId="93" fillId="0" borderId="0" xfId="0" applyFont="1" applyAlignment="1">
      <alignment horizontal="center" vertical="center" wrapText="1" shrinkToFit="1"/>
    </xf>
    <xf numFmtId="0" fontId="127" fillId="29" borderId="0" xfId="0" applyFont="1" applyFill="1" applyAlignment="1">
      <alignment horizontal="center"/>
    </xf>
    <xf numFmtId="0" fontId="127" fillId="29" borderId="18" xfId="0" applyFont="1" applyFill="1" applyBorder="1" applyAlignment="1">
      <alignment horizontal="center"/>
    </xf>
    <xf numFmtId="0" fontId="107" fillId="0" borderId="0" xfId="0" applyFont="1" applyAlignment="1">
      <alignment horizontal="center" wrapText="1"/>
    </xf>
    <xf numFmtId="0" fontId="0" fillId="0" borderId="0" xfId="0" applyFont="1" applyBorder="1" applyAlignment="1">
      <alignment horizontal="center"/>
    </xf>
    <xf numFmtId="0" fontId="0" fillId="17" borderId="0" xfId="0" applyFill="1" applyAlignment="1">
      <alignment horizontal="center" wrapText="1"/>
    </xf>
    <xf numFmtId="0" fontId="0" fillId="0" borderId="0" xfId="0" applyAlignment="1">
      <alignment wrapText="1"/>
    </xf>
    <xf numFmtId="0" fontId="94" fillId="0" borderId="0" xfId="0" applyFont="1" applyAlignment="1">
      <alignment horizontal="left" wrapText="1"/>
    </xf>
    <xf numFmtId="0" fontId="0" fillId="0" borderId="0" xfId="0" applyAlignment="1">
      <alignment horizontal="left" wrapText="1"/>
    </xf>
    <xf numFmtId="0" fontId="23" fillId="0" borderId="0" xfId="0" applyFont="1" applyAlignment="1">
      <alignment wrapText="1"/>
    </xf>
    <xf numFmtId="0" fontId="0" fillId="0" borderId="0" xfId="0"/>
    <xf numFmtId="0" fontId="49" fillId="0" borderId="0" xfId="0" applyFont="1" applyAlignment="1">
      <alignment wrapText="1"/>
    </xf>
    <xf numFmtId="0" fontId="8" fillId="0" borderId="0" xfId="0" applyFont="1" applyAlignment="1">
      <alignment horizontal="left" wrapText="1"/>
    </xf>
  </cellXfs>
  <cellStyles count="499">
    <cellStyle name="Comma" xfId="2" builtinId="3"/>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Hyperlink" xfId="1" builtinId="8"/>
    <cellStyle name="Normal" xfId="0" builtinId="0"/>
    <cellStyle name="Per cent" xfId="3" builtinId="5"/>
  </cellStyles>
  <dxfs count="0"/>
  <tableStyles count="0" defaultTableStyle="TableStyleMedium9" defaultPivotStyle="PivotStyleMedium4"/>
  <colors>
    <mruColors>
      <color rgb="FF0000FF"/>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6522462817147901"/>
          <c:y val="6.9444444444444406E-2"/>
          <c:w val="0.74397681539807503"/>
          <c:h val="0.78390669916260503"/>
        </c:manualLayout>
      </c:layout>
      <c:scatterChart>
        <c:scatterStyle val="lineMarker"/>
        <c:varyColors val="0"/>
        <c:ser>
          <c:idx val="0"/>
          <c:order val="0"/>
          <c:tx>
            <c:v>New planted trees with no overlaps in Area</c:v>
          </c:tx>
          <c:spPr>
            <a:ln w="47625">
              <a:solidFill>
                <a:schemeClr val="accent5">
                  <a:lumMod val="75000"/>
                </a:schemeClr>
              </a:solidFill>
            </a:ln>
          </c:spPr>
          <c:marker>
            <c:spPr>
              <a:noFill/>
              <a:ln>
                <a:noFill/>
              </a:ln>
            </c:spPr>
          </c:marker>
          <c:xVal>
            <c:strRef>
              <c:f>'CO2 Certificates'!$AK$8:$AK$90</c:f>
              <c:strCache>
                <c:ptCount val="83"/>
                <c:pt idx="5">
                  <c:v>2015</c:v>
                </c:pt>
                <c:pt idx="6">
                  <c:v>2016</c:v>
                </c:pt>
                <c:pt idx="7">
                  <c:v>2017</c:v>
                </c:pt>
                <c:pt idx="8">
                  <c:v>2018</c:v>
                </c:pt>
                <c:pt idx="9">
                  <c:v>2019</c:v>
                </c:pt>
                <c:pt idx="10">
                  <c:v>2020</c:v>
                </c:pt>
                <c:pt idx="11">
                  <c:v>2021</c:v>
                </c:pt>
                <c:pt idx="12">
                  <c:v>2022</c:v>
                </c:pt>
                <c:pt idx="13">
                  <c:v>2023</c:v>
                </c:pt>
                <c:pt idx="14">
                  <c:v>2024</c:v>
                </c:pt>
                <c:pt idx="15">
                  <c:v>2025</c:v>
                </c:pt>
                <c:pt idx="45">
                  <c:v>C. Equisetifolia</c:v>
                </c:pt>
                <c:pt idx="46">
                  <c:v>E. Alba</c:v>
                </c:pt>
                <c:pt idx="47">
                  <c:v>S. Macrophylla</c:v>
                </c:pt>
                <c:pt idx="48">
                  <c:v>T. Grandis</c:v>
                </c:pt>
                <c:pt idx="52">
                  <c:v>E. Urophylla</c:v>
                </c:pt>
                <c:pt idx="69">
                  <c:v>2026</c:v>
                </c:pt>
                <c:pt idx="70">
                  <c:v>2027</c:v>
                </c:pt>
                <c:pt idx="71">
                  <c:v>2028</c:v>
                </c:pt>
                <c:pt idx="72">
                  <c:v>2029</c:v>
                </c:pt>
                <c:pt idx="73">
                  <c:v>2030</c:v>
                </c:pt>
                <c:pt idx="74">
                  <c:v>2031</c:v>
                </c:pt>
                <c:pt idx="75">
                  <c:v>2032</c:v>
                </c:pt>
                <c:pt idx="76">
                  <c:v>2033</c:v>
                </c:pt>
                <c:pt idx="77">
                  <c:v>2034</c:v>
                </c:pt>
                <c:pt idx="78">
                  <c:v>2035</c:v>
                </c:pt>
                <c:pt idx="79">
                  <c:v>2036</c:v>
                </c:pt>
                <c:pt idx="80">
                  <c:v>2037</c:v>
                </c:pt>
                <c:pt idx="81">
                  <c:v>2038</c:v>
                </c:pt>
                <c:pt idx="82">
                  <c:v>2039</c:v>
                </c:pt>
              </c:strCache>
            </c:strRef>
          </c:xVal>
          <c:yVal>
            <c:numRef>
              <c:f>'CO2 Certificates'!$AL$8:$AL$90</c:f>
              <c:numCache>
                <c:formatCode>General</c:formatCode>
                <c:ptCount val="83"/>
                <c:pt idx="0">
                  <c:v>2010</c:v>
                </c:pt>
                <c:pt idx="1">
                  <c:v>2011</c:v>
                </c:pt>
                <c:pt idx="2">
                  <c:v>2012</c:v>
                </c:pt>
                <c:pt idx="3">
                  <c:v>2013</c:v>
                </c:pt>
                <c:pt idx="4">
                  <c:v>2014</c:v>
                </c:pt>
                <c:pt idx="5" formatCode="0">
                  <c:v>29.2</c:v>
                </c:pt>
                <c:pt idx="6" formatCode="0">
                  <c:v>41.799640847450121</c:v>
                </c:pt>
                <c:pt idx="7" formatCode="0">
                  <c:v>53.139317610155231</c:v>
                </c:pt>
                <c:pt idx="8" formatCode="0">
                  <c:v>67.628904584722875</c:v>
                </c:pt>
                <c:pt idx="9" formatCode="0">
                  <c:v>80.228545432172993</c:v>
                </c:pt>
                <c:pt idx="10" formatCode="0">
                  <c:v>92.828186279623125</c:v>
                </c:pt>
                <c:pt idx="11" formatCode="0">
                  <c:v>105.42782712707324</c:v>
                </c:pt>
                <c:pt idx="12" formatCode="0">
                  <c:v>118.02746797452336</c:v>
                </c:pt>
                <c:pt idx="13" formatCode="0">
                  <c:v>130.62710882197348</c:v>
                </c:pt>
                <c:pt idx="14" formatCode="0">
                  <c:v>143.22674966942361</c:v>
                </c:pt>
                <c:pt idx="15" formatCode="0">
                  <c:v>155.82639051687374</c:v>
                </c:pt>
                <c:pt idx="45" formatCode="#,##0">
                  <c:v>4342.0025809883327</c:v>
                </c:pt>
                <c:pt idx="46" formatCode="#,##0">
                  <c:v>2377.2466132178129</c:v>
                </c:pt>
                <c:pt idx="47" formatCode="#,##0">
                  <c:v>470720.50378105394</c:v>
                </c:pt>
                <c:pt idx="48" formatCode="#,##0">
                  <c:v>61691.240288645553</c:v>
                </c:pt>
                <c:pt idx="52" formatCode="#,##0">
                  <c:v>11871.884296548154</c:v>
                </c:pt>
                <c:pt idx="60" formatCode="#,##0">
                  <c:v>551002.87756045384</c:v>
                </c:pt>
                <c:pt idx="69" formatCode="0">
                  <c:v>168.42603136432388</c:v>
                </c:pt>
                <c:pt idx="70" formatCode="0">
                  <c:v>181.02567221177401</c:v>
                </c:pt>
                <c:pt idx="71" formatCode="0">
                  <c:v>193.62531305922417</c:v>
                </c:pt>
                <c:pt idx="72" formatCode="0">
                  <c:v>206.2249539066743</c:v>
                </c:pt>
                <c:pt idx="73" formatCode="0">
                  <c:v>218.82459475412443</c:v>
                </c:pt>
                <c:pt idx="74" formatCode="0">
                  <c:v>231.42423560157457</c:v>
                </c:pt>
                <c:pt idx="75" formatCode="0">
                  <c:v>244.0238764490247</c:v>
                </c:pt>
                <c:pt idx="76" formatCode="0">
                  <c:v>256.62351729647486</c:v>
                </c:pt>
                <c:pt idx="77" formatCode="0">
                  <c:v>269.22315814392499</c:v>
                </c:pt>
                <c:pt idx="78" formatCode="0">
                  <c:v>281.82279899137512</c:v>
                </c:pt>
                <c:pt idx="79" formatCode="0">
                  <c:v>294.4224398388252</c:v>
                </c:pt>
                <c:pt idx="80" formatCode="0">
                  <c:v>307.02208068627533</c:v>
                </c:pt>
                <c:pt idx="81" formatCode="0">
                  <c:v>319.62172153372546</c:v>
                </c:pt>
                <c:pt idx="82" formatCode="0">
                  <c:v>332.22136238117554</c:v>
                </c:pt>
              </c:numCache>
            </c:numRef>
          </c:yVal>
          <c:smooth val="0"/>
          <c:extLst>
            <c:ext xmlns:c16="http://schemas.microsoft.com/office/drawing/2014/chart" uri="{C3380CC4-5D6E-409C-BE32-E72D297353CC}">
              <c16:uniqueId val="{00000000-13C8-8040-8F0D-B47226675C52}"/>
            </c:ext>
          </c:extLst>
        </c:ser>
        <c:ser>
          <c:idx val="2"/>
          <c:order val="1"/>
          <c:tx>
            <c:v>Actual Planted Area</c:v>
          </c:tx>
          <c:spPr>
            <a:ln w="47625">
              <a:noFill/>
            </a:ln>
          </c:spPr>
          <c:trendline>
            <c:trendlineType val="linear"/>
            <c:dispRSqr val="1"/>
            <c:dispEq val="1"/>
            <c:trendlineLbl>
              <c:layout>
                <c:manualLayout>
                  <c:x val="0.56941219253013697"/>
                  <c:y val="-7.3927165354330707E-2"/>
                </c:manualLayout>
              </c:layout>
              <c:numFmt formatCode="General" sourceLinked="0"/>
            </c:trendlineLbl>
          </c:trendline>
          <c:xVal>
            <c:strRef>
              <c:f>'CO2 Certificates'!$AK$8:$AK$90</c:f>
              <c:strCache>
                <c:ptCount val="83"/>
                <c:pt idx="5">
                  <c:v>2015</c:v>
                </c:pt>
                <c:pt idx="6">
                  <c:v>2016</c:v>
                </c:pt>
                <c:pt idx="7">
                  <c:v>2017</c:v>
                </c:pt>
                <c:pt idx="8">
                  <c:v>2018</c:v>
                </c:pt>
                <c:pt idx="9">
                  <c:v>2019</c:v>
                </c:pt>
                <c:pt idx="10">
                  <c:v>2020</c:v>
                </c:pt>
                <c:pt idx="11">
                  <c:v>2021</c:v>
                </c:pt>
                <c:pt idx="12">
                  <c:v>2022</c:v>
                </c:pt>
                <c:pt idx="13">
                  <c:v>2023</c:v>
                </c:pt>
                <c:pt idx="14">
                  <c:v>2024</c:v>
                </c:pt>
                <c:pt idx="15">
                  <c:v>2025</c:v>
                </c:pt>
                <c:pt idx="45">
                  <c:v>C. Equisetifolia</c:v>
                </c:pt>
                <c:pt idx="46">
                  <c:v>E. Alba</c:v>
                </c:pt>
                <c:pt idx="47">
                  <c:v>S. Macrophylla</c:v>
                </c:pt>
                <c:pt idx="48">
                  <c:v>T. Grandis</c:v>
                </c:pt>
                <c:pt idx="52">
                  <c:v>E. Urophylla</c:v>
                </c:pt>
                <c:pt idx="69">
                  <c:v>2026</c:v>
                </c:pt>
                <c:pt idx="70">
                  <c:v>2027</c:v>
                </c:pt>
                <c:pt idx="71">
                  <c:v>2028</c:v>
                </c:pt>
                <c:pt idx="72">
                  <c:v>2029</c:v>
                </c:pt>
                <c:pt idx="73">
                  <c:v>2030</c:v>
                </c:pt>
                <c:pt idx="74">
                  <c:v>2031</c:v>
                </c:pt>
                <c:pt idx="75">
                  <c:v>2032</c:v>
                </c:pt>
                <c:pt idx="76">
                  <c:v>2033</c:v>
                </c:pt>
                <c:pt idx="77">
                  <c:v>2034</c:v>
                </c:pt>
                <c:pt idx="78">
                  <c:v>2035</c:v>
                </c:pt>
                <c:pt idx="79">
                  <c:v>2036</c:v>
                </c:pt>
                <c:pt idx="80">
                  <c:v>2037</c:v>
                </c:pt>
                <c:pt idx="81">
                  <c:v>2038</c:v>
                </c:pt>
                <c:pt idx="82">
                  <c:v>2039</c:v>
                </c:pt>
              </c:strCache>
            </c:strRef>
          </c:xVal>
          <c:yVal>
            <c:numRef>
              <c:f>'CO2 Certificates'!$AO$83:$AO$88</c:f>
              <c:numCache>
                <c:formatCode>0</c:formatCode>
                <c:ptCount val="6"/>
                <c:pt idx="0">
                  <c:v>2.6</c:v>
                </c:pt>
                <c:pt idx="1">
                  <c:v>4.6870000000000003</c:v>
                </c:pt>
                <c:pt idx="2">
                  <c:v>7.24</c:v>
                </c:pt>
                <c:pt idx="3">
                  <c:v>10.137700000000001</c:v>
                </c:pt>
                <c:pt idx="4">
                  <c:v>16.989999999999998</c:v>
                </c:pt>
                <c:pt idx="5">
                  <c:v>29.2</c:v>
                </c:pt>
              </c:numCache>
            </c:numRef>
          </c:yVal>
          <c:smooth val="0"/>
          <c:extLst>
            <c:ext xmlns:c16="http://schemas.microsoft.com/office/drawing/2014/chart" uri="{C3380CC4-5D6E-409C-BE32-E72D297353CC}">
              <c16:uniqueId val="{00000002-13C8-8040-8F0D-B47226675C52}"/>
            </c:ext>
          </c:extLst>
        </c:ser>
        <c:ser>
          <c:idx val="1"/>
          <c:order val="2"/>
          <c:tx>
            <c:v>New planted trees with overlap in Area</c:v>
          </c:tx>
          <c:spPr>
            <a:ln w="47625">
              <a:solidFill>
                <a:schemeClr val="accent2"/>
              </a:solidFill>
            </a:ln>
          </c:spPr>
          <c:marker>
            <c:spPr>
              <a:noFill/>
              <a:ln>
                <a:noFill/>
              </a:ln>
            </c:spPr>
          </c:marker>
          <c:xVal>
            <c:strRef>
              <c:f>'CO2 Certificates'!$AK$8:$AK$90</c:f>
              <c:strCache>
                <c:ptCount val="83"/>
                <c:pt idx="5">
                  <c:v>2015</c:v>
                </c:pt>
                <c:pt idx="6">
                  <c:v>2016</c:v>
                </c:pt>
                <c:pt idx="7">
                  <c:v>2017</c:v>
                </c:pt>
                <c:pt idx="8">
                  <c:v>2018</c:v>
                </c:pt>
                <c:pt idx="9">
                  <c:v>2019</c:v>
                </c:pt>
                <c:pt idx="10">
                  <c:v>2020</c:v>
                </c:pt>
                <c:pt idx="11">
                  <c:v>2021</c:v>
                </c:pt>
                <c:pt idx="12">
                  <c:v>2022</c:v>
                </c:pt>
                <c:pt idx="13">
                  <c:v>2023</c:v>
                </c:pt>
                <c:pt idx="14">
                  <c:v>2024</c:v>
                </c:pt>
                <c:pt idx="15">
                  <c:v>2025</c:v>
                </c:pt>
                <c:pt idx="45">
                  <c:v>C. Equisetifolia</c:v>
                </c:pt>
                <c:pt idx="46">
                  <c:v>E. Alba</c:v>
                </c:pt>
                <c:pt idx="47">
                  <c:v>S. Macrophylla</c:v>
                </c:pt>
                <c:pt idx="48">
                  <c:v>T. Grandis</c:v>
                </c:pt>
                <c:pt idx="52">
                  <c:v>E. Urophylla</c:v>
                </c:pt>
                <c:pt idx="69">
                  <c:v>2026</c:v>
                </c:pt>
                <c:pt idx="70">
                  <c:v>2027</c:v>
                </c:pt>
                <c:pt idx="71">
                  <c:v>2028</c:v>
                </c:pt>
                <c:pt idx="72">
                  <c:v>2029</c:v>
                </c:pt>
                <c:pt idx="73">
                  <c:v>2030</c:v>
                </c:pt>
                <c:pt idx="74">
                  <c:v>2031</c:v>
                </c:pt>
                <c:pt idx="75">
                  <c:v>2032</c:v>
                </c:pt>
                <c:pt idx="76">
                  <c:v>2033</c:v>
                </c:pt>
                <c:pt idx="77">
                  <c:v>2034</c:v>
                </c:pt>
                <c:pt idx="78">
                  <c:v>2035</c:v>
                </c:pt>
                <c:pt idx="79">
                  <c:v>2036</c:v>
                </c:pt>
                <c:pt idx="80">
                  <c:v>2037</c:v>
                </c:pt>
                <c:pt idx="81">
                  <c:v>2038</c:v>
                </c:pt>
                <c:pt idx="82">
                  <c:v>2039</c:v>
                </c:pt>
              </c:strCache>
            </c:strRef>
          </c:xVal>
          <c:yVal>
            <c:numRef>
              <c:f>'CO2 Certificates'!$AM$8:$AM$90</c:f>
              <c:numCache>
                <c:formatCode>0</c:formatCode>
                <c:ptCount val="83"/>
                <c:pt idx="0">
                  <c:v>2.6</c:v>
                </c:pt>
                <c:pt idx="1">
                  <c:v>4.6870000000000003</c:v>
                </c:pt>
                <c:pt idx="2">
                  <c:v>7.24</c:v>
                </c:pt>
                <c:pt idx="3">
                  <c:v>10.137700000000001</c:v>
                </c:pt>
                <c:pt idx="4">
                  <c:v>16.989999999999998</c:v>
                </c:pt>
                <c:pt idx="5">
                  <c:v>24.059499999999389</c:v>
                </c:pt>
                <c:pt idx="6">
                  <c:v>28.996799999998984</c:v>
                </c:pt>
                <c:pt idx="7">
                  <c:v>33.93409999999858</c:v>
                </c:pt>
                <c:pt idx="8">
                  <c:v>38.871399999998175</c:v>
                </c:pt>
                <c:pt idx="9">
                  <c:v>43.80869999999959</c:v>
                </c:pt>
                <c:pt idx="10">
                  <c:v>48.745999999999185</c:v>
                </c:pt>
                <c:pt idx="11">
                  <c:v>53.683299999998781</c:v>
                </c:pt>
                <c:pt idx="12">
                  <c:v>58.620599999998376</c:v>
                </c:pt>
                <c:pt idx="13">
                  <c:v>63.557899999997971</c:v>
                </c:pt>
                <c:pt idx="14">
                  <c:v>68.495199999999386</c:v>
                </c:pt>
                <c:pt idx="15">
                  <c:v>73.432499999998981</c:v>
                </c:pt>
                <c:pt idx="69">
                  <c:v>78.369799999998577</c:v>
                </c:pt>
                <c:pt idx="70">
                  <c:v>83.307099999998172</c:v>
                </c:pt>
                <c:pt idx="71">
                  <c:v>88.244399999999587</c:v>
                </c:pt>
                <c:pt idx="72">
                  <c:v>93.181699999999182</c:v>
                </c:pt>
                <c:pt idx="73">
                  <c:v>98.118999999998778</c:v>
                </c:pt>
                <c:pt idx="74">
                  <c:v>103.05629999999837</c:v>
                </c:pt>
                <c:pt idx="75">
                  <c:v>107.99359999999797</c:v>
                </c:pt>
                <c:pt idx="76">
                  <c:v>112.93089999999938</c:v>
                </c:pt>
                <c:pt idx="77">
                  <c:v>117.86819999999898</c:v>
                </c:pt>
                <c:pt idx="78">
                  <c:v>122.80549999999857</c:v>
                </c:pt>
                <c:pt idx="79">
                  <c:v>127.74279999999817</c:v>
                </c:pt>
                <c:pt idx="80">
                  <c:v>132.68009999999958</c:v>
                </c:pt>
                <c:pt idx="81">
                  <c:v>137.61739999999918</c:v>
                </c:pt>
                <c:pt idx="82">
                  <c:v>142.55469999999877</c:v>
                </c:pt>
              </c:numCache>
            </c:numRef>
          </c:yVal>
          <c:smooth val="0"/>
          <c:extLst>
            <c:ext xmlns:c16="http://schemas.microsoft.com/office/drawing/2014/chart" uri="{C3380CC4-5D6E-409C-BE32-E72D297353CC}">
              <c16:uniqueId val="{00000003-13C8-8040-8F0D-B47226675C52}"/>
            </c:ext>
          </c:extLst>
        </c:ser>
        <c:dLbls>
          <c:showLegendKey val="0"/>
          <c:showVal val="0"/>
          <c:showCatName val="0"/>
          <c:showSerName val="0"/>
          <c:showPercent val="0"/>
          <c:showBubbleSize val="0"/>
        </c:dLbls>
        <c:axId val="-327640656"/>
        <c:axId val="-327636736"/>
      </c:scatterChart>
      <c:valAx>
        <c:axId val="-327640656"/>
        <c:scaling>
          <c:orientation val="minMax"/>
          <c:min val="2010"/>
        </c:scaling>
        <c:delete val="0"/>
        <c:axPos val="b"/>
        <c:numFmt formatCode="General" sourceLinked="1"/>
        <c:majorTickMark val="out"/>
        <c:minorTickMark val="none"/>
        <c:tickLblPos val="nextTo"/>
        <c:crossAx val="-327636736"/>
        <c:crosses val="autoZero"/>
        <c:crossBetween val="midCat"/>
      </c:valAx>
      <c:valAx>
        <c:axId val="-327636736"/>
        <c:scaling>
          <c:orientation val="minMax"/>
          <c:min val="0"/>
        </c:scaling>
        <c:delete val="0"/>
        <c:axPos val="l"/>
        <c:majorGridlines/>
        <c:title>
          <c:tx>
            <c:rich>
              <a:bodyPr rot="-5400000" vert="horz"/>
              <a:lstStyle/>
              <a:p>
                <a:pPr>
                  <a:defRPr/>
                </a:pPr>
                <a:r>
                  <a:rPr lang="en-US"/>
                  <a:t>Area (ha)</a:t>
                </a:r>
              </a:p>
            </c:rich>
          </c:tx>
          <c:layout>
            <c:manualLayout>
              <c:xMode val="edge"/>
              <c:yMode val="edge"/>
              <c:x val="3.3333333333333298E-2"/>
              <c:y val="0.349956776236304"/>
            </c:manualLayout>
          </c:layout>
          <c:overlay val="0"/>
        </c:title>
        <c:numFmt formatCode="General" sourceLinked="1"/>
        <c:majorTickMark val="out"/>
        <c:minorTickMark val="none"/>
        <c:tickLblPos val="nextTo"/>
        <c:crossAx val="-327640656"/>
        <c:crosses val="autoZero"/>
        <c:crossBetween val="midCat"/>
      </c:valAx>
    </c:plotArea>
    <c:legend>
      <c:legendPos val="r"/>
      <c:legendEntry>
        <c:idx val="3"/>
        <c:delete val="1"/>
      </c:legendEntry>
      <c:layout>
        <c:manualLayout>
          <c:xMode val="edge"/>
          <c:yMode val="edge"/>
          <c:x val="0.21308027121609799"/>
          <c:y val="0.10298243969503799"/>
          <c:w val="0.53057436570428695"/>
          <c:h val="0.213285318501854"/>
        </c:manualLayout>
      </c:layout>
      <c:overlay val="0"/>
      <c:txPr>
        <a:bodyPr/>
        <a:lstStyle/>
        <a:p>
          <a:pPr>
            <a:defRPr sz="900"/>
          </a:pPr>
          <a:endParaRPr lang="en-US"/>
        </a:p>
      </c:txPr>
    </c:legend>
    <c:plotVisOnly val="1"/>
    <c:dispBlanksAs val="gap"/>
    <c:showDLblsOverMax val="0"/>
  </c:chart>
  <c:printSettings>
    <c:headerFooter/>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09351759037144"/>
          <c:y val="3.5862068965517198E-2"/>
          <c:w val="0.74612389649713395"/>
          <c:h val="0.80594037469454205"/>
        </c:manualLayout>
      </c:layout>
      <c:lineChart>
        <c:grouping val="standard"/>
        <c:varyColors val="0"/>
        <c:ser>
          <c:idx val="1"/>
          <c:order val="0"/>
          <c:val>
            <c:numRef>
              <c:f>'T. Grandis'!$D$15:$D$45</c:f>
              <c:numCache>
                <c:formatCode>0.000</c:formatCode>
                <c:ptCount val="31"/>
                <c:pt idx="0">
                  <c:v>0</c:v>
                </c:pt>
                <c:pt idx="1">
                  <c:v>5.7810308879072472E-4</c:v>
                </c:pt>
                <c:pt idx="2">
                  <c:v>3.8246648713535824E-3</c:v>
                </c:pt>
                <c:pt idx="3">
                  <c:v>1.110034753061045E-2</c:v>
                </c:pt>
                <c:pt idx="4">
                  <c:v>2.3007533779904762E-2</c:v>
                </c:pt>
                <c:pt idx="5">
                  <c:v>3.9675039684749537E-2</c:v>
                </c:pt>
                <c:pt idx="6">
                  <c:v>6.0928433534567165E-2</c:v>
                </c:pt>
                <c:pt idx="7">
                  <c:v>8.6404346239451021E-2</c:v>
                </c:pt>
                <c:pt idx="8">
                  <c:v>0.11562964466718172</c:v>
                </c:pt>
                <c:pt idx="9">
                  <c:v>0.14807662161219498</c:v>
                </c:pt>
                <c:pt idx="10">
                  <c:v>0.183201193378667</c:v>
                </c:pt>
                <c:pt idx="11">
                  <c:v>0.22046884890695248</c:v>
                </c:pt>
                <c:pt idx="12">
                  <c:v>0.25937171126495989</c:v>
                </c:pt>
                <c:pt idx="13">
                  <c:v>0.29943915131186849</c:v>
                </c:pt>
                <c:pt idx="14">
                  <c:v>0.34024374946212199</c:v>
                </c:pt>
                <c:pt idx="15">
                  <c:v>0.38140393726572325</c:v>
                </c:pt>
                <c:pt idx="16">
                  <c:v>0.42258430915758705</c:v>
                </c:pt>
                <c:pt idx="17">
                  <c:v>0.46349434049549576</c:v>
                </c:pt>
                <c:pt idx="18">
                  <c:v>0.50388605715551238</c:v>
                </c:pt>
                <c:pt idx="19">
                  <c:v>0.54355105802998771</c:v>
                </c:pt>
                <c:pt idx="20">
                  <c:v>0.58231718302172564</c:v>
                </c:pt>
                <c:pt idx="21">
                  <c:v>0.62004503696114743</c:v>
                </c:pt>
                <c:pt idx="22">
                  <c:v>0.65662451791408294</c:v>
                </c:pt>
                <c:pt idx="23">
                  <c:v>0.69197145180191089</c:v>
                </c:pt>
                <c:pt idx="24">
                  <c:v>0.72602440048749051</c:v>
                </c:pt>
                <c:pt idx="25">
                  <c:v>0.75874168471421832</c:v>
                </c:pt>
                <c:pt idx="26">
                  <c:v>0.79009864439395372</c:v>
                </c:pt>
                <c:pt idx="27">
                  <c:v>0.82008514508589681</c:v>
                </c:pt>
                <c:pt idx="28">
                  <c:v>0.84870332983231644</c:v>
                </c:pt>
                <c:pt idx="29">
                  <c:v>0.87596560884639418</c:v>
                </c:pt>
                <c:pt idx="30">
                  <c:v>0.90189287513345784</c:v>
                </c:pt>
              </c:numCache>
            </c:numRef>
          </c:val>
          <c:smooth val="0"/>
          <c:extLst>
            <c:ext xmlns:c16="http://schemas.microsoft.com/office/drawing/2014/chart" uri="{C3380CC4-5D6E-409C-BE32-E72D297353CC}">
              <c16:uniqueId val="{00000000-75B2-7B4B-88F0-0B5798866E19}"/>
            </c:ext>
          </c:extLst>
        </c:ser>
        <c:ser>
          <c:idx val="0"/>
          <c:order val="1"/>
          <c:trendline>
            <c:trendlineType val="linear"/>
            <c:dispRSqr val="1"/>
            <c:dispEq val="1"/>
            <c:trendlineLbl>
              <c:numFmt formatCode="General" sourceLinked="0"/>
            </c:trendlineLbl>
          </c:trendline>
          <c:val>
            <c:numRef>
              <c:f>'T. Grandis'!$H$15:$H$45</c:f>
              <c:numCache>
                <c:formatCode>0.00</c:formatCode>
                <c:ptCount val="31"/>
                <c:pt idx="0">
                  <c:v>0</c:v>
                </c:pt>
                <c:pt idx="1">
                  <c:v>0</c:v>
                </c:pt>
                <c:pt idx="2">
                  <c:v>2.9100000000000001E-2</c:v>
                </c:pt>
                <c:pt idx="3">
                  <c:v>5.8200000000000002E-2</c:v>
                </c:pt>
                <c:pt idx="4">
                  <c:v>8.7300000000000003E-2</c:v>
                </c:pt>
                <c:pt idx="5">
                  <c:v>0.11640000000000002</c:v>
                </c:pt>
                <c:pt idx="6">
                  <c:v>0.14550000000000002</c:v>
                </c:pt>
                <c:pt idx="7">
                  <c:v>0.17459999999999998</c:v>
                </c:pt>
                <c:pt idx="8">
                  <c:v>0.20369999999999999</c:v>
                </c:pt>
                <c:pt idx="9">
                  <c:v>0.23280000000000001</c:v>
                </c:pt>
                <c:pt idx="10">
                  <c:v>0.26190000000000002</c:v>
                </c:pt>
                <c:pt idx="11">
                  <c:v>0.29099999999999998</c:v>
                </c:pt>
                <c:pt idx="12">
                  <c:v>0.3201</c:v>
                </c:pt>
                <c:pt idx="13">
                  <c:v>0.34920000000000001</c:v>
                </c:pt>
                <c:pt idx="14">
                  <c:v>0.37829999999999997</c:v>
                </c:pt>
                <c:pt idx="15">
                  <c:v>0.40739999999999998</c:v>
                </c:pt>
                <c:pt idx="16">
                  <c:v>0.4365</c:v>
                </c:pt>
                <c:pt idx="17">
                  <c:v>0.46560000000000001</c:v>
                </c:pt>
                <c:pt idx="18">
                  <c:v>0.49470000000000003</c:v>
                </c:pt>
                <c:pt idx="19">
                  <c:v>0.52380000000000004</c:v>
                </c:pt>
                <c:pt idx="20">
                  <c:v>0.55290000000000006</c:v>
                </c:pt>
                <c:pt idx="21">
                  <c:v>0.58199999999999996</c:v>
                </c:pt>
                <c:pt idx="22">
                  <c:v>0.61109999999999998</c:v>
                </c:pt>
                <c:pt idx="23">
                  <c:v>0.64019999999999999</c:v>
                </c:pt>
                <c:pt idx="24">
                  <c:v>0.66930000000000001</c:v>
                </c:pt>
                <c:pt idx="25">
                  <c:v>0.69840000000000002</c:v>
                </c:pt>
                <c:pt idx="26">
                  <c:v>0.72750000000000004</c:v>
                </c:pt>
                <c:pt idx="27">
                  <c:v>0.75660000000000005</c:v>
                </c:pt>
                <c:pt idx="28">
                  <c:v>0.78569999999999995</c:v>
                </c:pt>
                <c:pt idx="29">
                  <c:v>0.81479999999999997</c:v>
                </c:pt>
                <c:pt idx="30" formatCode="0.0000">
                  <c:v>0.87279955658076536</c:v>
                </c:pt>
              </c:numCache>
            </c:numRef>
          </c:val>
          <c:smooth val="0"/>
          <c:extLst>
            <c:ext xmlns:c16="http://schemas.microsoft.com/office/drawing/2014/chart" uri="{C3380CC4-5D6E-409C-BE32-E72D297353CC}">
              <c16:uniqueId val="{00000002-75B2-7B4B-88F0-0B5798866E19}"/>
            </c:ext>
          </c:extLst>
        </c:ser>
        <c:dLbls>
          <c:showLegendKey val="0"/>
          <c:showVal val="0"/>
          <c:showCatName val="0"/>
          <c:showSerName val="0"/>
          <c:showPercent val="0"/>
          <c:showBubbleSize val="0"/>
        </c:dLbls>
        <c:marker val="1"/>
        <c:smooth val="0"/>
        <c:axId val="-334727840"/>
        <c:axId val="-301431760"/>
      </c:lineChart>
      <c:catAx>
        <c:axId val="-334727840"/>
        <c:scaling>
          <c:orientation val="minMax"/>
        </c:scaling>
        <c:delete val="0"/>
        <c:axPos val="b"/>
        <c:title>
          <c:tx>
            <c:rich>
              <a:bodyPr/>
              <a:lstStyle/>
              <a:p>
                <a:pPr>
                  <a:defRPr/>
                </a:pPr>
                <a:r>
                  <a:rPr lang="en-US"/>
                  <a:t>Age (year)</a:t>
                </a:r>
              </a:p>
            </c:rich>
          </c:tx>
          <c:overlay val="0"/>
        </c:title>
        <c:majorTickMark val="out"/>
        <c:minorTickMark val="none"/>
        <c:tickLblPos val="nextTo"/>
        <c:crossAx val="-301431760"/>
        <c:crosses val="autoZero"/>
        <c:auto val="1"/>
        <c:lblAlgn val="ctr"/>
        <c:lblOffset val="100"/>
        <c:noMultiLvlLbl val="0"/>
      </c:catAx>
      <c:valAx>
        <c:axId val="-301431760"/>
        <c:scaling>
          <c:orientation val="minMax"/>
        </c:scaling>
        <c:delete val="0"/>
        <c:axPos val="l"/>
        <c:majorGridlines/>
        <c:title>
          <c:tx>
            <c:rich>
              <a:bodyPr rot="-5400000" vert="horz"/>
              <a:lstStyle/>
              <a:p>
                <a:pPr>
                  <a:defRPr/>
                </a:pPr>
                <a:r>
                  <a:rPr lang="en-US"/>
                  <a:t>Bioamss (kg d.m/tree)</a:t>
                </a:r>
              </a:p>
            </c:rich>
          </c:tx>
          <c:overlay val="0"/>
        </c:title>
        <c:numFmt formatCode="0.000" sourceLinked="1"/>
        <c:majorTickMark val="out"/>
        <c:minorTickMark val="none"/>
        <c:tickLblPos val="nextTo"/>
        <c:crossAx val="-334727840"/>
        <c:crosses val="autoZero"/>
        <c:crossBetween val="between"/>
      </c:valAx>
    </c:plotArea>
    <c:legend>
      <c:legendPos val="r"/>
      <c:overlay val="0"/>
    </c:legend>
    <c:plotVisOnly val="1"/>
    <c:dispBlanksAs val="gap"/>
    <c:showDLblsOverMax val="0"/>
  </c:chart>
  <c:printSettings>
    <c:headerFooter/>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09351759037144"/>
          <c:y val="3.5862068965517198E-2"/>
          <c:w val="0.74612389649713395"/>
          <c:h val="0.80594037469454205"/>
        </c:manualLayout>
      </c:layout>
      <c:lineChart>
        <c:grouping val="standard"/>
        <c:varyColors val="0"/>
        <c:ser>
          <c:idx val="1"/>
          <c:order val="0"/>
          <c:val>
            <c:numRef>
              <c:f>'T. Grandis'!$D$15:$D$45</c:f>
              <c:numCache>
                <c:formatCode>0.000</c:formatCode>
                <c:ptCount val="31"/>
                <c:pt idx="0">
                  <c:v>0</c:v>
                </c:pt>
                <c:pt idx="1">
                  <c:v>5.7810308879072472E-4</c:v>
                </c:pt>
                <c:pt idx="2">
                  <c:v>3.8246648713535824E-3</c:v>
                </c:pt>
                <c:pt idx="3">
                  <c:v>1.110034753061045E-2</c:v>
                </c:pt>
                <c:pt idx="4">
                  <c:v>2.3007533779904762E-2</c:v>
                </c:pt>
                <c:pt idx="5">
                  <c:v>3.9675039684749537E-2</c:v>
                </c:pt>
                <c:pt idx="6">
                  <c:v>6.0928433534567165E-2</c:v>
                </c:pt>
                <c:pt idx="7">
                  <c:v>8.6404346239451021E-2</c:v>
                </c:pt>
                <c:pt idx="8">
                  <c:v>0.11562964466718172</c:v>
                </c:pt>
                <c:pt idx="9">
                  <c:v>0.14807662161219498</c:v>
                </c:pt>
                <c:pt idx="10">
                  <c:v>0.183201193378667</c:v>
                </c:pt>
                <c:pt idx="11">
                  <c:v>0.22046884890695248</c:v>
                </c:pt>
                <c:pt idx="12">
                  <c:v>0.25937171126495989</c:v>
                </c:pt>
                <c:pt idx="13">
                  <c:v>0.29943915131186849</c:v>
                </c:pt>
                <c:pt idx="14">
                  <c:v>0.34024374946212199</c:v>
                </c:pt>
                <c:pt idx="15">
                  <c:v>0.38140393726572325</c:v>
                </c:pt>
                <c:pt idx="16">
                  <c:v>0.42258430915758705</c:v>
                </c:pt>
                <c:pt idx="17">
                  <c:v>0.46349434049549576</c:v>
                </c:pt>
                <c:pt idx="18">
                  <c:v>0.50388605715551238</c:v>
                </c:pt>
                <c:pt idx="19">
                  <c:v>0.54355105802998771</c:v>
                </c:pt>
                <c:pt idx="20">
                  <c:v>0.58231718302172564</c:v>
                </c:pt>
                <c:pt idx="21">
                  <c:v>0.62004503696114743</c:v>
                </c:pt>
                <c:pt idx="22">
                  <c:v>0.65662451791408294</c:v>
                </c:pt>
                <c:pt idx="23">
                  <c:v>0.69197145180191089</c:v>
                </c:pt>
                <c:pt idx="24">
                  <c:v>0.72602440048749051</c:v>
                </c:pt>
                <c:pt idx="25">
                  <c:v>0.75874168471421832</c:v>
                </c:pt>
                <c:pt idx="26">
                  <c:v>0.79009864439395372</c:v>
                </c:pt>
                <c:pt idx="27">
                  <c:v>0.82008514508589681</c:v>
                </c:pt>
                <c:pt idx="28">
                  <c:v>0.84870332983231644</c:v>
                </c:pt>
                <c:pt idx="29">
                  <c:v>0.87596560884639418</c:v>
                </c:pt>
                <c:pt idx="30">
                  <c:v>0.90189287513345784</c:v>
                </c:pt>
              </c:numCache>
            </c:numRef>
          </c:val>
          <c:smooth val="0"/>
          <c:extLst>
            <c:ext xmlns:c16="http://schemas.microsoft.com/office/drawing/2014/chart" uri="{C3380CC4-5D6E-409C-BE32-E72D297353CC}">
              <c16:uniqueId val="{00000000-59A8-4A21-9EA1-0459D06FC64E}"/>
            </c:ext>
          </c:extLst>
        </c:ser>
        <c:ser>
          <c:idx val="0"/>
          <c:order val="1"/>
          <c:trendline>
            <c:trendlineType val="linear"/>
            <c:dispRSqr val="1"/>
            <c:dispEq val="1"/>
            <c:trendlineLbl>
              <c:numFmt formatCode="General" sourceLinked="0"/>
            </c:trendlineLbl>
          </c:trendline>
          <c:val>
            <c:numRef>
              <c:f>'T. Grandis'!$H$15:$H$45</c:f>
              <c:numCache>
                <c:formatCode>0.00</c:formatCode>
                <c:ptCount val="31"/>
                <c:pt idx="0">
                  <c:v>0</c:v>
                </c:pt>
                <c:pt idx="1">
                  <c:v>0</c:v>
                </c:pt>
                <c:pt idx="2">
                  <c:v>2.9100000000000001E-2</c:v>
                </c:pt>
                <c:pt idx="3">
                  <c:v>5.8200000000000002E-2</c:v>
                </c:pt>
                <c:pt idx="4">
                  <c:v>8.7300000000000003E-2</c:v>
                </c:pt>
                <c:pt idx="5">
                  <c:v>0.11640000000000002</c:v>
                </c:pt>
                <c:pt idx="6">
                  <c:v>0.14550000000000002</c:v>
                </c:pt>
                <c:pt idx="7">
                  <c:v>0.17459999999999998</c:v>
                </c:pt>
                <c:pt idx="8">
                  <c:v>0.20369999999999999</c:v>
                </c:pt>
                <c:pt idx="9">
                  <c:v>0.23280000000000001</c:v>
                </c:pt>
                <c:pt idx="10">
                  <c:v>0.26190000000000002</c:v>
                </c:pt>
                <c:pt idx="11">
                  <c:v>0.29099999999999998</c:v>
                </c:pt>
                <c:pt idx="12">
                  <c:v>0.3201</c:v>
                </c:pt>
                <c:pt idx="13">
                  <c:v>0.34920000000000001</c:v>
                </c:pt>
                <c:pt idx="14">
                  <c:v>0.37829999999999997</c:v>
                </c:pt>
                <c:pt idx="15">
                  <c:v>0.40739999999999998</c:v>
                </c:pt>
                <c:pt idx="16">
                  <c:v>0.4365</c:v>
                </c:pt>
                <c:pt idx="17">
                  <c:v>0.46560000000000001</c:v>
                </c:pt>
                <c:pt idx="18">
                  <c:v>0.49470000000000003</c:v>
                </c:pt>
                <c:pt idx="19">
                  <c:v>0.52380000000000004</c:v>
                </c:pt>
                <c:pt idx="20">
                  <c:v>0.55290000000000006</c:v>
                </c:pt>
                <c:pt idx="21">
                  <c:v>0.58199999999999996</c:v>
                </c:pt>
                <c:pt idx="22">
                  <c:v>0.61109999999999998</c:v>
                </c:pt>
                <c:pt idx="23">
                  <c:v>0.64019999999999999</c:v>
                </c:pt>
                <c:pt idx="24">
                  <c:v>0.66930000000000001</c:v>
                </c:pt>
                <c:pt idx="25">
                  <c:v>0.69840000000000002</c:v>
                </c:pt>
                <c:pt idx="26">
                  <c:v>0.72750000000000004</c:v>
                </c:pt>
                <c:pt idx="27">
                  <c:v>0.75660000000000005</c:v>
                </c:pt>
                <c:pt idx="28">
                  <c:v>0.78569999999999995</c:v>
                </c:pt>
                <c:pt idx="29">
                  <c:v>0.81479999999999997</c:v>
                </c:pt>
                <c:pt idx="30" formatCode="0.0000">
                  <c:v>0.87279955658076536</c:v>
                </c:pt>
              </c:numCache>
            </c:numRef>
          </c:val>
          <c:smooth val="0"/>
          <c:extLst>
            <c:ext xmlns:c16="http://schemas.microsoft.com/office/drawing/2014/chart" uri="{C3380CC4-5D6E-409C-BE32-E72D297353CC}">
              <c16:uniqueId val="{00000002-59A8-4A21-9EA1-0459D06FC64E}"/>
            </c:ext>
          </c:extLst>
        </c:ser>
        <c:dLbls>
          <c:showLegendKey val="0"/>
          <c:showVal val="0"/>
          <c:showCatName val="0"/>
          <c:showSerName val="0"/>
          <c:showPercent val="0"/>
          <c:showBubbleSize val="0"/>
        </c:dLbls>
        <c:marker val="1"/>
        <c:smooth val="0"/>
        <c:axId val="-334727840"/>
        <c:axId val="-301431760"/>
      </c:lineChart>
      <c:catAx>
        <c:axId val="-334727840"/>
        <c:scaling>
          <c:orientation val="minMax"/>
        </c:scaling>
        <c:delete val="0"/>
        <c:axPos val="b"/>
        <c:title>
          <c:tx>
            <c:rich>
              <a:bodyPr/>
              <a:lstStyle/>
              <a:p>
                <a:pPr>
                  <a:defRPr/>
                </a:pPr>
                <a:r>
                  <a:rPr lang="en-US"/>
                  <a:t>Age (year)</a:t>
                </a:r>
              </a:p>
            </c:rich>
          </c:tx>
          <c:overlay val="0"/>
        </c:title>
        <c:majorTickMark val="out"/>
        <c:minorTickMark val="none"/>
        <c:tickLblPos val="nextTo"/>
        <c:crossAx val="-301431760"/>
        <c:crosses val="autoZero"/>
        <c:auto val="1"/>
        <c:lblAlgn val="ctr"/>
        <c:lblOffset val="100"/>
        <c:noMultiLvlLbl val="0"/>
      </c:catAx>
      <c:valAx>
        <c:axId val="-301431760"/>
        <c:scaling>
          <c:orientation val="minMax"/>
        </c:scaling>
        <c:delete val="0"/>
        <c:axPos val="l"/>
        <c:majorGridlines/>
        <c:title>
          <c:tx>
            <c:rich>
              <a:bodyPr rot="-5400000" vert="horz"/>
              <a:lstStyle/>
              <a:p>
                <a:pPr>
                  <a:defRPr/>
                </a:pPr>
                <a:r>
                  <a:rPr lang="en-US"/>
                  <a:t>Bioamss (kg d.m/tree)</a:t>
                </a:r>
              </a:p>
            </c:rich>
          </c:tx>
          <c:overlay val="0"/>
        </c:title>
        <c:numFmt formatCode="0.000" sourceLinked="1"/>
        <c:majorTickMark val="out"/>
        <c:minorTickMark val="none"/>
        <c:tickLblPos val="nextTo"/>
        <c:crossAx val="-334727840"/>
        <c:crosses val="autoZero"/>
        <c:crossBetween val="between"/>
      </c:valAx>
    </c:plotArea>
    <c:legend>
      <c:legendPos val="r"/>
      <c:overlay val="0"/>
    </c:legend>
    <c:plotVisOnly val="1"/>
    <c:dispBlanksAs val="gap"/>
    <c:showDLblsOverMax val="0"/>
  </c:chart>
  <c:printSettings>
    <c:headerFooter/>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7959246417408196E-2"/>
          <c:y val="3.0898876404494399E-2"/>
          <c:w val="0.8408225869814"/>
          <c:h val="0.87843868884367005"/>
        </c:manualLayout>
      </c:layout>
      <c:scatterChart>
        <c:scatterStyle val="smoothMarker"/>
        <c:varyColors val="0"/>
        <c:ser>
          <c:idx val="0"/>
          <c:order val="0"/>
          <c:tx>
            <c:v>B=0.048 (D^2.68)</c:v>
          </c:tx>
          <c:marker>
            <c:symbol val="none"/>
          </c:marker>
          <c:xVal>
            <c:numRef>
              <c:f>'GC S. Macro'!$BG$16:$BG$46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'GC S. Macro'!$BJ$16:$BJ$46</c:f>
              <c:numCache>
                <c:formatCode>0.000</c:formatCode>
                <c:ptCount val="31"/>
                <c:pt idx="0">
                  <c:v>0</c:v>
                </c:pt>
                <c:pt idx="1">
                  <c:v>8.728911136462747E-2</c:v>
                </c:pt>
                <c:pt idx="2">
                  <c:v>0.55939742204615228</c:v>
                </c:pt>
                <c:pt idx="3">
                  <c:v>1.6582310192067726</c:v>
                </c:pt>
                <c:pt idx="4">
                  <c:v>3.5849313952196882</c:v>
                </c:pt>
                <c:pt idx="5">
                  <c:v>6.5192807456641875</c:v>
                </c:pt>
                <c:pt idx="6">
                  <c:v>10.626871356570261</c:v>
                </c:pt>
                <c:pt idx="7">
                  <c:v>16.062857977050463</c:v>
                </c:pt>
                <c:pt idx="8">
                  <c:v>22.974244431486667</c:v>
                </c:pt>
                <c:pt idx="9">
                  <c:v>31.50141031420576</c:v>
                </c:pt>
                <c:pt idx="10">
                  <c:v>41.779195431212756</c:v>
                </c:pt>
                <c:pt idx="11">
                  <c:v>53.937705594166793</c:v>
                </c:pt>
                <c:pt idx="12">
                  <c:v>68.102932294147237</c:v>
                </c:pt>
                <c:pt idx="13">
                  <c:v>84.397242346188236</c:v>
                </c:pt>
                <c:pt idx="14">
                  <c:v>102.93977338732246</c:v>
                </c:pt>
                <c:pt idx="15">
                  <c:v>123.84675919336465</c:v>
                </c:pt>
                <c:pt idx="16">
                  <c:v>142.35117795283455</c:v>
                </c:pt>
                <c:pt idx="17">
                  <c:v>162.4986465836862</c:v>
                </c:pt>
                <c:pt idx="18">
                  <c:v>184.34529497584407</c:v>
                </c:pt>
                <c:pt idx="19">
                  <c:v>207.94639322185174</c:v>
                </c:pt>
                <c:pt idx="20">
                  <c:v>233.35640349609696</c:v>
                </c:pt>
                <c:pt idx="21">
                  <c:v>260.62902666965516</c:v>
                </c:pt>
                <c:pt idx="22">
                  <c:v>289.81724439355418</c:v>
                </c:pt>
                <c:pt idx="23">
                  <c:v>320.97335725582559</c:v>
                </c:pt>
                <c:pt idx="24">
                  <c:v>354.14901951649614</c:v>
                </c:pt>
                <c:pt idx="25">
                  <c:v>389.39527084354216</c:v>
                </c:pt>
                <c:pt idx="26">
                  <c:v>426.7625654072055</c:v>
                </c:pt>
                <c:pt idx="27">
                  <c:v>466.30079863654134</c:v>
                </c:pt>
                <c:pt idx="28">
                  <c:v>508.05933189810213</c:v>
                </c:pt>
                <c:pt idx="29">
                  <c:v>552.08701532026657</c:v>
                </c:pt>
                <c:pt idx="30">
                  <c:v>598.43220895641048</c:v>
                </c:pt>
              </c:numCache>
            </c:numRef>
          </c:yVal>
          <c:smooth val="1"/>
          <c:extLst>
            <c:ext xmlns:c16="http://schemas.microsoft.com/office/drawing/2014/chart" uri="{C3380CC4-5D6E-409C-BE32-E72D297353CC}">
              <c16:uniqueId val="{00000000-6FF1-204B-9880-58CE929E045B}"/>
            </c:ext>
          </c:extLst>
        </c:ser>
        <c:ser>
          <c:idx val="1"/>
          <c:order val="1"/>
          <c:tx>
            <c:v>B=0.022 (D^2.92)</c:v>
          </c:tx>
          <c:marker>
            <c:symbol val="none"/>
          </c:marker>
          <c:xVal>
            <c:numRef>
              <c:f>'GC S. Macro'!$BG$16:$BG$46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'GC S. Macro'!$BK$16:$BK$46</c:f>
              <c:numCache>
                <c:formatCode>General</c:formatCode>
                <c:ptCount val="31"/>
                <c:pt idx="0">
                  <c:v>0</c:v>
                </c:pt>
                <c:pt idx="1">
                  <c:v>4.220850002682526E-2</c:v>
                </c:pt>
                <c:pt idx="2">
                  <c:v>0.31945339365756442</c:v>
                </c:pt>
                <c:pt idx="3">
                  <c:v>1.0437439775189443</c:v>
                </c:pt>
                <c:pt idx="4">
                  <c:v>2.417770606737446</c:v>
                </c:pt>
                <c:pt idx="5">
                  <c:v>4.6386577599697647</c:v>
                </c:pt>
                <c:pt idx="6">
                  <c:v>7.8995357692446859</c:v>
                </c:pt>
                <c:pt idx="7">
                  <c:v>12.390424783738695</c:v>
                </c:pt>
                <c:pt idx="8">
                  <c:v>18.298802964258769</c:v>
                </c:pt>
                <c:pt idx="9">
                  <c:v>25.810002485629827</c:v>
                </c:pt>
                <c:pt idx="10">
                  <c:v>35.107501154899388</c:v>
                </c:pt>
                <c:pt idx="11">
                  <c:v>46.373145957945603</c:v>
                </c:pt>
                <c:pt idx="12">
                  <c:v>59.787329760610369</c:v>
                </c:pt>
                <c:pt idx="13">
                  <c:v>75.529134406688343</c:v>
                </c:pt>
                <c:pt idx="14">
                  <c:v>93.776448902674716</c:v>
                </c:pt>
                <c:pt idx="15">
                  <c:v>114.7060686274787</c:v>
                </c:pt>
                <c:pt idx="16">
                  <c:v>133.49918448696857</c:v>
                </c:pt>
                <c:pt idx="17">
                  <c:v>154.211064793285</c:v>
                </c:pt>
                <c:pt idx="18">
                  <c:v>176.93091512901393</c:v>
                </c:pt>
                <c:pt idx="19">
                  <c:v>201.74759753197719</c:v>
                </c:pt>
                <c:pt idx="20">
                  <c:v>228.74964754777244</c:v>
                </c:pt>
                <c:pt idx="21">
                  <c:v>258.02528972278679</c:v>
                </c:pt>
                <c:pt idx="22">
                  <c:v>289.66245174009799</c:v>
                </c:pt>
                <c:pt idx="23">
                  <c:v>323.74877736726984</c:v>
                </c:pt>
                <c:pt idx="24">
                  <c:v>360.37163835823321</c:v>
                </c:pt>
                <c:pt idx="25">
                  <c:v>399.61814542974531</c:v>
                </c:pt>
                <c:pt idx="26">
                  <c:v>441.57515841517278</c:v>
                </c:pt>
                <c:pt idx="27">
                  <c:v>486.32929568376954</c:v>
                </c:pt>
                <c:pt idx="28">
                  <c:v>533.96694290150106</c:v>
                </c:pt>
                <c:pt idx="29">
                  <c:v>584.57426119938509</c:v>
                </c:pt>
                <c:pt idx="30">
                  <c:v>638.2371948068336</c:v>
                </c:pt>
              </c:numCache>
            </c:numRef>
          </c:yVal>
          <c:smooth val="1"/>
          <c:extLst>
            <c:ext xmlns:c16="http://schemas.microsoft.com/office/drawing/2014/chart" uri="{C3380CC4-5D6E-409C-BE32-E72D297353CC}">
              <c16:uniqueId val="{00000001-6FF1-204B-9880-58CE929E045B}"/>
            </c:ext>
          </c:extLst>
        </c:ser>
        <c:dLbls>
          <c:showLegendKey val="0"/>
          <c:showVal val="0"/>
          <c:showCatName val="0"/>
          <c:showSerName val="0"/>
          <c:showPercent val="0"/>
          <c:showBubbleSize val="0"/>
        </c:dLbls>
        <c:axId val="-343594320"/>
        <c:axId val="-297080160"/>
      </c:scatterChart>
      <c:valAx>
        <c:axId val="-343594320"/>
        <c:scaling>
          <c:orientation val="minMax"/>
          <c:max val="30"/>
        </c:scaling>
        <c:delete val="0"/>
        <c:axPos val="b"/>
        <c:numFmt formatCode="General" sourceLinked="1"/>
        <c:majorTickMark val="out"/>
        <c:minorTickMark val="none"/>
        <c:tickLblPos val="nextTo"/>
        <c:crossAx val="-297080160"/>
        <c:crosses val="autoZero"/>
        <c:crossBetween val="midCat"/>
      </c:valAx>
      <c:valAx>
        <c:axId val="-297080160"/>
        <c:scaling>
          <c:orientation val="minMax"/>
        </c:scaling>
        <c:delete val="0"/>
        <c:axPos val="l"/>
        <c:majorGridlines/>
        <c:numFmt formatCode="0.000" sourceLinked="1"/>
        <c:majorTickMark val="out"/>
        <c:minorTickMark val="none"/>
        <c:tickLblPos val="nextTo"/>
        <c:crossAx val="-343594320"/>
        <c:crosses val="autoZero"/>
        <c:crossBetween val="midCat"/>
      </c:valAx>
    </c:plotArea>
    <c:legend>
      <c:legendPos val="r"/>
      <c:layout>
        <c:manualLayout>
          <c:xMode val="edge"/>
          <c:yMode val="edge"/>
          <c:x val="0.249148293963255"/>
          <c:y val="0.23109762321376501"/>
          <c:w val="0.27853638956735599"/>
          <c:h val="0.183050075201274"/>
        </c:manualLayout>
      </c:layout>
      <c:overlay val="0"/>
    </c:legend>
    <c:plotVisOnly val="1"/>
    <c:dispBlanksAs val="gap"/>
    <c:showDLblsOverMax val="0"/>
  </c:chart>
  <c:printSettings>
    <c:headerFooter/>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11306214069086"/>
          <c:y val="3.4993270524898999E-2"/>
          <c:w val="0.74158634326205197"/>
          <c:h val="0.80794989455389399"/>
        </c:manualLayout>
      </c:layout>
      <c:lineChart>
        <c:grouping val="standard"/>
        <c:varyColors val="0"/>
        <c:ser>
          <c:idx val="1"/>
          <c:order val="0"/>
          <c:val>
            <c:numRef>
              <c:f>'C. Equis'!$D$14:$D$44</c:f>
              <c:numCache>
                <c:formatCode>0.000</c:formatCode>
                <c:ptCount val="31"/>
                <c:pt idx="0">
                  <c:v>0</c:v>
                </c:pt>
                <c:pt idx="1">
                  <c:v>2.2482812928100037E-3</c:v>
                </c:pt>
                <c:pt idx="2">
                  <c:v>1.1448308094458208E-2</c:v>
                </c:pt>
                <c:pt idx="3">
                  <c:v>2.0406693826262055E-2</c:v>
                </c:pt>
                <c:pt idx="4">
                  <c:v>2.8430039659344885E-2</c:v>
                </c:pt>
                <c:pt idx="5">
                  <c:v>3.5626094026534015E-2</c:v>
                </c:pt>
                <c:pt idx="6">
                  <c:v>4.214495659849464E-2</c:v>
                </c:pt>
                <c:pt idx="7">
                  <c:v>4.8109481494358092E-2</c:v>
                </c:pt>
                <c:pt idx="8">
                  <c:v>5.361418073815661E-2</c:v>
                </c:pt>
                <c:pt idx="9">
                  <c:v>5.8731726595299114E-2</c:v>
                </c:pt>
                <c:pt idx="10">
                  <c:v>6.3518749894117946E-2</c:v>
                </c:pt>
                <c:pt idx="11">
                  <c:v>6.8020100940319281E-2</c:v>
                </c:pt>
                <c:pt idx="12">
                  <c:v>7.2271867447247159E-2</c:v>
                </c:pt>
                <c:pt idx="13">
                  <c:v>7.6303513271050352E-2</c:v>
                </c:pt>
                <c:pt idx="14">
                  <c:v>8.0139412566657561E-2</c:v>
                </c:pt>
                <c:pt idx="15">
                  <c:v>8.3799967617098195E-2</c:v>
                </c:pt>
                <c:pt idx="16">
                  <c:v>8.7302436637776454E-2</c:v>
                </c:pt>
                <c:pt idx="17">
                  <c:v>9.0661556485274408E-2</c:v>
                </c:pt>
                <c:pt idx="18">
                  <c:v>9.3890018017720511E-2</c:v>
                </c:pt>
                <c:pt idx="19">
                  <c:v>9.6998833939645077E-2</c:v>
                </c:pt>
                <c:pt idx="20">
                  <c:v>9.9997627030968081E-2</c:v>
                </c:pt>
                <c:pt idx="21">
                  <c:v>0.10289485860033402</c:v>
                </c:pt>
                <c:pt idx="22">
                  <c:v>0.10569801147897878</c:v>
                </c:pt>
                <c:pt idx="23">
                  <c:v>0.10841373802878448</c:v>
                </c:pt>
                <c:pt idx="24">
                  <c:v>0.11104798092678717</c:v>
                </c:pt>
                <c:pt idx="25">
                  <c:v>0.11360607254888973</c:v>
                </c:pt>
                <c:pt idx="26">
                  <c:v>0.11609281737016373</c:v>
                </c:pt>
                <c:pt idx="27">
                  <c:v>0.11851256076836242</c:v>
                </c:pt>
                <c:pt idx="28">
                  <c:v>0.12086924685260858</c:v>
                </c:pt>
                <c:pt idx="29">
                  <c:v>0.12316646736588457</c:v>
                </c:pt>
                <c:pt idx="30">
                  <c:v>0.12540750327573066</c:v>
                </c:pt>
              </c:numCache>
            </c:numRef>
          </c:val>
          <c:smooth val="0"/>
          <c:extLst>
            <c:ext xmlns:c16="http://schemas.microsoft.com/office/drawing/2014/chart" uri="{C3380CC4-5D6E-409C-BE32-E72D297353CC}">
              <c16:uniqueId val="{00000000-63CD-E74D-80DF-5F66330CDBA4}"/>
            </c:ext>
          </c:extLst>
        </c:ser>
        <c:ser>
          <c:idx val="0"/>
          <c:order val="1"/>
          <c:trendline>
            <c:trendlineType val="linear"/>
            <c:dispRSqr val="1"/>
            <c:dispEq val="1"/>
            <c:trendlineLbl>
              <c:numFmt formatCode="General" sourceLinked="0"/>
            </c:trendlineLbl>
          </c:trendline>
          <c:val>
            <c:numRef>
              <c:f>'C. Equis'!$H$14:$H$44</c:f>
              <c:numCache>
                <c:formatCode>0.00</c:formatCode>
                <c:ptCount val="31"/>
                <c:pt idx="0">
                  <c:v>0</c:v>
                </c:pt>
                <c:pt idx="1">
                  <c:v>0</c:v>
                </c:pt>
                <c:pt idx="2">
                  <c:v>4.0000000000000001E-3</c:v>
                </c:pt>
                <c:pt idx="3">
                  <c:v>8.0000000000000002E-3</c:v>
                </c:pt>
                <c:pt idx="4">
                  <c:v>1.2E-2</c:v>
                </c:pt>
                <c:pt idx="5">
                  <c:v>1.6E-2</c:v>
                </c:pt>
                <c:pt idx="6">
                  <c:v>0.02</c:v>
                </c:pt>
                <c:pt idx="7">
                  <c:v>2.4E-2</c:v>
                </c:pt>
                <c:pt idx="8">
                  <c:v>2.8000000000000001E-2</c:v>
                </c:pt>
                <c:pt idx="9">
                  <c:v>3.2000000000000001E-2</c:v>
                </c:pt>
                <c:pt idx="10">
                  <c:v>3.6000000000000004E-2</c:v>
                </c:pt>
                <c:pt idx="11">
                  <c:v>3.9999999999999994E-2</c:v>
                </c:pt>
                <c:pt idx="12">
                  <c:v>4.3999999999999997E-2</c:v>
                </c:pt>
                <c:pt idx="13">
                  <c:v>4.8000000000000001E-2</c:v>
                </c:pt>
                <c:pt idx="14">
                  <c:v>5.2000000000000005E-2</c:v>
                </c:pt>
                <c:pt idx="15">
                  <c:v>5.5999999999999994E-2</c:v>
                </c:pt>
                <c:pt idx="16">
                  <c:v>0.06</c:v>
                </c:pt>
                <c:pt idx="17">
                  <c:v>6.4000000000000001E-2</c:v>
                </c:pt>
                <c:pt idx="18">
                  <c:v>6.8000000000000005E-2</c:v>
                </c:pt>
                <c:pt idx="19">
                  <c:v>7.1999999999999995E-2</c:v>
                </c:pt>
                <c:pt idx="20">
                  <c:v>7.5999999999999998E-2</c:v>
                </c:pt>
                <c:pt idx="21">
                  <c:v>0.08</c:v>
                </c:pt>
                <c:pt idx="22">
                  <c:v>8.3999999999999991E-2</c:v>
                </c:pt>
                <c:pt idx="23">
                  <c:v>8.7999999999999995E-2</c:v>
                </c:pt>
                <c:pt idx="24">
                  <c:v>9.1999999999999998E-2</c:v>
                </c:pt>
                <c:pt idx="25">
                  <c:v>9.6000000000000002E-2</c:v>
                </c:pt>
                <c:pt idx="26">
                  <c:v>0.1</c:v>
                </c:pt>
                <c:pt idx="27">
                  <c:v>0.104</c:v>
                </c:pt>
                <c:pt idx="28">
                  <c:v>0.108</c:v>
                </c:pt>
                <c:pt idx="29">
                  <c:v>0.112</c:v>
                </c:pt>
                <c:pt idx="30" formatCode="0.000">
                  <c:v>0.12136209994425548</c:v>
                </c:pt>
              </c:numCache>
            </c:numRef>
          </c:val>
          <c:smooth val="0"/>
          <c:extLst>
            <c:ext xmlns:c16="http://schemas.microsoft.com/office/drawing/2014/chart" uri="{C3380CC4-5D6E-409C-BE32-E72D297353CC}">
              <c16:uniqueId val="{00000002-63CD-E74D-80DF-5F66330CDBA4}"/>
            </c:ext>
          </c:extLst>
        </c:ser>
        <c:dLbls>
          <c:showLegendKey val="0"/>
          <c:showVal val="0"/>
          <c:showCatName val="0"/>
          <c:showSerName val="0"/>
          <c:showPercent val="0"/>
          <c:showBubbleSize val="0"/>
        </c:dLbls>
        <c:marker val="1"/>
        <c:smooth val="0"/>
        <c:axId val="-343653792"/>
        <c:axId val="-354554976"/>
      </c:lineChart>
      <c:catAx>
        <c:axId val="-343653792"/>
        <c:scaling>
          <c:orientation val="minMax"/>
        </c:scaling>
        <c:delete val="0"/>
        <c:axPos val="b"/>
        <c:title>
          <c:tx>
            <c:rich>
              <a:bodyPr/>
              <a:lstStyle/>
              <a:p>
                <a:pPr>
                  <a:defRPr/>
                </a:pPr>
                <a:r>
                  <a:rPr lang="en-US"/>
                  <a:t>Age (year)</a:t>
                </a:r>
              </a:p>
            </c:rich>
          </c:tx>
          <c:layout>
            <c:manualLayout>
              <c:xMode val="edge"/>
              <c:yMode val="edge"/>
              <c:x val="0.43800285688149598"/>
              <c:y val="0.92462987886944803"/>
            </c:manualLayout>
          </c:layout>
          <c:overlay val="0"/>
        </c:title>
        <c:majorTickMark val="out"/>
        <c:minorTickMark val="none"/>
        <c:tickLblPos val="nextTo"/>
        <c:crossAx val="-354554976"/>
        <c:crosses val="autoZero"/>
        <c:auto val="1"/>
        <c:lblAlgn val="ctr"/>
        <c:lblOffset val="100"/>
        <c:noMultiLvlLbl val="0"/>
      </c:catAx>
      <c:valAx>
        <c:axId val="-354554976"/>
        <c:scaling>
          <c:orientation val="minMax"/>
        </c:scaling>
        <c:delete val="0"/>
        <c:axPos val="l"/>
        <c:majorGridlines/>
        <c:title>
          <c:tx>
            <c:rich>
              <a:bodyPr rot="-5400000" vert="horz"/>
              <a:lstStyle/>
              <a:p>
                <a:pPr>
                  <a:defRPr/>
                </a:pPr>
                <a:r>
                  <a:rPr lang="en-US"/>
                  <a:t>Biomass (kg d.m/tree)</a:t>
                </a:r>
              </a:p>
            </c:rich>
          </c:tx>
          <c:overlay val="0"/>
        </c:title>
        <c:numFmt formatCode="0.000" sourceLinked="1"/>
        <c:majorTickMark val="out"/>
        <c:minorTickMark val="none"/>
        <c:tickLblPos val="nextTo"/>
        <c:crossAx val="-343653792"/>
        <c:crosses val="autoZero"/>
        <c:crossBetween val="between"/>
      </c:valAx>
    </c:plotArea>
    <c:legend>
      <c:legendPos val="r"/>
      <c:overlay val="0"/>
    </c:legend>
    <c:plotVisOnly val="1"/>
    <c:dispBlanksAs val="gap"/>
    <c:showDLblsOverMax val="0"/>
  </c:chart>
  <c:printSettings>
    <c:headerFooter/>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11306214069086"/>
          <c:y val="3.4993270524898999E-2"/>
          <c:w val="0.74158634326205197"/>
          <c:h val="0.80794989455389399"/>
        </c:manualLayout>
      </c:layout>
      <c:lineChart>
        <c:grouping val="standard"/>
        <c:varyColors val="0"/>
        <c:ser>
          <c:idx val="1"/>
          <c:order val="0"/>
          <c:val>
            <c:numRef>
              <c:f>'C. Equis'!$D$14:$D$44</c:f>
              <c:numCache>
                <c:formatCode>0.000</c:formatCode>
                <c:ptCount val="31"/>
                <c:pt idx="0">
                  <c:v>0</c:v>
                </c:pt>
                <c:pt idx="1">
                  <c:v>2.2482812928100037E-3</c:v>
                </c:pt>
                <c:pt idx="2">
                  <c:v>1.1448308094458208E-2</c:v>
                </c:pt>
                <c:pt idx="3">
                  <c:v>2.0406693826262055E-2</c:v>
                </c:pt>
                <c:pt idx="4">
                  <c:v>2.8430039659344885E-2</c:v>
                </c:pt>
                <c:pt idx="5">
                  <c:v>3.5626094026534015E-2</c:v>
                </c:pt>
                <c:pt idx="6">
                  <c:v>4.214495659849464E-2</c:v>
                </c:pt>
                <c:pt idx="7">
                  <c:v>4.8109481494358092E-2</c:v>
                </c:pt>
                <c:pt idx="8">
                  <c:v>5.361418073815661E-2</c:v>
                </c:pt>
                <c:pt idx="9">
                  <c:v>5.8731726595299114E-2</c:v>
                </c:pt>
                <c:pt idx="10">
                  <c:v>6.3518749894117946E-2</c:v>
                </c:pt>
                <c:pt idx="11">
                  <c:v>6.8020100940319281E-2</c:v>
                </c:pt>
                <c:pt idx="12">
                  <c:v>7.2271867447247159E-2</c:v>
                </c:pt>
                <c:pt idx="13">
                  <c:v>7.6303513271050352E-2</c:v>
                </c:pt>
                <c:pt idx="14">
                  <c:v>8.0139412566657561E-2</c:v>
                </c:pt>
                <c:pt idx="15">
                  <c:v>8.3799967617098195E-2</c:v>
                </c:pt>
                <c:pt idx="16">
                  <c:v>8.7302436637776454E-2</c:v>
                </c:pt>
                <c:pt idx="17">
                  <c:v>9.0661556485274408E-2</c:v>
                </c:pt>
                <c:pt idx="18">
                  <c:v>9.3890018017720511E-2</c:v>
                </c:pt>
                <c:pt idx="19">
                  <c:v>9.6998833939645077E-2</c:v>
                </c:pt>
                <c:pt idx="20">
                  <c:v>9.9997627030968081E-2</c:v>
                </c:pt>
                <c:pt idx="21">
                  <c:v>0.10289485860033402</c:v>
                </c:pt>
                <c:pt idx="22">
                  <c:v>0.10569801147897878</c:v>
                </c:pt>
                <c:pt idx="23">
                  <c:v>0.10841373802878448</c:v>
                </c:pt>
                <c:pt idx="24">
                  <c:v>0.11104798092678717</c:v>
                </c:pt>
                <c:pt idx="25">
                  <c:v>0.11360607254888973</c:v>
                </c:pt>
                <c:pt idx="26">
                  <c:v>0.11609281737016373</c:v>
                </c:pt>
                <c:pt idx="27">
                  <c:v>0.11851256076836242</c:v>
                </c:pt>
                <c:pt idx="28">
                  <c:v>0.12086924685260858</c:v>
                </c:pt>
                <c:pt idx="29">
                  <c:v>0.12316646736588457</c:v>
                </c:pt>
                <c:pt idx="30">
                  <c:v>0.12540750327573066</c:v>
                </c:pt>
              </c:numCache>
            </c:numRef>
          </c:val>
          <c:smooth val="0"/>
          <c:extLst>
            <c:ext xmlns:c16="http://schemas.microsoft.com/office/drawing/2014/chart" uri="{C3380CC4-5D6E-409C-BE32-E72D297353CC}">
              <c16:uniqueId val="{00000000-F45F-4205-B149-888F486F09AB}"/>
            </c:ext>
          </c:extLst>
        </c:ser>
        <c:ser>
          <c:idx val="0"/>
          <c:order val="1"/>
          <c:trendline>
            <c:trendlineType val="linear"/>
            <c:dispRSqr val="1"/>
            <c:dispEq val="1"/>
            <c:trendlineLbl>
              <c:numFmt formatCode="General" sourceLinked="0"/>
            </c:trendlineLbl>
          </c:trendline>
          <c:val>
            <c:numRef>
              <c:f>'C. Equis'!$H$14:$H$44</c:f>
              <c:numCache>
                <c:formatCode>0.00</c:formatCode>
                <c:ptCount val="31"/>
                <c:pt idx="0">
                  <c:v>0</c:v>
                </c:pt>
                <c:pt idx="1">
                  <c:v>0</c:v>
                </c:pt>
                <c:pt idx="2">
                  <c:v>4.0000000000000001E-3</c:v>
                </c:pt>
                <c:pt idx="3">
                  <c:v>8.0000000000000002E-3</c:v>
                </c:pt>
                <c:pt idx="4">
                  <c:v>1.2E-2</c:v>
                </c:pt>
                <c:pt idx="5">
                  <c:v>1.6E-2</c:v>
                </c:pt>
                <c:pt idx="6">
                  <c:v>0.02</c:v>
                </c:pt>
                <c:pt idx="7">
                  <c:v>2.4E-2</c:v>
                </c:pt>
                <c:pt idx="8">
                  <c:v>2.8000000000000001E-2</c:v>
                </c:pt>
                <c:pt idx="9">
                  <c:v>3.2000000000000001E-2</c:v>
                </c:pt>
                <c:pt idx="10">
                  <c:v>3.6000000000000004E-2</c:v>
                </c:pt>
                <c:pt idx="11">
                  <c:v>3.9999999999999994E-2</c:v>
                </c:pt>
                <c:pt idx="12">
                  <c:v>4.3999999999999997E-2</c:v>
                </c:pt>
                <c:pt idx="13">
                  <c:v>4.8000000000000001E-2</c:v>
                </c:pt>
                <c:pt idx="14">
                  <c:v>5.2000000000000005E-2</c:v>
                </c:pt>
                <c:pt idx="15">
                  <c:v>5.5999999999999994E-2</c:v>
                </c:pt>
                <c:pt idx="16">
                  <c:v>0.06</c:v>
                </c:pt>
                <c:pt idx="17">
                  <c:v>6.4000000000000001E-2</c:v>
                </c:pt>
                <c:pt idx="18">
                  <c:v>6.8000000000000005E-2</c:v>
                </c:pt>
                <c:pt idx="19">
                  <c:v>7.1999999999999995E-2</c:v>
                </c:pt>
                <c:pt idx="20">
                  <c:v>7.5999999999999998E-2</c:v>
                </c:pt>
                <c:pt idx="21">
                  <c:v>0.08</c:v>
                </c:pt>
                <c:pt idx="22">
                  <c:v>8.3999999999999991E-2</c:v>
                </c:pt>
                <c:pt idx="23">
                  <c:v>8.7999999999999995E-2</c:v>
                </c:pt>
                <c:pt idx="24">
                  <c:v>9.1999999999999998E-2</c:v>
                </c:pt>
                <c:pt idx="25">
                  <c:v>9.6000000000000002E-2</c:v>
                </c:pt>
                <c:pt idx="26">
                  <c:v>0.1</c:v>
                </c:pt>
                <c:pt idx="27">
                  <c:v>0.104</c:v>
                </c:pt>
                <c:pt idx="28">
                  <c:v>0.108</c:v>
                </c:pt>
                <c:pt idx="29">
                  <c:v>0.112</c:v>
                </c:pt>
                <c:pt idx="30" formatCode="0.000">
                  <c:v>0.12136209994425548</c:v>
                </c:pt>
              </c:numCache>
            </c:numRef>
          </c:val>
          <c:smooth val="0"/>
          <c:extLst>
            <c:ext xmlns:c16="http://schemas.microsoft.com/office/drawing/2014/chart" uri="{C3380CC4-5D6E-409C-BE32-E72D297353CC}">
              <c16:uniqueId val="{00000002-F45F-4205-B149-888F486F09AB}"/>
            </c:ext>
          </c:extLst>
        </c:ser>
        <c:dLbls>
          <c:showLegendKey val="0"/>
          <c:showVal val="0"/>
          <c:showCatName val="0"/>
          <c:showSerName val="0"/>
          <c:showPercent val="0"/>
          <c:showBubbleSize val="0"/>
        </c:dLbls>
        <c:marker val="1"/>
        <c:smooth val="0"/>
        <c:axId val="-343653792"/>
        <c:axId val="-354554976"/>
      </c:lineChart>
      <c:catAx>
        <c:axId val="-343653792"/>
        <c:scaling>
          <c:orientation val="minMax"/>
        </c:scaling>
        <c:delete val="0"/>
        <c:axPos val="b"/>
        <c:title>
          <c:tx>
            <c:rich>
              <a:bodyPr/>
              <a:lstStyle/>
              <a:p>
                <a:pPr>
                  <a:defRPr/>
                </a:pPr>
                <a:r>
                  <a:rPr lang="en-US"/>
                  <a:t>Age (year)</a:t>
                </a:r>
              </a:p>
            </c:rich>
          </c:tx>
          <c:layout>
            <c:manualLayout>
              <c:xMode val="edge"/>
              <c:yMode val="edge"/>
              <c:x val="0.43800285688149598"/>
              <c:y val="0.92462987886944803"/>
            </c:manualLayout>
          </c:layout>
          <c:overlay val="0"/>
        </c:title>
        <c:majorTickMark val="out"/>
        <c:minorTickMark val="none"/>
        <c:tickLblPos val="nextTo"/>
        <c:crossAx val="-354554976"/>
        <c:crosses val="autoZero"/>
        <c:auto val="1"/>
        <c:lblAlgn val="ctr"/>
        <c:lblOffset val="100"/>
        <c:noMultiLvlLbl val="0"/>
      </c:catAx>
      <c:valAx>
        <c:axId val="-354554976"/>
        <c:scaling>
          <c:orientation val="minMax"/>
        </c:scaling>
        <c:delete val="0"/>
        <c:axPos val="l"/>
        <c:majorGridlines/>
        <c:title>
          <c:tx>
            <c:rich>
              <a:bodyPr rot="-5400000" vert="horz"/>
              <a:lstStyle/>
              <a:p>
                <a:pPr>
                  <a:defRPr/>
                </a:pPr>
                <a:r>
                  <a:rPr lang="en-US"/>
                  <a:t>Biomass (kg d.m/tree)</a:t>
                </a:r>
              </a:p>
            </c:rich>
          </c:tx>
          <c:overlay val="0"/>
        </c:title>
        <c:numFmt formatCode="0.000" sourceLinked="1"/>
        <c:majorTickMark val="out"/>
        <c:minorTickMark val="none"/>
        <c:tickLblPos val="nextTo"/>
        <c:crossAx val="-343653792"/>
        <c:crosses val="autoZero"/>
        <c:crossBetween val="between"/>
      </c:valAx>
    </c:plotArea>
    <c:legend>
      <c:legendPos val="r"/>
      <c:overlay val="0"/>
    </c:legend>
    <c:plotVisOnly val="1"/>
    <c:dispBlanksAs val="gap"/>
    <c:showDLblsOverMax val="0"/>
  </c:chart>
  <c:printSettings>
    <c:headerFooter/>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13744512577521"/>
          <c:y val="4.1920731707317103E-2"/>
          <c:w val="0.79500191624276995"/>
          <c:h val="0.75504639187632006"/>
        </c:manualLayout>
      </c:layout>
      <c:scatterChart>
        <c:scatterStyle val="smoothMarker"/>
        <c:varyColors val="0"/>
        <c:ser>
          <c:idx val="0"/>
          <c:order val="0"/>
          <c:tx>
            <c:v>Exptal</c:v>
          </c:tx>
          <c:marker>
            <c:symbol val="none"/>
          </c:marker>
          <c:trendline>
            <c:trendlineType val="log"/>
            <c:dispRSqr val="0"/>
            <c:dispEq val="0"/>
          </c:trendline>
          <c:xVal>
            <c:numRef>
              <c:f>'GC E. Alba'!$C$7:$C$11</c:f>
              <c:numCache>
                <c:formatCode>General</c:formatCode>
                <c:ptCount val="5"/>
                <c:pt idx="0">
                  <c:v>0</c:v>
                </c:pt>
                <c:pt idx="1">
                  <c:v>1</c:v>
                </c:pt>
                <c:pt idx="2">
                  <c:v>2</c:v>
                </c:pt>
                <c:pt idx="3">
                  <c:v>4</c:v>
                </c:pt>
                <c:pt idx="4">
                  <c:v>6</c:v>
                </c:pt>
              </c:numCache>
            </c:numRef>
          </c:xVal>
          <c:yVal>
            <c:numRef>
              <c:f>'GC E. Alba'!$D$7:$D$11</c:f>
              <c:numCache>
                <c:formatCode>General</c:formatCode>
                <c:ptCount val="5"/>
                <c:pt idx="0">
                  <c:v>0</c:v>
                </c:pt>
                <c:pt idx="1">
                  <c:v>4.5</c:v>
                </c:pt>
                <c:pt idx="2">
                  <c:v>9</c:v>
                </c:pt>
                <c:pt idx="3">
                  <c:v>13.4</c:v>
                </c:pt>
                <c:pt idx="4">
                  <c:v>15</c:v>
                </c:pt>
              </c:numCache>
            </c:numRef>
          </c:yVal>
          <c:smooth val="1"/>
          <c:extLst>
            <c:ext xmlns:c16="http://schemas.microsoft.com/office/drawing/2014/chart" uri="{C3380CC4-5D6E-409C-BE32-E72D297353CC}">
              <c16:uniqueId val="{00000001-74F0-1045-B074-67BFDAA4E958}"/>
            </c:ext>
          </c:extLst>
        </c:ser>
        <c:ser>
          <c:idx val="1"/>
          <c:order val="1"/>
          <c:tx>
            <c:v>Linear</c:v>
          </c:tx>
          <c:spPr>
            <a:ln w="15875">
              <a:solidFill>
                <a:schemeClr val="accent1"/>
              </a:solidFill>
            </a:ln>
          </c:spPr>
          <c:marker>
            <c:symbol val="none"/>
          </c:marker>
          <c:xVal>
            <c:numRef>
              <c:f>'GC E. Alba'!$C$7:$C$11</c:f>
              <c:numCache>
                <c:formatCode>General</c:formatCode>
                <c:ptCount val="5"/>
                <c:pt idx="0">
                  <c:v>0</c:v>
                </c:pt>
                <c:pt idx="1">
                  <c:v>1</c:v>
                </c:pt>
                <c:pt idx="2">
                  <c:v>2</c:v>
                </c:pt>
                <c:pt idx="3">
                  <c:v>4</c:v>
                </c:pt>
                <c:pt idx="4">
                  <c:v>6</c:v>
                </c:pt>
              </c:numCache>
            </c:numRef>
          </c:xVal>
          <c:yVal>
            <c:numRef>
              <c:f>'GC E. Alba'!$E$7:$E$11</c:f>
              <c:numCache>
                <c:formatCode>0.0</c:formatCode>
                <c:ptCount val="5"/>
                <c:pt idx="0" formatCode="General">
                  <c:v>0</c:v>
                </c:pt>
                <c:pt idx="1">
                  <c:v>3.0605555555555557</c:v>
                </c:pt>
                <c:pt idx="2">
                  <c:v>6.1211111111111114</c:v>
                </c:pt>
                <c:pt idx="3">
                  <c:v>12.242222222222223</c:v>
                </c:pt>
                <c:pt idx="4">
                  <c:v>18.363333333333333</c:v>
                </c:pt>
              </c:numCache>
            </c:numRef>
          </c:yVal>
          <c:smooth val="1"/>
          <c:extLst>
            <c:ext xmlns:c16="http://schemas.microsoft.com/office/drawing/2014/chart" uri="{C3380CC4-5D6E-409C-BE32-E72D297353CC}">
              <c16:uniqueId val="{00000002-74F0-1045-B074-67BFDAA4E958}"/>
            </c:ext>
          </c:extLst>
        </c:ser>
        <c:ser>
          <c:idx val="2"/>
          <c:order val="2"/>
          <c:tx>
            <c:v>Euc Alba Derived </c:v>
          </c:tx>
          <c:spPr>
            <a:ln w="12700">
              <a:solidFill>
                <a:schemeClr val="tx1"/>
              </a:solidFill>
              <a:prstDash val="dash"/>
            </a:ln>
          </c:spPr>
          <c:marker>
            <c:symbol val="none"/>
          </c:marker>
          <c:xVal>
            <c:numRef>
              <c:f>'GC E. Alba'!$C$7:$C$23</c:f>
              <c:numCache>
                <c:formatCode>General</c:formatCode>
                <c:ptCount val="17"/>
                <c:pt idx="0">
                  <c:v>0</c:v>
                </c:pt>
                <c:pt idx="1">
                  <c:v>1</c:v>
                </c:pt>
                <c:pt idx="2">
                  <c:v>2</c:v>
                </c:pt>
                <c:pt idx="3">
                  <c:v>4</c:v>
                </c:pt>
                <c:pt idx="4">
                  <c:v>6</c:v>
                </c:pt>
                <c:pt idx="5">
                  <c:v>8</c:v>
                </c:pt>
                <c:pt idx="6">
                  <c:v>10</c:v>
                </c:pt>
                <c:pt idx="7">
                  <c:v>12</c:v>
                </c:pt>
                <c:pt idx="8">
                  <c:v>14</c:v>
                </c:pt>
                <c:pt idx="9">
                  <c:v>16</c:v>
                </c:pt>
                <c:pt idx="10">
                  <c:v>18</c:v>
                </c:pt>
                <c:pt idx="11">
                  <c:v>20</c:v>
                </c:pt>
                <c:pt idx="12">
                  <c:v>22</c:v>
                </c:pt>
                <c:pt idx="13">
                  <c:v>24</c:v>
                </c:pt>
                <c:pt idx="14">
                  <c:v>26</c:v>
                </c:pt>
                <c:pt idx="15">
                  <c:v>28</c:v>
                </c:pt>
                <c:pt idx="16">
                  <c:v>30</c:v>
                </c:pt>
              </c:numCache>
            </c:numRef>
          </c:xVal>
          <c:yVal>
            <c:numRef>
              <c:f>'GC E. Alba'!$G$7:$G$23</c:f>
              <c:numCache>
                <c:formatCode>General</c:formatCode>
                <c:ptCount val="17"/>
                <c:pt idx="0">
                  <c:v>0</c:v>
                </c:pt>
                <c:pt idx="1">
                  <c:v>4.5</c:v>
                </c:pt>
                <c:pt idx="2">
                  <c:v>9</c:v>
                </c:pt>
                <c:pt idx="3">
                  <c:v>13.4</c:v>
                </c:pt>
                <c:pt idx="4">
                  <c:v>15</c:v>
                </c:pt>
                <c:pt idx="5">
                  <c:v>15.8</c:v>
                </c:pt>
                <c:pt idx="6">
                  <c:v>16.2</c:v>
                </c:pt>
                <c:pt idx="7">
                  <c:v>16.399999999999999</c:v>
                </c:pt>
                <c:pt idx="8">
                  <c:v>16.5</c:v>
                </c:pt>
                <c:pt idx="9">
                  <c:v>16.600000000000001</c:v>
                </c:pt>
                <c:pt idx="10">
                  <c:v>16.700000000000003</c:v>
                </c:pt>
                <c:pt idx="11">
                  <c:v>16.800000000000004</c:v>
                </c:pt>
                <c:pt idx="12">
                  <c:v>16.900000000000006</c:v>
                </c:pt>
                <c:pt idx="13">
                  <c:v>17.000000000000007</c:v>
                </c:pt>
                <c:pt idx="14">
                  <c:v>17.100000000000009</c:v>
                </c:pt>
                <c:pt idx="15">
                  <c:v>17.20000000000001</c:v>
                </c:pt>
                <c:pt idx="16">
                  <c:v>17.300000000000011</c:v>
                </c:pt>
              </c:numCache>
            </c:numRef>
          </c:yVal>
          <c:smooth val="1"/>
          <c:extLst>
            <c:ext xmlns:c16="http://schemas.microsoft.com/office/drawing/2014/chart" uri="{C3380CC4-5D6E-409C-BE32-E72D297353CC}">
              <c16:uniqueId val="{00000003-74F0-1045-B074-67BFDAA4E958}"/>
            </c:ext>
          </c:extLst>
        </c:ser>
        <c:ser>
          <c:idx val="3"/>
          <c:order val="3"/>
          <c:tx>
            <c:v>Euc Urophylla</c:v>
          </c:tx>
          <c:spPr>
            <a:ln w="31750">
              <a:solidFill>
                <a:schemeClr val="accent2"/>
              </a:solidFill>
            </a:ln>
          </c:spPr>
          <c:marker>
            <c:symbol val="none"/>
          </c:marker>
          <c:xVal>
            <c:numRef>
              <c:f>'GC E. Alba'!$C$7:$C$11</c:f>
              <c:numCache>
                <c:formatCode>General</c:formatCode>
                <c:ptCount val="5"/>
                <c:pt idx="0">
                  <c:v>0</c:v>
                </c:pt>
                <c:pt idx="1">
                  <c:v>1</c:v>
                </c:pt>
                <c:pt idx="2">
                  <c:v>2</c:v>
                </c:pt>
                <c:pt idx="3">
                  <c:v>4</c:v>
                </c:pt>
                <c:pt idx="4">
                  <c:v>6</c:v>
                </c:pt>
              </c:numCache>
            </c:numRef>
          </c:xVal>
          <c:yVal>
            <c:numRef>
              <c:f>'GC E. Alba'!$H$7:$H$11</c:f>
              <c:numCache>
                <c:formatCode>General</c:formatCode>
                <c:ptCount val="5"/>
                <c:pt idx="0">
                  <c:v>0</c:v>
                </c:pt>
                <c:pt idx="1">
                  <c:v>2</c:v>
                </c:pt>
                <c:pt idx="2">
                  <c:v>5.5</c:v>
                </c:pt>
                <c:pt idx="3">
                  <c:v>8.5</c:v>
                </c:pt>
                <c:pt idx="4">
                  <c:v>9.1999999999999993</c:v>
                </c:pt>
              </c:numCache>
            </c:numRef>
          </c:yVal>
          <c:smooth val="1"/>
          <c:extLst>
            <c:ext xmlns:c16="http://schemas.microsoft.com/office/drawing/2014/chart" uri="{C3380CC4-5D6E-409C-BE32-E72D297353CC}">
              <c16:uniqueId val="{00000004-74F0-1045-B074-67BFDAA4E958}"/>
            </c:ext>
          </c:extLst>
        </c:ser>
        <c:dLbls>
          <c:showLegendKey val="0"/>
          <c:showVal val="0"/>
          <c:showCatName val="0"/>
          <c:showSerName val="0"/>
          <c:showPercent val="0"/>
          <c:showBubbleSize val="0"/>
        </c:dLbls>
        <c:axId val="-354905376"/>
        <c:axId val="-340852128"/>
      </c:scatterChart>
      <c:valAx>
        <c:axId val="-354905376"/>
        <c:scaling>
          <c:orientation val="minMax"/>
          <c:max val="30"/>
        </c:scaling>
        <c:delete val="0"/>
        <c:axPos val="b"/>
        <c:title>
          <c:tx>
            <c:rich>
              <a:bodyPr/>
              <a:lstStyle/>
              <a:p>
                <a:pPr>
                  <a:defRPr/>
                </a:pPr>
                <a:r>
                  <a:rPr lang="en-US"/>
                  <a:t>Age (yr)</a:t>
                </a:r>
              </a:p>
            </c:rich>
          </c:tx>
          <c:overlay val="0"/>
        </c:title>
        <c:numFmt formatCode="General" sourceLinked="1"/>
        <c:majorTickMark val="out"/>
        <c:minorTickMark val="none"/>
        <c:tickLblPos val="nextTo"/>
        <c:crossAx val="-340852128"/>
        <c:crosses val="autoZero"/>
        <c:crossBetween val="midCat"/>
      </c:valAx>
      <c:valAx>
        <c:axId val="-340852128"/>
        <c:scaling>
          <c:orientation val="minMax"/>
        </c:scaling>
        <c:delete val="0"/>
        <c:axPos val="l"/>
        <c:majorGridlines/>
        <c:title>
          <c:tx>
            <c:rich>
              <a:bodyPr/>
              <a:lstStyle/>
              <a:p>
                <a:pPr>
                  <a:defRPr/>
                </a:pPr>
                <a:r>
                  <a:rPr lang="en-US"/>
                  <a:t>DBH (cm)</a:t>
                </a:r>
              </a:p>
            </c:rich>
          </c:tx>
          <c:overlay val="0"/>
        </c:title>
        <c:numFmt formatCode="General" sourceLinked="1"/>
        <c:majorTickMark val="out"/>
        <c:minorTickMark val="none"/>
        <c:tickLblPos val="nextTo"/>
        <c:crossAx val="-354905376"/>
        <c:crosses val="autoZero"/>
        <c:crossBetween val="midCat"/>
      </c:valAx>
    </c:plotArea>
    <c:legend>
      <c:legendPos val="r"/>
      <c:legendEntry>
        <c:idx val="4"/>
        <c:delete val="1"/>
      </c:legendEntry>
      <c:layout>
        <c:manualLayout>
          <c:xMode val="edge"/>
          <c:yMode val="edge"/>
          <c:x val="0.36277342835005999"/>
          <c:y val="0.27277968561411597"/>
          <c:w val="0.40090564694859399"/>
          <c:h val="0.27152721096600702"/>
        </c:manualLayout>
      </c:layout>
      <c:overlay val="0"/>
    </c:legend>
    <c:plotVisOnly val="1"/>
    <c:dispBlanksAs val="gap"/>
    <c:showDLblsOverMax val="0"/>
  </c:chart>
  <c:printSettings>
    <c:headerFooter/>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42812554680665"/>
          <c:y val="5.0925925925925902E-2"/>
          <c:w val="0.72741207349081405"/>
          <c:h val="0.79964895013123405"/>
        </c:manualLayout>
      </c:layout>
      <c:scatterChart>
        <c:scatterStyle val="smoothMarker"/>
        <c:varyColors val="0"/>
        <c:ser>
          <c:idx val="0"/>
          <c:order val="0"/>
          <c:tx>
            <c:v>"Turnball and Doran 1997 -Linear"</c:v>
          </c:tx>
          <c:spPr>
            <a:ln w="22225">
              <a:prstDash val="dash"/>
            </a:ln>
          </c:spPr>
          <c:marker>
            <c:symbol val="none"/>
          </c:marker>
          <c:xVal>
            <c:numRef>
              <c:f>'GC E. Uro'!$B$29:$B$60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Uro'!$C$29:$C$60</c:f>
              <c:numCache>
                <c:formatCode>General</c:formatCode>
                <c:ptCount val="32"/>
                <c:pt idx="0">
                  <c:v>0</c:v>
                </c:pt>
                <c:pt idx="1">
                  <c:v>2.5</c:v>
                </c:pt>
                <c:pt idx="2">
                  <c:v>3.75</c:v>
                </c:pt>
                <c:pt idx="3">
                  <c:v>5</c:v>
                </c:pt>
                <c:pt idx="4">
                  <c:v>7.5</c:v>
                </c:pt>
                <c:pt idx="5">
                  <c:v>10</c:v>
                </c:pt>
                <c:pt idx="6">
                  <c:v>12.5</c:v>
                </c:pt>
                <c:pt idx="7">
                  <c:v>15</c:v>
                </c:pt>
                <c:pt idx="8">
                  <c:v>17.5</c:v>
                </c:pt>
                <c:pt idx="9">
                  <c:v>20</c:v>
                </c:pt>
                <c:pt idx="10">
                  <c:v>22.5</c:v>
                </c:pt>
                <c:pt idx="11">
                  <c:v>25</c:v>
                </c:pt>
                <c:pt idx="12">
                  <c:v>27.5</c:v>
                </c:pt>
                <c:pt idx="13">
                  <c:v>30</c:v>
                </c:pt>
                <c:pt idx="14">
                  <c:v>32.5</c:v>
                </c:pt>
                <c:pt idx="15">
                  <c:v>35</c:v>
                </c:pt>
                <c:pt idx="16">
                  <c:v>37.5</c:v>
                </c:pt>
                <c:pt idx="17">
                  <c:v>40</c:v>
                </c:pt>
                <c:pt idx="18">
                  <c:v>42.5</c:v>
                </c:pt>
                <c:pt idx="19">
                  <c:v>45</c:v>
                </c:pt>
                <c:pt idx="20">
                  <c:v>47.5</c:v>
                </c:pt>
                <c:pt idx="21">
                  <c:v>50</c:v>
                </c:pt>
                <c:pt idx="22">
                  <c:v>52.5</c:v>
                </c:pt>
                <c:pt idx="23">
                  <c:v>55</c:v>
                </c:pt>
                <c:pt idx="24">
                  <c:v>57.5</c:v>
                </c:pt>
                <c:pt idx="25">
                  <c:v>60</c:v>
                </c:pt>
                <c:pt idx="26">
                  <c:v>62.5</c:v>
                </c:pt>
                <c:pt idx="27">
                  <c:v>65</c:v>
                </c:pt>
                <c:pt idx="28">
                  <c:v>67.5</c:v>
                </c:pt>
                <c:pt idx="29">
                  <c:v>70</c:v>
                </c:pt>
                <c:pt idx="30">
                  <c:v>72.5</c:v>
                </c:pt>
                <c:pt idx="31">
                  <c:v>75</c:v>
                </c:pt>
              </c:numCache>
            </c:numRef>
          </c:yVal>
          <c:smooth val="1"/>
          <c:extLst>
            <c:ext xmlns:c16="http://schemas.microsoft.com/office/drawing/2014/chart" uri="{C3380CC4-5D6E-409C-BE32-E72D297353CC}">
              <c16:uniqueId val="{00000000-3C6A-0241-8DAF-D5C194831522}"/>
            </c:ext>
          </c:extLst>
        </c:ser>
        <c:ser>
          <c:idx val="2"/>
          <c:order val="1"/>
          <c:tx>
            <c:v>"Sein and Motlinhoner (2011)"</c:v>
          </c:tx>
          <c:spPr>
            <a:ln w="31750">
              <a:solidFill>
                <a:schemeClr val="accent1"/>
              </a:solidFill>
            </a:ln>
          </c:spPr>
          <c:marker>
            <c:symbol val="none"/>
          </c:marker>
          <c:xVal>
            <c:numRef>
              <c:f>'GC E. Uro'!$B$29:$B$60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Uro'!$E$29:$E$35</c:f>
              <c:numCache>
                <c:formatCode>General</c:formatCode>
                <c:ptCount val="7"/>
                <c:pt idx="1">
                  <c:v>2</c:v>
                </c:pt>
                <c:pt idx="2">
                  <c:v>3.8</c:v>
                </c:pt>
                <c:pt idx="3">
                  <c:v>5.5</c:v>
                </c:pt>
                <c:pt idx="4">
                  <c:v>7.5</c:v>
                </c:pt>
                <c:pt idx="5">
                  <c:v>8.5</c:v>
                </c:pt>
                <c:pt idx="6">
                  <c:v>9</c:v>
                </c:pt>
              </c:numCache>
            </c:numRef>
          </c:yVal>
          <c:smooth val="1"/>
          <c:extLst>
            <c:ext xmlns:c16="http://schemas.microsoft.com/office/drawing/2014/chart" uri="{C3380CC4-5D6E-409C-BE32-E72D297353CC}">
              <c16:uniqueId val="{00000001-3C6A-0241-8DAF-D5C194831522}"/>
            </c:ext>
          </c:extLst>
        </c:ser>
        <c:ser>
          <c:idx val="1"/>
          <c:order val="2"/>
          <c:spPr>
            <a:ln w="12700">
              <a:solidFill>
                <a:schemeClr val="tx1"/>
              </a:solidFill>
              <a:prstDash val="dash"/>
            </a:ln>
          </c:spPr>
          <c:marker>
            <c:symbol val="none"/>
          </c:marker>
          <c:xVal>
            <c:numRef>
              <c:f>'GC E. Uro'!$B$29:$B$60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Uro'!$O$9:$O$40</c:f>
              <c:numCache>
                <c:formatCode>General</c:formatCode>
                <c:ptCount val="32"/>
                <c:pt idx="0">
                  <c:v>0</c:v>
                </c:pt>
                <c:pt idx="1">
                  <c:v>2.75</c:v>
                </c:pt>
                <c:pt idx="2">
                  <c:v>4.125</c:v>
                </c:pt>
                <c:pt idx="3">
                  <c:v>5.5</c:v>
                </c:pt>
                <c:pt idx="4">
                  <c:v>8.25</c:v>
                </c:pt>
                <c:pt idx="5">
                  <c:v>9</c:v>
                </c:pt>
                <c:pt idx="6">
                  <c:v>9.75</c:v>
                </c:pt>
                <c:pt idx="7">
                  <c:v>10.125</c:v>
                </c:pt>
                <c:pt idx="8">
                  <c:v>10.5</c:v>
                </c:pt>
                <c:pt idx="9">
                  <c:v>10.875</c:v>
                </c:pt>
                <c:pt idx="10">
                  <c:v>11.25</c:v>
                </c:pt>
                <c:pt idx="11">
                  <c:v>11.625</c:v>
                </c:pt>
                <c:pt idx="12">
                  <c:v>12</c:v>
                </c:pt>
                <c:pt idx="13">
                  <c:v>12.375</c:v>
                </c:pt>
                <c:pt idx="14">
                  <c:v>12.75</c:v>
                </c:pt>
                <c:pt idx="15">
                  <c:v>13.125</c:v>
                </c:pt>
                <c:pt idx="16">
                  <c:v>13.5</c:v>
                </c:pt>
                <c:pt idx="17">
                  <c:v>13.875</c:v>
                </c:pt>
                <c:pt idx="18">
                  <c:v>14.25</c:v>
                </c:pt>
                <c:pt idx="19">
                  <c:v>14.625</c:v>
                </c:pt>
                <c:pt idx="20">
                  <c:v>15</c:v>
                </c:pt>
                <c:pt idx="21">
                  <c:v>15.375</c:v>
                </c:pt>
                <c:pt idx="22">
                  <c:v>15.75</c:v>
                </c:pt>
                <c:pt idx="23">
                  <c:v>16.125</c:v>
                </c:pt>
                <c:pt idx="24">
                  <c:v>16.5</c:v>
                </c:pt>
                <c:pt idx="25">
                  <c:v>16.875</c:v>
                </c:pt>
                <c:pt idx="26">
                  <c:v>17.25</c:v>
                </c:pt>
                <c:pt idx="27">
                  <c:v>17.625</c:v>
                </c:pt>
                <c:pt idx="28">
                  <c:v>18</c:v>
                </c:pt>
                <c:pt idx="29">
                  <c:v>18.375</c:v>
                </c:pt>
                <c:pt idx="30">
                  <c:v>18.75</c:v>
                </c:pt>
                <c:pt idx="31">
                  <c:v>19.125</c:v>
                </c:pt>
              </c:numCache>
            </c:numRef>
          </c:yVal>
          <c:smooth val="1"/>
          <c:extLst>
            <c:ext xmlns:c16="http://schemas.microsoft.com/office/drawing/2014/chart" uri="{C3380CC4-5D6E-409C-BE32-E72D297353CC}">
              <c16:uniqueId val="{00000002-3C6A-0241-8DAF-D5C194831522}"/>
            </c:ext>
          </c:extLst>
        </c:ser>
        <c:dLbls>
          <c:showLegendKey val="0"/>
          <c:showVal val="0"/>
          <c:showCatName val="0"/>
          <c:showSerName val="0"/>
          <c:showPercent val="0"/>
          <c:showBubbleSize val="0"/>
        </c:dLbls>
        <c:axId val="-301687648"/>
        <c:axId val="-335397408"/>
      </c:scatterChart>
      <c:valAx>
        <c:axId val="-301687648"/>
        <c:scaling>
          <c:orientation val="minMax"/>
          <c:max val="10"/>
        </c:scaling>
        <c:delete val="0"/>
        <c:axPos val="b"/>
        <c:title>
          <c:tx>
            <c:rich>
              <a:bodyPr/>
              <a:lstStyle/>
              <a:p>
                <a:pPr>
                  <a:defRPr/>
                </a:pPr>
                <a:r>
                  <a:rPr lang="en-US"/>
                  <a:t>Age (yrs)</a:t>
                </a:r>
              </a:p>
            </c:rich>
          </c:tx>
          <c:overlay val="0"/>
        </c:title>
        <c:numFmt formatCode="General" sourceLinked="1"/>
        <c:majorTickMark val="out"/>
        <c:minorTickMark val="none"/>
        <c:tickLblPos val="nextTo"/>
        <c:crossAx val="-335397408"/>
        <c:crosses val="autoZero"/>
        <c:crossBetween val="midCat"/>
        <c:majorUnit val="1"/>
        <c:minorUnit val="1"/>
      </c:valAx>
      <c:valAx>
        <c:axId val="-335397408"/>
        <c:scaling>
          <c:orientation val="minMax"/>
          <c:max val="20"/>
        </c:scaling>
        <c:delete val="0"/>
        <c:axPos val="l"/>
        <c:majorGridlines/>
        <c:title>
          <c:tx>
            <c:rich>
              <a:bodyPr/>
              <a:lstStyle/>
              <a:p>
                <a:pPr>
                  <a:defRPr/>
                </a:pPr>
                <a:r>
                  <a:rPr lang="en-US"/>
                  <a:t>Diameter, DBH (cm)</a:t>
                </a:r>
              </a:p>
            </c:rich>
          </c:tx>
          <c:overlay val="0"/>
        </c:title>
        <c:numFmt formatCode="General" sourceLinked="1"/>
        <c:majorTickMark val="out"/>
        <c:minorTickMark val="none"/>
        <c:tickLblPos val="nextTo"/>
        <c:crossAx val="-301687648"/>
        <c:crosses val="autoZero"/>
        <c:crossBetween val="midCat"/>
      </c:valAx>
    </c:plotArea>
    <c:legend>
      <c:legendPos val="r"/>
      <c:layout>
        <c:manualLayout>
          <c:xMode val="edge"/>
          <c:yMode val="edge"/>
          <c:x val="0.201926071741032"/>
          <c:y val="0.119986512102654"/>
          <c:w val="0.390277777777778"/>
          <c:h val="0.27931321084864402"/>
        </c:manualLayout>
      </c:layout>
      <c:overlay val="0"/>
    </c:legend>
    <c:plotVisOnly val="1"/>
    <c:dispBlanksAs val="gap"/>
    <c:showDLblsOverMax val="0"/>
  </c:chart>
  <c:printSettings>
    <c:headerFooter/>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3782709210767299"/>
          <c:y val="5.7773109243697503E-2"/>
          <c:w val="0.78562763230177601"/>
          <c:h val="0.72018998544299595"/>
        </c:manualLayout>
      </c:layout>
      <c:scatterChart>
        <c:scatterStyle val="smoothMarker"/>
        <c:varyColors val="0"/>
        <c:ser>
          <c:idx val="1"/>
          <c:order val="0"/>
          <c:tx>
            <c:v>Linear</c:v>
          </c:tx>
          <c:spPr>
            <a:ln w="22225">
              <a:prstDash val="dash"/>
            </a:ln>
          </c:spPr>
          <c:marker>
            <c:symbol val="none"/>
          </c:marker>
          <c:xVal>
            <c:numRef>
              <c:f>'GC E. Uro'!$B$29:$B$60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Uro'!$D$29:$D$60</c:f>
              <c:numCache>
                <c:formatCode>General</c:formatCode>
                <c:ptCount val="32"/>
                <c:pt idx="0">
                  <c:v>0</c:v>
                </c:pt>
                <c:pt idx="1">
                  <c:v>2.65</c:v>
                </c:pt>
                <c:pt idx="2">
                  <c:v>3.9749999999999996</c:v>
                </c:pt>
                <c:pt idx="3">
                  <c:v>5.3</c:v>
                </c:pt>
                <c:pt idx="4">
                  <c:v>7.9499999999999993</c:v>
                </c:pt>
                <c:pt idx="5">
                  <c:v>10.6</c:v>
                </c:pt>
                <c:pt idx="6">
                  <c:v>13.25</c:v>
                </c:pt>
                <c:pt idx="7">
                  <c:v>15.9</c:v>
                </c:pt>
                <c:pt idx="8">
                  <c:v>18.55</c:v>
                </c:pt>
                <c:pt idx="9">
                  <c:v>21.2</c:v>
                </c:pt>
                <c:pt idx="10">
                  <c:v>23.849999999999998</c:v>
                </c:pt>
                <c:pt idx="11">
                  <c:v>26.499999999999996</c:v>
                </c:pt>
                <c:pt idx="12">
                  <c:v>29.149999999999995</c:v>
                </c:pt>
                <c:pt idx="13">
                  <c:v>31.799999999999994</c:v>
                </c:pt>
                <c:pt idx="14">
                  <c:v>34.449999999999996</c:v>
                </c:pt>
                <c:pt idx="15">
                  <c:v>37.099999999999994</c:v>
                </c:pt>
                <c:pt idx="16">
                  <c:v>39.749999999999993</c:v>
                </c:pt>
                <c:pt idx="17">
                  <c:v>42.399999999999991</c:v>
                </c:pt>
                <c:pt idx="18">
                  <c:v>45.04999999999999</c:v>
                </c:pt>
                <c:pt idx="19">
                  <c:v>47.699999999999989</c:v>
                </c:pt>
                <c:pt idx="20">
                  <c:v>50.349999999999987</c:v>
                </c:pt>
                <c:pt idx="21">
                  <c:v>52.999999999999986</c:v>
                </c:pt>
                <c:pt idx="22">
                  <c:v>55.649999999999984</c:v>
                </c:pt>
                <c:pt idx="23">
                  <c:v>58.299999999999983</c:v>
                </c:pt>
                <c:pt idx="24">
                  <c:v>60.949999999999982</c:v>
                </c:pt>
                <c:pt idx="25">
                  <c:v>63.59999999999998</c:v>
                </c:pt>
                <c:pt idx="26">
                  <c:v>66.249999999999986</c:v>
                </c:pt>
                <c:pt idx="27">
                  <c:v>68.899999999999991</c:v>
                </c:pt>
                <c:pt idx="28">
                  <c:v>71.55</c:v>
                </c:pt>
                <c:pt idx="29">
                  <c:v>74.2</c:v>
                </c:pt>
                <c:pt idx="30">
                  <c:v>76.850000000000009</c:v>
                </c:pt>
                <c:pt idx="31">
                  <c:v>79.500000000000014</c:v>
                </c:pt>
              </c:numCache>
            </c:numRef>
          </c:yVal>
          <c:smooth val="1"/>
          <c:extLst>
            <c:ext xmlns:c16="http://schemas.microsoft.com/office/drawing/2014/chart" uri="{C3380CC4-5D6E-409C-BE32-E72D297353CC}">
              <c16:uniqueId val="{00000000-E308-F346-A211-DEAE0397789B}"/>
            </c:ext>
          </c:extLst>
        </c:ser>
        <c:ser>
          <c:idx val="3"/>
          <c:order val="1"/>
          <c:tx>
            <c:v>Sein and Motlinhoner (2011)</c:v>
          </c:tx>
          <c:spPr>
            <a:ln w="31750">
              <a:solidFill>
                <a:schemeClr val="accent2"/>
              </a:solidFill>
            </a:ln>
          </c:spPr>
          <c:marker>
            <c:symbol val="none"/>
          </c:marker>
          <c:xVal>
            <c:numRef>
              <c:f>'GC E. Uro'!$B$29:$B$60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Uro'!$F$29:$F$60</c:f>
              <c:numCache>
                <c:formatCode>General</c:formatCode>
                <c:ptCount val="32"/>
                <c:pt idx="1">
                  <c:v>2.2000000000000002</c:v>
                </c:pt>
                <c:pt idx="2">
                  <c:v>5</c:v>
                </c:pt>
                <c:pt idx="3">
                  <c:v>7.5</c:v>
                </c:pt>
                <c:pt idx="4">
                  <c:v>10.5</c:v>
                </c:pt>
                <c:pt idx="5">
                  <c:v>12.5</c:v>
                </c:pt>
                <c:pt idx="6">
                  <c:v>13.5</c:v>
                </c:pt>
              </c:numCache>
            </c:numRef>
          </c:yVal>
          <c:smooth val="1"/>
          <c:extLst>
            <c:ext xmlns:c16="http://schemas.microsoft.com/office/drawing/2014/chart" uri="{C3380CC4-5D6E-409C-BE32-E72D297353CC}">
              <c16:uniqueId val="{00000001-E308-F346-A211-DEAE0397789B}"/>
            </c:ext>
          </c:extLst>
        </c:ser>
        <c:ser>
          <c:idx val="0"/>
          <c:order val="2"/>
          <c:spPr>
            <a:ln w="12700">
              <a:solidFill>
                <a:schemeClr val="tx1"/>
              </a:solidFill>
              <a:prstDash val="dash"/>
            </a:ln>
          </c:spPr>
          <c:marker>
            <c:symbol val="none"/>
          </c:marker>
          <c:xVal>
            <c:numRef>
              <c:f>'GC E. Uro'!$B$29:$B$60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Uro'!$P$9:$P$40</c:f>
              <c:numCache>
                <c:formatCode>General</c:formatCode>
                <c:ptCount val="32"/>
                <c:pt idx="0">
                  <c:v>0</c:v>
                </c:pt>
                <c:pt idx="1">
                  <c:v>4.1500000000000004</c:v>
                </c:pt>
                <c:pt idx="2">
                  <c:v>6.2250000000000005</c:v>
                </c:pt>
                <c:pt idx="3">
                  <c:v>8.3000000000000007</c:v>
                </c:pt>
                <c:pt idx="4">
                  <c:v>12.450000000000001</c:v>
                </c:pt>
                <c:pt idx="5">
                  <c:v>13.950000000000001</c:v>
                </c:pt>
                <c:pt idx="6">
                  <c:v>15.450000000000001</c:v>
                </c:pt>
                <c:pt idx="7">
                  <c:v>16.200000000000003</c:v>
                </c:pt>
                <c:pt idx="8">
                  <c:v>16.950000000000003</c:v>
                </c:pt>
                <c:pt idx="9">
                  <c:v>17.700000000000003</c:v>
                </c:pt>
                <c:pt idx="10">
                  <c:v>18.450000000000003</c:v>
                </c:pt>
                <c:pt idx="11">
                  <c:v>19.200000000000003</c:v>
                </c:pt>
                <c:pt idx="12">
                  <c:v>19.950000000000003</c:v>
                </c:pt>
                <c:pt idx="13">
                  <c:v>20.700000000000003</c:v>
                </c:pt>
                <c:pt idx="14">
                  <c:v>21.450000000000003</c:v>
                </c:pt>
                <c:pt idx="15">
                  <c:v>22.200000000000003</c:v>
                </c:pt>
                <c:pt idx="16">
                  <c:v>22.950000000000003</c:v>
                </c:pt>
                <c:pt idx="17">
                  <c:v>23.700000000000003</c:v>
                </c:pt>
                <c:pt idx="18">
                  <c:v>24.450000000000003</c:v>
                </c:pt>
                <c:pt idx="19">
                  <c:v>25.200000000000003</c:v>
                </c:pt>
                <c:pt idx="20">
                  <c:v>25.950000000000003</c:v>
                </c:pt>
                <c:pt idx="21">
                  <c:v>26.700000000000003</c:v>
                </c:pt>
                <c:pt idx="22">
                  <c:v>27.450000000000003</c:v>
                </c:pt>
                <c:pt idx="23">
                  <c:v>28.200000000000003</c:v>
                </c:pt>
                <c:pt idx="24">
                  <c:v>28.950000000000003</c:v>
                </c:pt>
                <c:pt idx="25">
                  <c:v>29.700000000000003</c:v>
                </c:pt>
                <c:pt idx="26">
                  <c:v>30.450000000000003</c:v>
                </c:pt>
                <c:pt idx="27">
                  <c:v>31.200000000000003</c:v>
                </c:pt>
                <c:pt idx="28">
                  <c:v>31.950000000000003</c:v>
                </c:pt>
                <c:pt idx="29">
                  <c:v>32.700000000000003</c:v>
                </c:pt>
                <c:pt idx="30">
                  <c:v>33.450000000000003</c:v>
                </c:pt>
                <c:pt idx="31">
                  <c:v>34.200000000000003</c:v>
                </c:pt>
              </c:numCache>
            </c:numRef>
          </c:yVal>
          <c:smooth val="1"/>
          <c:extLst>
            <c:ext xmlns:c16="http://schemas.microsoft.com/office/drawing/2014/chart" uri="{C3380CC4-5D6E-409C-BE32-E72D297353CC}">
              <c16:uniqueId val="{00000002-E308-F346-A211-DEAE0397789B}"/>
            </c:ext>
          </c:extLst>
        </c:ser>
        <c:dLbls>
          <c:showLegendKey val="0"/>
          <c:showVal val="0"/>
          <c:showCatName val="0"/>
          <c:showSerName val="0"/>
          <c:showPercent val="0"/>
          <c:showBubbleSize val="0"/>
        </c:dLbls>
        <c:axId val="-352460496"/>
        <c:axId val="-354293728"/>
      </c:scatterChart>
      <c:valAx>
        <c:axId val="-352460496"/>
        <c:scaling>
          <c:orientation val="minMax"/>
          <c:max val="10"/>
        </c:scaling>
        <c:delete val="0"/>
        <c:axPos val="b"/>
        <c:title>
          <c:tx>
            <c:rich>
              <a:bodyPr/>
              <a:lstStyle/>
              <a:p>
                <a:pPr>
                  <a:defRPr/>
                </a:pPr>
                <a:r>
                  <a:rPr lang="en-US"/>
                  <a:t>Age (yrs)</a:t>
                </a:r>
              </a:p>
            </c:rich>
          </c:tx>
          <c:overlay val="0"/>
        </c:title>
        <c:numFmt formatCode="General" sourceLinked="1"/>
        <c:majorTickMark val="out"/>
        <c:minorTickMark val="none"/>
        <c:tickLblPos val="nextTo"/>
        <c:crossAx val="-354293728"/>
        <c:crosses val="autoZero"/>
        <c:crossBetween val="midCat"/>
      </c:valAx>
      <c:valAx>
        <c:axId val="-354293728"/>
        <c:scaling>
          <c:orientation val="minMax"/>
          <c:max val="20"/>
        </c:scaling>
        <c:delete val="0"/>
        <c:axPos val="l"/>
        <c:majorGridlines/>
        <c:title>
          <c:tx>
            <c:rich>
              <a:bodyPr/>
              <a:lstStyle/>
              <a:p>
                <a:pPr>
                  <a:defRPr/>
                </a:pPr>
                <a:r>
                  <a:rPr lang="en-US"/>
                  <a:t>Height (m)</a:t>
                </a:r>
              </a:p>
            </c:rich>
          </c:tx>
          <c:overlay val="0"/>
        </c:title>
        <c:numFmt formatCode="General" sourceLinked="1"/>
        <c:majorTickMark val="out"/>
        <c:minorTickMark val="none"/>
        <c:tickLblPos val="nextTo"/>
        <c:crossAx val="-352460496"/>
        <c:crosses val="autoZero"/>
        <c:crossBetween val="midCat"/>
      </c:valAx>
    </c:plotArea>
    <c:legend>
      <c:legendPos val="r"/>
      <c:layout>
        <c:manualLayout>
          <c:xMode val="edge"/>
          <c:yMode val="edge"/>
          <c:x val="0.51219007507782499"/>
          <c:y val="0.44704352213326298"/>
          <c:w val="0.44290216993224701"/>
          <c:h val="0.22233011314762099"/>
        </c:manualLayout>
      </c:layout>
      <c:overlay val="0"/>
    </c:legend>
    <c:plotVisOnly val="1"/>
    <c:dispBlanksAs val="gap"/>
    <c:showDLblsOverMax val="0"/>
  </c:chart>
  <c:printSettings>
    <c:headerFooter/>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81321741032371"/>
          <c:y val="5.0925925925925902E-2"/>
          <c:w val="0.74136832895888005"/>
          <c:h val="0.74409339457567802"/>
        </c:manualLayout>
      </c:layout>
      <c:scatterChart>
        <c:scatterStyle val="smoothMarker"/>
        <c:varyColors val="0"/>
        <c:ser>
          <c:idx val="0"/>
          <c:order val="0"/>
          <c:tx>
            <c:v>Sein &amp; Motlin (2011)</c:v>
          </c:tx>
          <c:spPr>
            <a:ln w="31750"/>
          </c:spPr>
          <c:marker>
            <c:symbol val="none"/>
          </c:marker>
          <c:xVal>
            <c:numRef>
              <c:f>'GC E. Uro'!$N$9:$N$40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Uro'!$Q$9:$Q$40</c:f>
              <c:numCache>
                <c:formatCode>0.00</c:formatCode>
                <c:ptCount val="32"/>
                <c:pt idx="0">
                  <c:v>0</c:v>
                </c:pt>
                <c:pt idx="1">
                  <c:v>6.0251722738497654E-3</c:v>
                </c:pt>
                <c:pt idx="2">
                  <c:v>1.2386153664924224E-2</c:v>
                </c:pt>
                <c:pt idx="3">
                  <c:v>2.0653329807121049E-2</c:v>
                </c:pt>
                <c:pt idx="4">
                  <c:v>4.2457759721434271E-2</c:v>
                </c:pt>
                <c:pt idx="5">
                  <c:v>5.1971389213664503E-2</c:v>
                </c:pt>
                <c:pt idx="6">
                  <c:v>6.2315370404773328E-2</c:v>
                </c:pt>
                <c:pt idx="7">
                  <c:v>6.7792807857308832E-2</c:v>
                </c:pt>
                <c:pt idx="8">
                  <c:v>7.3470991198995014E-2</c:v>
                </c:pt>
                <c:pt idx="9">
                  <c:v>7.9347906508109828E-2</c:v>
                </c:pt>
                <c:pt idx="10">
                  <c:v>8.5421646054223477E-2</c:v>
                </c:pt>
                <c:pt idx="11">
                  <c:v>9.1690398536355786E-2</c:v>
                </c:pt>
                <c:pt idx="12">
                  <c:v>9.8152440571023084E-2</c:v>
                </c:pt>
                <c:pt idx="13">
                  <c:v>0.10480612922843009</c:v>
                </c:pt>
                <c:pt idx="14">
                  <c:v>0.11164989545386189</c:v>
                </c:pt>
                <c:pt idx="15">
                  <c:v>0.11868223824156056</c:v>
                </c:pt>
                <c:pt idx="16">
                  <c:v>0.12590171945214368</c:v>
                </c:pt>
                <c:pt idx="17">
                  <c:v>0.13330695918348437</c:v>
                </c:pt>
                <c:pt idx="18">
                  <c:v>0.14089663162007585</c:v>
                </c:pt>
                <c:pt idx="19">
                  <c:v>0.14866946129807335</c:v>
                </c:pt>
                <c:pt idx="20">
                  <c:v>0.15662421973309992</c:v>
                </c:pt>
                <c:pt idx="21">
                  <c:v>0.16475972236599318</c:v>
                </c:pt>
                <c:pt idx="22">
                  <c:v>0.17307482578831962</c:v>
                </c:pt>
                <c:pt idx="23">
                  <c:v>0.18156842521500524</c:v>
                </c:pt>
                <c:pt idx="24">
                  <c:v>0.19023945217601043</c:v>
                </c:pt>
                <c:pt idx="25">
                  <c:v>0.19908687240282272</c:v>
                </c:pt>
                <c:pt idx="26">
                  <c:v>0.20810968388877002</c:v>
                </c:pt>
                <c:pt idx="27">
                  <c:v>0.21730691510488553</c:v>
                </c:pt>
                <c:pt idx="28">
                  <c:v>0.22667762335537647</c:v>
                </c:pt>
                <c:pt idx="29">
                  <c:v>0.23622089325871648</c:v>
                </c:pt>
                <c:pt idx="30">
                  <c:v>0.24593583534208083</c:v>
                </c:pt>
                <c:pt idx="31">
                  <c:v>0.25582158473829314</c:v>
                </c:pt>
              </c:numCache>
            </c:numRef>
          </c:yVal>
          <c:smooth val="1"/>
          <c:extLst>
            <c:ext xmlns:c16="http://schemas.microsoft.com/office/drawing/2014/chart" uri="{C3380CC4-5D6E-409C-BE32-E72D297353CC}">
              <c16:uniqueId val="{00000000-BFD6-4240-BAF2-52311D802CBE}"/>
            </c:ext>
          </c:extLst>
        </c:ser>
        <c:ser>
          <c:idx val="1"/>
          <c:order val="1"/>
          <c:tx>
            <c:v>Whitesell et al (1992)</c:v>
          </c:tx>
          <c:spPr>
            <a:ln w="31750"/>
          </c:spPr>
          <c:marker>
            <c:symbol val="none"/>
          </c:marker>
          <c:xVal>
            <c:numRef>
              <c:f>'GC E. Uro'!$N$9:$N$40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Uro'!$R$9:$R$40</c:f>
              <c:numCache>
                <c:formatCode>0.000</c:formatCode>
                <c:ptCount val="32"/>
                <c:pt idx="0">
                  <c:v>0</c:v>
                </c:pt>
                <c:pt idx="1">
                  <c:v>1.3067603394206462E-3</c:v>
                </c:pt>
                <c:pt idx="2">
                  <c:v>3.4036696933274994E-3</c:v>
                </c:pt>
                <c:pt idx="3" formatCode="0.00">
                  <c:v>6.7131718499132964E-3</c:v>
                </c:pt>
                <c:pt idx="4" formatCode="0.00">
                  <c:v>1.7485547182874789E-2</c:v>
                </c:pt>
                <c:pt idx="5" formatCode="0.00">
                  <c:v>2.14732618332624E-2</c:v>
                </c:pt>
                <c:pt idx="6" formatCode="0.00">
                  <c:v>2.594008247490194E-2</c:v>
                </c:pt>
                <c:pt idx="7" formatCode="0.00">
                  <c:v>2.8357577338054434E-2</c:v>
                </c:pt>
                <c:pt idx="8" formatCode="0.00">
                  <c:v>3.0900064787581373E-2</c:v>
                </c:pt>
                <c:pt idx="9" formatCode="0.00">
                  <c:v>3.3569196869830606E-2</c:v>
                </c:pt>
                <c:pt idx="10" formatCode="0.00">
                  <c:v>3.6366588332833225E-2</c:v>
                </c:pt>
                <c:pt idx="11" formatCode="0.00">
                  <c:v>3.9293818713179156E-2</c:v>
                </c:pt>
                <c:pt idx="12" formatCode="0.00">
                  <c:v>4.2352434241040286E-2</c:v>
                </c:pt>
                <c:pt idx="13" formatCode="0.00">
                  <c:v>4.554394958450074E-2</c:v>
                </c:pt>
                <c:pt idx="14" formatCode="0.00">
                  <c:v>4.8869849451310898E-2</c:v>
                </c:pt>
                <c:pt idx="15" formatCode="0.00">
                  <c:v>5.2331590063656383E-2</c:v>
                </c:pt>
                <c:pt idx="16" formatCode="0.00">
                  <c:v>5.5930600519422641E-2</c:v>
                </c:pt>
                <c:pt idx="17" formatCode="0.00">
                  <c:v>5.9668284051661302E-2</c:v>
                </c:pt>
                <c:pt idx="18" formatCode="0.00">
                  <c:v>6.3546019196470183E-2</c:v>
                </c:pt>
                <c:pt idx="19" formatCode="0.00">
                  <c:v>6.7565160878224714E-2</c:v>
                </c:pt>
                <c:pt idx="20" formatCode="0.00">
                  <c:v>7.1727041420017915E-2</c:v>
                </c:pt>
                <c:pt idx="21" formatCode="0.00">
                  <c:v>7.6032971486236056E-2</c:v>
                </c:pt>
                <c:pt idx="22" formatCode="0.00">
                  <c:v>8.0484240963401052E-2</c:v>
                </c:pt>
                <c:pt idx="23" formatCode="0.00">
                  <c:v>8.5082119784719912E-2</c:v>
                </c:pt>
                <c:pt idx="24" formatCode="0.00">
                  <c:v>8.982785870318645E-2</c:v>
                </c:pt>
                <c:pt idx="25" formatCode="0.00">
                  <c:v>9.4722690017558828E-2</c:v>
                </c:pt>
                <c:pt idx="26" formatCode="0.00">
                  <c:v>9.9767828255086372E-2</c:v>
                </c:pt>
                <c:pt idx="27" formatCode="0.00">
                  <c:v>0.10496447081445973</c:v>
                </c:pt>
                <c:pt idx="28" formatCode="0.00">
                  <c:v>0.11031379857211256</c:v>
                </c:pt>
                <c:pt idx="29" formatCode="0.00">
                  <c:v>0.11581697645469259</c:v>
                </c:pt>
                <c:pt idx="30" formatCode="0.00">
                  <c:v>0.12147515398025423</c:v>
                </c:pt>
                <c:pt idx="31" formatCode="0.00">
                  <c:v>0.12728946577047937</c:v>
                </c:pt>
              </c:numCache>
            </c:numRef>
          </c:yVal>
          <c:smooth val="1"/>
          <c:extLst>
            <c:ext xmlns:c16="http://schemas.microsoft.com/office/drawing/2014/chart" uri="{C3380CC4-5D6E-409C-BE32-E72D297353CC}">
              <c16:uniqueId val="{00000001-BFD6-4240-BAF2-52311D802CBE}"/>
            </c:ext>
          </c:extLst>
        </c:ser>
        <c:ser>
          <c:idx val="2"/>
          <c:order val="2"/>
          <c:tx>
            <c:v>Krishnawati et al. (2012)</c:v>
          </c:tx>
          <c:marker>
            <c:symbol val="none"/>
          </c:marker>
          <c:xVal>
            <c:numRef>
              <c:f>'GC E. Uro'!$N$9:$N$40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Uro'!$AA$9:$AA$40</c:f>
              <c:numCache>
                <c:formatCode>General</c:formatCode>
                <c:ptCount val="32"/>
                <c:pt idx="0">
                  <c:v>0</c:v>
                </c:pt>
                <c:pt idx="1">
                  <c:v>4.1002911869873938E-4</c:v>
                </c:pt>
                <c:pt idx="2">
                  <c:v>1.4192501942977512E-3</c:v>
                </c:pt>
                <c:pt idx="3">
                  <c:v>3.4249864326610212E-3</c:v>
                </c:pt>
                <c:pt idx="4">
                  <c:v>1.1855042577092604E-2</c:v>
                </c:pt>
                <c:pt idx="5">
                  <c:v>1.5823512226330615E-2</c:v>
                </c:pt>
                <c:pt idx="6">
                  <c:v>2.0594347668651612E-2</c:v>
                </c:pt>
                <c:pt idx="7">
                  <c:v>2.3304352131126044E-2</c:v>
                </c:pt>
                <c:pt idx="8">
                  <c:v>2.6243436679043029E-2</c:v>
                </c:pt>
                <c:pt idx="9">
                  <c:v>2.9421147149950359E-2</c:v>
                </c:pt>
                <c:pt idx="10">
                  <c:v>3.2847051717113732E-2</c:v>
                </c:pt>
                <c:pt idx="11">
                  <c:v>3.6530740138209443E-2</c:v>
                </c:pt>
                <c:pt idx="12">
                  <c:v>4.0481823053603677E-2</c:v>
                </c:pt>
                <c:pt idx="13">
                  <c:v>4.4709931329557862E-2</c:v>
                </c:pt>
                <c:pt idx="14">
                  <c:v>4.9224715442239261E-2</c:v>
                </c:pt>
                <c:pt idx="15">
                  <c:v>5.4035844898888796E-2</c:v>
                </c:pt>
                <c:pt idx="16">
                  <c:v>5.9153007692907406E-2</c:v>
                </c:pt>
                <c:pt idx="17">
                  <c:v>6.4585909789978996E-2</c:v>
                </c:pt>
                <c:pt idx="18">
                  <c:v>7.0344274642660909E-2</c:v>
                </c:pt>
                <c:pt idx="19">
                  <c:v>7.6437842731143346E-2</c:v>
                </c:pt>
                <c:pt idx="20">
                  <c:v>8.2876371128116327E-2</c:v>
                </c:pt>
                <c:pt idx="21">
                  <c:v>8.9669633085894485E-2</c:v>
                </c:pt>
                <c:pt idx="22">
                  <c:v>9.6827417644128319E-2</c:v>
                </c:pt>
                <c:pt idx="23">
                  <c:v>0.10435952925659821</c:v>
                </c:pt>
                <c:pt idx="24">
                  <c:v>0.11227578743572372</c:v>
                </c:pt>
                <c:pt idx="25">
                  <c:v>0.12058602641355343</c:v>
                </c:pt>
                <c:pt idx="26">
                  <c:v>0.12930009481810789</c:v>
                </c:pt>
                <c:pt idx="27">
                  <c:v>0.13842785536405042</c:v>
                </c:pt>
                <c:pt idx="28">
                  <c:v>0.14797918455675135</c:v>
                </c:pt>
                <c:pt idx="29">
                  <c:v>0.15796397240888621</c:v>
                </c:pt>
                <c:pt idx="30">
                  <c:v>0.16839212216878419</c:v>
                </c:pt>
                <c:pt idx="31">
                  <c:v>0.17927355005980805</c:v>
                </c:pt>
              </c:numCache>
            </c:numRef>
          </c:yVal>
          <c:smooth val="1"/>
          <c:extLst>
            <c:ext xmlns:c16="http://schemas.microsoft.com/office/drawing/2014/chart" uri="{C3380CC4-5D6E-409C-BE32-E72D297353CC}">
              <c16:uniqueId val="{00000002-BFD6-4240-BAF2-52311D802CBE}"/>
            </c:ext>
          </c:extLst>
        </c:ser>
        <c:dLbls>
          <c:showLegendKey val="0"/>
          <c:showVal val="0"/>
          <c:showCatName val="0"/>
          <c:showSerName val="0"/>
          <c:showPercent val="0"/>
          <c:showBubbleSize val="0"/>
        </c:dLbls>
        <c:axId val="-296456544"/>
        <c:axId val="-353838912"/>
      </c:scatterChart>
      <c:valAx>
        <c:axId val="-296456544"/>
        <c:scaling>
          <c:orientation val="minMax"/>
        </c:scaling>
        <c:delete val="0"/>
        <c:axPos val="b"/>
        <c:title>
          <c:tx>
            <c:rich>
              <a:bodyPr/>
              <a:lstStyle/>
              <a:p>
                <a:pPr>
                  <a:defRPr/>
                </a:pPr>
                <a:r>
                  <a:rPr lang="en-US"/>
                  <a:t>Age (yr)</a:t>
                </a:r>
              </a:p>
            </c:rich>
          </c:tx>
          <c:layout>
            <c:manualLayout>
              <c:xMode val="edge"/>
              <c:yMode val="edge"/>
              <c:x val="0.488804680664917"/>
              <c:y val="0.89814814814814803"/>
            </c:manualLayout>
          </c:layout>
          <c:overlay val="0"/>
        </c:title>
        <c:numFmt formatCode="General" sourceLinked="1"/>
        <c:majorTickMark val="out"/>
        <c:minorTickMark val="none"/>
        <c:tickLblPos val="nextTo"/>
        <c:crossAx val="-353838912"/>
        <c:crosses val="autoZero"/>
        <c:crossBetween val="midCat"/>
      </c:valAx>
      <c:valAx>
        <c:axId val="-353838912"/>
        <c:scaling>
          <c:orientation val="minMax"/>
        </c:scaling>
        <c:delete val="0"/>
        <c:axPos val="l"/>
        <c:majorGridlines/>
        <c:title>
          <c:tx>
            <c:rich>
              <a:bodyPr/>
              <a:lstStyle/>
              <a:p>
                <a:pPr>
                  <a:defRPr/>
                </a:pPr>
                <a:r>
                  <a:rPr lang="en-US"/>
                  <a:t>Biomass (t dm/tree/yr)</a:t>
                </a:r>
              </a:p>
            </c:rich>
          </c:tx>
          <c:layout>
            <c:manualLayout>
              <c:xMode val="edge"/>
              <c:yMode val="edge"/>
              <c:x val="2.5000000000000001E-2"/>
              <c:y val="0.195230387868183"/>
            </c:manualLayout>
          </c:layout>
          <c:overlay val="0"/>
        </c:title>
        <c:numFmt formatCode="0.00" sourceLinked="1"/>
        <c:majorTickMark val="out"/>
        <c:minorTickMark val="none"/>
        <c:tickLblPos val="nextTo"/>
        <c:crossAx val="-296456544"/>
        <c:crosses val="autoZero"/>
        <c:crossBetween val="midCat"/>
      </c:valAx>
    </c:plotArea>
    <c:legend>
      <c:legendPos val="r"/>
      <c:layout>
        <c:manualLayout>
          <c:xMode val="edge"/>
          <c:yMode val="edge"/>
          <c:x val="0.19914829396325501"/>
          <c:y val="0.14313466025080199"/>
          <c:w val="0.361962817147856"/>
          <c:h val="0.21836030912802601"/>
        </c:manualLayout>
      </c:layout>
      <c:overlay val="0"/>
    </c:legend>
    <c:plotVisOnly val="1"/>
    <c:dispBlanksAs val="gap"/>
    <c:showDLblsOverMax val="0"/>
  </c:chart>
  <c:printSettings>
    <c:headerFooter/>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42812554680665"/>
          <c:y val="5.0925925925925902E-2"/>
          <c:w val="0.72166666666666701"/>
          <c:h val="0.70242672790901095"/>
        </c:manualLayout>
      </c:layout>
      <c:scatterChart>
        <c:scatterStyle val="smoothMarker"/>
        <c:varyColors val="0"/>
        <c:ser>
          <c:idx val="1"/>
          <c:order val="1"/>
          <c:tx>
            <c:v>Latlifah et al. (2014)</c:v>
          </c:tx>
          <c:xVal>
            <c:numRef>
              <c:f>'GC E. Uro'!$N$46:$N$52</c:f>
              <c:numCache>
                <c:formatCode>General</c:formatCode>
                <c:ptCount val="7"/>
                <c:pt idx="0">
                  <c:v>0</c:v>
                </c:pt>
                <c:pt idx="1">
                  <c:v>1</c:v>
                </c:pt>
                <c:pt idx="2">
                  <c:v>2</c:v>
                </c:pt>
                <c:pt idx="3">
                  <c:v>3</c:v>
                </c:pt>
                <c:pt idx="4">
                  <c:v>4</c:v>
                </c:pt>
                <c:pt idx="5">
                  <c:v>5</c:v>
                </c:pt>
                <c:pt idx="6">
                  <c:v>6</c:v>
                </c:pt>
              </c:numCache>
            </c:numRef>
          </c:xVal>
          <c:yVal>
            <c:numRef>
              <c:f>'GC E. Uro'!$P$46:$P$52</c:f>
              <c:numCache>
                <c:formatCode>General</c:formatCode>
                <c:ptCount val="7"/>
                <c:pt idx="1">
                  <c:v>2</c:v>
                </c:pt>
                <c:pt idx="2">
                  <c:v>5.5</c:v>
                </c:pt>
                <c:pt idx="3">
                  <c:v>7.5</c:v>
                </c:pt>
                <c:pt idx="4">
                  <c:v>8.5</c:v>
                </c:pt>
                <c:pt idx="5">
                  <c:v>9</c:v>
                </c:pt>
              </c:numCache>
            </c:numRef>
          </c:yVal>
          <c:smooth val="1"/>
          <c:extLst>
            <c:ext xmlns:c16="http://schemas.microsoft.com/office/drawing/2014/chart" uri="{C3380CC4-5D6E-409C-BE32-E72D297353CC}">
              <c16:uniqueId val="{00000000-D3D4-DC45-A5C9-C2755BB38B2B}"/>
            </c:ext>
          </c:extLst>
        </c:ser>
        <c:dLbls>
          <c:showLegendKey val="0"/>
          <c:showVal val="0"/>
          <c:showCatName val="0"/>
          <c:showSerName val="0"/>
          <c:showPercent val="0"/>
          <c:showBubbleSize val="0"/>
        </c:dLbls>
        <c:axId val="-372330192"/>
        <c:axId val="-343311168"/>
      </c:scatterChart>
      <c:scatterChart>
        <c:scatterStyle val="smoothMarker"/>
        <c:varyColors val="0"/>
        <c:ser>
          <c:idx val="0"/>
          <c:order val="0"/>
          <c:tx>
            <c:v>Sein &amp; Motlinhoner (2011)</c:v>
          </c:tx>
          <c:xVal>
            <c:numRef>
              <c:f>'GC E. Uro'!$N$46:$N$52</c:f>
              <c:numCache>
                <c:formatCode>General</c:formatCode>
                <c:ptCount val="7"/>
                <c:pt idx="0">
                  <c:v>0</c:v>
                </c:pt>
                <c:pt idx="1">
                  <c:v>1</c:v>
                </c:pt>
                <c:pt idx="2">
                  <c:v>2</c:v>
                </c:pt>
                <c:pt idx="3">
                  <c:v>3</c:v>
                </c:pt>
                <c:pt idx="4">
                  <c:v>4</c:v>
                </c:pt>
                <c:pt idx="5">
                  <c:v>5</c:v>
                </c:pt>
                <c:pt idx="6">
                  <c:v>6</c:v>
                </c:pt>
              </c:numCache>
            </c:numRef>
          </c:xVal>
          <c:yVal>
            <c:numRef>
              <c:f>'GC E. Uro'!$O$46:$O$52</c:f>
              <c:numCache>
                <c:formatCode>General</c:formatCode>
                <c:ptCount val="7"/>
                <c:pt idx="0">
                  <c:v>0</c:v>
                </c:pt>
                <c:pt idx="1">
                  <c:v>40</c:v>
                </c:pt>
                <c:pt idx="2">
                  <c:v>70</c:v>
                </c:pt>
                <c:pt idx="3">
                  <c:v>95</c:v>
                </c:pt>
                <c:pt idx="4">
                  <c:v>110</c:v>
                </c:pt>
                <c:pt idx="5">
                  <c:v>115</c:v>
                </c:pt>
                <c:pt idx="6">
                  <c:v>122</c:v>
                </c:pt>
              </c:numCache>
            </c:numRef>
          </c:yVal>
          <c:smooth val="1"/>
          <c:extLst>
            <c:ext xmlns:c16="http://schemas.microsoft.com/office/drawing/2014/chart" uri="{C3380CC4-5D6E-409C-BE32-E72D297353CC}">
              <c16:uniqueId val="{00000001-D3D4-DC45-A5C9-C2755BB38B2B}"/>
            </c:ext>
          </c:extLst>
        </c:ser>
        <c:dLbls>
          <c:showLegendKey val="0"/>
          <c:showVal val="0"/>
          <c:showCatName val="0"/>
          <c:showSerName val="0"/>
          <c:showPercent val="0"/>
          <c:showBubbleSize val="0"/>
        </c:dLbls>
        <c:axId val="-330752144"/>
        <c:axId val="-354553072"/>
      </c:scatterChart>
      <c:valAx>
        <c:axId val="-372330192"/>
        <c:scaling>
          <c:orientation val="minMax"/>
        </c:scaling>
        <c:delete val="0"/>
        <c:axPos val="b"/>
        <c:title>
          <c:tx>
            <c:rich>
              <a:bodyPr/>
              <a:lstStyle/>
              <a:p>
                <a:pPr>
                  <a:defRPr/>
                </a:pPr>
                <a:r>
                  <a:rPr lang="en-US"/>
                  <a:t>Age(yr)</a:t>
                </a:r>
              </a:p>
            </c:rich>
          </c:tx>
          <c:overlay val="0"/>
        </c:title>
        <c:numFmt formatCode="General" sourceLinked="1"/>
        <c:majorTickMark val="out"/>
        <c:minorTickMark val="none"/>
        <c:tickLblPos val="nextTo"/>
        <c:crossAx val="-343311168"/>
        <c:crosses val="autoZero"/>
        <c:crossBetween val="midCat"/>
      </c:valAx>
      <c:valAx>
        <c:axId val="-343311168"/>
        <c:scaling>
          <c:orientation val="minMax"/>
        </c:scaling>
        <c:delete val="0"/>
        <c:axPos val="l"/>
        <c:majorGridlines/>
        <c:title>
          <c:tx>
            <c:rich>
              <a:bodyPr/>
              <a:lstStyle/>
              <a:p>
                <a:pPr>
                  <a:defRPr/>
                </a:pPr>
                <a:r>
                  <a:rPr lang="en-US"/>
                  <a:t>DBH (cm)</a:t>
                </a:r>
              </a:p>
            </c:rich>
          </c:tx>
          <c:overlay val="0"/>
        </c:title>
        <c:numFmt formatCode="General" sourceLinked="1"/>
        <c:majorTickMark val="out"/>
        <c:minorTickMark val="none"/>
        <c:tickLblPos val="nextTo"/>
        <c:crossAx val="-372330192"/>
        <c:crosses val="autoZero"/>
        <c:crossBetween val="midCat"/>
      </c:valAx>
      <c:valAx>
        <c:axId val="-354553072"/>
        <c:scaling>
          <c:orientation val="minMax"/>
        </c:scaling>
        <c:delete val="0"/>
        <c:axPos val="r"/>
        <c:title>
          <c:tx>
            <c:rich>
              <a:bodyPr/>
              <a:lstStyle/>
              <a:p>
                <a:pPr>
                  <a:defRPr/>
                </a:pPr>
                <a:r>
                  <a:rPr lang="en-US"/>
                  <a:t>Volume (m3)</a:t>
                </a:r>
              </a:p>
            </c:rich>
          </c:tx>
          <c:overlay val="0"/>
        </c:title>
        <c:numFmt formatCode="General" sourceLinked="1"/>
        <c:majorTickMark val="out"/>
        <c:minorTickMark val="none"/>
        <c:tickLblPos val="nextTo"/>
        <c:crossAx val="-330752144"/>
        <c:crosses val="max"/>
        <c:crossBetween val="midCat"/>
      </c:valAx>
      <c:valAx>
        <c:axId val="-330752144"/>
        <c:scaling>
          <c:orientation val="minMax"/>
        </c:scaling>
        <c:delete val="1"/>
        <c:axPos val="b"/>
        <c:numFmt formatCode="General" sourceLinked="1"/>
        <c:majorTickMark val="out"/>
        <c:minorTickMark val="none"/>
        <c:tickLblPos val="nextTo"/>
        <c:crossAx val="-354553072"/>
        <c:crosses val="autoZero"/>
        <c:crossBetween val="midCat"/>
      </c:valAx>
    </c:plotArea>
    <c:legend>
      <c:legendPos val="r"/>
      <c:layout>
        <c:manualLayout>
          <c:xMode val="edge"/>
          <c:yMode val="edge"/>
          <c:x val="0.36859273840769902"/>
          <c:y val="0.42091243802858003"/>
          <c:w val="0.30761701662292201"/>
          <c:h val="0.27931321084864402"/>
        </c:manualLayout>
      </c:layout>
      <c:overlay val="0"/>
    </c:legend>
    <c:plotVisOnly val="1"/>
    <c:dispBlanksAs val="gap"/>
    <c:showDLblsOverMax val="0"/>
  </c:chart>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scatterChart>
        <c:scatterStyle val="lineMarker"/>
        <c:varyColors val="0"/>
        <c:ser>
          <c:idx val="0"/>
          <c:order val="0"/>
          <c:spPr>
            <a:ln w="47625">
              <a:noFill/>
            </a:ln>
          </c:spPr>
          <c:trendline>
            <c:trendlineType val="power"/>
            <c:dispRSqr val="0"/>
            <c:dispEq val="0"/>
          </c:trendline>
          <c:trendline>
            <c:trendlineType val="linear"/>
            <c:dispRSqr val="1"/>
            <c:dispEq val="1"/>
            <c:trendlineLbl>
              <c:numFmt formatCode="General" sourceLinked="0"/>
            </c:trendlineLbl>
          </c:trendline>
          <c:xVal>
            <c:numRef>
              <c:f>'CO2 Certificates'!$AN$83:$AN$88</c:f>
              <c:numCache>
                <c:formatCode>General</c:formatCode>
                <c:ptCount val="6"/>
                <c:pt idx="0">
                  <c:v>2010</c:v>
                </c:pt>
                <c:pt idx="1">
                  <c:v>2011</c:v>
                </c:pt>
                <c:pt idx="2">
                  <c:v>2012</c:v>
                </c:pt>
                <c:pt idx="3">
                  <c:v>2013</c:v>
                </c:pt>
                <c:pt idx="4">
                  <c:v>2014</c:v>
                </c:pt>
                <c:pt idx="5">
                  <c:v>2015</c:v>
                </c:pt>
              </c:numCache>
            </c:numRef>
          </c:xVal>
          <c:yVal>
            <c:numRef>
              <c:f>'CO2 Certificates'!$AO$83:$AO$88</c:f>
              <c:numCache>
                <c:formatCode>0</c:formatCode>
                <c:ptCount val="6"/>
                <c:pt idx="0">
                  <c:v>2.6</c:v>
                </c:pt>
                <c:pt idx="1">
                  <c:v>4.6870000000000003</c:v>
                </c:pt>
                <c:pt idx="2">
                  <c:v>7.24</c:v>
                </c:pt>
                <c:pt idx="3">
                  <c:v>10.137700000000001</c:v>
                </c:pt>
                <c:pt idx="4">
                  <c:v>16.989999999999998</c:v>
                </c:pt>
                <c:pt idx="5">
                  <c:v>29.2</c:v>
                </c:pt>
              </c:numCache>
            </c:numRef>
          </c:yVal>
          <c:smooth val="0"/>
          <c:extLst>
            <c:ext xmlns:c16="http://schemas.microsoft.com/office/drawing/2014/chart" uri="{C3380CC4-5D6E-409C-BE32-E72D297353CC}">
              <c16:uniqueId val="{00000002-F6F0-7442-95FF-B817A5176263}"/>
            </c:ext>
          </c:extLst>
        </c:ser>
        <c:dLbls>
          <c:showLegendKey val="0"/>
          <c:showVal val="0"/>
          <c:showCatName val="0"/>
          <c:showSerName val="0"/>
          <c:showPercent val="0"/>
          <c:showBubbleSize val="0"/>
        </c:dLbls>
        <c:axId val="-355323760"/>
        <c:axId val="-297084048"/>
      </c:scatterChart>
      <c:valAx>
        <c:axId val="-355323760"/>
        <c:scaling>
          <c:orientation val="minMax"/>
        </c:scaling>
        <c:delete val="0"/>
        <c:axPos val="b"/>
        <c:numFmt formatCode="General" sourceLinked="1"/>
        <c:majorTickMark val="out"/>
        <c:minorTickMark val="none"/>
        <c:tickLblPos val="nextTo"/>
        <c:crossAx val="-297084048"/>
        <c:crosses val="autoZero"/>
        <c:crossBetween val="midCat"/>
      </c:valAx>
      <c:valAx>
        <c:axId val="-297084048"/>
        <c:scaling>
          <c:orientation val="minMax"/>
        </c:scaling>
        <c:delete val="0"/>
        <c:axPos val="l"/>
        <c:majorGridlines/>
        <c:numFmt formatCode="0" sourceLinked="1"/>
        <c:majorTickMark val="out"/>
        <c:minorTickMark val="none"/>
        <c:tickLblPos val="nextTo"/>
        <c:crossAx val="-355323760"/>
        <c:crosses val="autoZero"/>
        <c:crossBetween val="midCat"/>
      </c:valAx>
    </c:plotArea>
    <c:legend>
      <c:legendPos val="r"/>
      <c:legendEntry>
        <c:idx val="1"/>
        <c:delete val="1"/>
      </c:legendEntry>
      <c:overlay val="0"/>
    </c:legend>
    <c:plotVisOnly val="1"/>
    <c:dispBlanksAs val="gap"/>
    <c:showDLblsOverMax val="0"/>
  </c:chart>
  <c:printSettings>
    <c:headerFooter/>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scatterChart>
        <c:scatterStyle val="smoothMarker"/>
        <c:varyColors val="0"/>
        <c:ser>
          <c:idx val="0"/>
          <c:order val="0"/>
          <c:tx>
            <c:v>good site</c:v>
          </c:tx>
          <c:xVal>
            <c:numRef>
              <c:f>'GC S. Macro'!$M$15:$M$31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Macro'!$N$15:$N$31</c:f>
              <c:numCache>
                <c:formatCode>General</c:formatCode>
                <c:ptCount val="17"/>
                <c:pt idx="0">
                  <c:v>2.4430000000000001</c:v>
                </c:pt>
                <c:pt idx="1">
                  <c:v>2.9487010000000002</c:v>
                </c:pt>
                <c:pt idx="2">
                  <c:v>3.5590821070000009</c:v>
                </c:pt>
                <c:pt idx="3">
                  <c:v>4.2958121031490011</c:v>
                </c:pt>
                <c:pt idx="4">
                  <c:v>5.1850452085008456</c:v>
                </c:pt>
                <c:pt idx="5">
                  <c:v>6.2583495666605202</c:v>
                </c:pt>
                <c:pt idx="6">
                  <c:v>7.5538279269592499</c:v>
                </c:pt>
                <c:pt idx="7">
                  <c:v>9.1174703078398149</c:v>
                </c:pt>
                <c:pt idx="8">
                  <c:v>11.00478666156266</c:v>
                </c:pt>
                <c:pt idx="9">
                  <c:v>13.282777500506132</c:v>
                </c:pt>
                <c:pt idx="10">
                  <c:v>16.0323124431109</c:v>
                </c:pt>
                <c:pt idx="11">
                  <c:v>19.351001118834859</c:v>
                </c:pt>
                <c:pt idx="12">
                  <c:v>23.356658350433683</c:v>
                </c:pt>
                <c:pt idx="13">
                  <c:v>28.191486628973454</c:v>
                </c:pt>
                <c:pt idx="14">
                  <c:v>34.027124361170962</c:v>
                </c:pt>
                <c:pt idx="15">
                  <c:v>41.070739103933349</c:v>
                </c:pt>
                <c:pt idx="16">
                  <c:v>49.572382098447576</c:v>
                </c:pt>
              </c:numCache>
            </c:numRef>
          </c:yVal>
          <c:smooth val="1"/>
          <c:extLst>
            <c:ext xmlns:c16="http://schemas.microsoft.com/office/drawing/2014/chart" uri="{C3380CC4-5D6E-409C-BE32-E72D297353CC}">
              <c16:uniqueId val="{00000000-0F78-604A-A4B2-F71F3AA0B7FF}"/>
            </c:ext>
          </c:extLst>
        </c:ser>
        <c:ser>
          <c:idx val="1"/>
          <c:order val="1"/>
          <c:tx>
            <c:v>moderate site</c:v>
          </c:tx>
          <c:xVal>
            <c:numRef>
              <c:f>'GC S. Macro'!$M$15:$M$31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Macro'!$O$15:$O$31</c:f>
              <c:numCache>
                <c:formatCode>General</c:formatCode>
                <c:ptCount val="17"/>
                <c:pt idx="0">
                  <c:v>1.736</c:v>
                </c:pt>
                <c:pt idx="1">
                  <c:v>2.0554239999999999</c:v>
                </c:pt>
                <c:pt idx="2">
                  <c:v>2.4336220159999997</c:v>
                </c:pt>
                <c:pt idx="3">
                  <c:v>2.8814084669439994</c:v>
                </c:pt>
                <c:pt idx="4">
                  <c:v>3.4115876248616948</c:v>
                </c:pt>
                <c:pt idx="5">
                  <c:v>4.039319747836247</c:v>
                </c:pt>
                <c:pt idx="6">
                  <c:v>4.7825545814381147</c:v>
                </c:pt>
                <c:pt idx="7">
                  <c:v>5.6625446244227282</c:v>
                </c:pt>
                <c:pt idx="8">
                  <c:v>6.7044528353165092</c:v>
                </c:pt>
                <c:pt idx="9">
                  <c:v>7.938072157014747</c:v>
                </c:pt>
                <c:pt idx="10">
                  <c:v>9.3986774339054584</c:v>
                </c:pt>
                <c:pt idx="11">
                  <c:v>11.128034081744062</c:v>
                </c:pt>
                <c:pt idx="12">
                  <c:v>13.175592352784967</c:v>
                </c:pt>
                <c:pt idx="13">
                  <c:v>15.599901345697404</c:v>
                </c:pt>
                <c:pt idx="14">
                  <c:v>18.470283193305718</c:v>
                </c:pt>
                <c:pt idx="15">
                  <c:v>21.868815300873973</c:v>
                </c:pt>
                <c:pt idx="16">
                  <c:v>25.892677316234778</c:v>
                </c:pt>
              </c:numCache>
            </c:numRef>
          </c:yVal>
          <c:smooth val="1"/>
          <c:extLst>
            <c:ext xmlns:c16="http://schemas.microsoft.com/office/drawing/2014/chart" uri="{C3380CC4-5D6E-409C-BE32-E72D297353CC}">
              <c16:uniqueId val="{00000001-0F78-604A-A4B2-F71F3AA0B7FF}"/>
            </c:ext>
          </c:extLst>
        </c:ser>
        <c:ser>
          <c:idx val="2"/>
          <c:order val="2"/>
          <c:tx>
            <c:v>poor site</c:v>
          </c:tx>
          <c:xVal>
            <c:numRef>
              <c:f>'GC S. Macro'!$M$15:$M$31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Macro'!$P$15:$P$31</c:f>
              <c:numCache>
                <c:formatCode>General</c:formatCode>
                <c:ptCount val="17"/>
                <c:pt idx="0">
                  <c:v>0.91900000000000004</c:v>
                </c:pt>
                <c:pt idx="1">
                  <c:v>1.1643729999999999</c:v>
                </c:pt>
                <c:pt idx="2">
                  <c:v>1.4752605909999998</c:v>
                </c:pt>
                <c:pt idx="3">
                  <c:v>1.8691551687969996</c:v>
                </c:pt>
                <c:pt idx="4">
                  <c:v>2.3682195988657981</c:v>
                </c:pt>
                <c:pt idx="5">
                  <c:v>3.0005342317629662</c:v>
                </c:pt>
                <c:pt idx="6">
                  <c:v>3.8016768716436782</c:v>
                </c:pt>
                <c:pt idx="7">
                  <c:v>4.8167245963725396</c:v>
                </c:pt>
                <c:pt idx="8">
                  <c:v>6.1027900636040071</c:v>
                </c:pt>
                <c:pt idx="9">
                  <c:v>7.7322350105862769</c:v>
                </c:pt>
                <c:pt idx="10">
                  <c:v>9.7967417584128107</c:v>
                </c:pt>
                <c:pt idx="11">
                  <c:v>12.41247180790903</c:v>
                </c:pt>
                <c:pt idx="12">
                  <c:v>15.726601780620742</c:v>
                </c:pt>
                <c:pt idx="13">
                  <c:v>19.925604456046475</c:v>
                </c:pt>
                <c:pt idx="14">
                  <c:v>25.245740845810886</c:v>
                </c:pt>
                <c:pt idx="15">
                  <c:v>31.986353651642393</c:v>
                </c:pt>
                <c:pt idx="16">
                  <c:v>40.526710076630899</c:v>
                </c:pt>
              </c:numCache>
            </c:numRef>
          </c:yVal>
          <c:smooth val="1"/>
          <c:extLst>
            <c:ext xmlns:c16="http://schemas.microsoft.com/office/drawing/2014/chart" uri="{C3380CC4-5D6E-409C-BE32-E72D297353CC}">
              <c16:uniqueId val="{00000002-0F78-604A-A4B2-F71F3AA0B7FF}"/>
            </c:ext>
          </c:extLst>
        </c:ser>
        <c:ser>
          <c:idx val="3"/>
          <c:order val="3"/>
          <c:tx>
            <c:v>1.25 cm/yr</c:v>
          </c:tx>
          <c:xVal>
            <c:numRef>
              <c:f>'GC S. Macro'!$M$15:$M$31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Macro'!$Q$15:$Q$31</c:f>
              <c:numCache>
                <c:formatCode>General</c:formatCode>
                <c:ptCount val="17"/>
                <c:pt idx="0">
                  <c:v>0</c:v>
                </c:pt>
                <c:pt idx="1">
                  <c:v>1.25</c:v>
                </c:pt>
                <c:pt idx="2">
                  <c:v>2.5</c:v>
                </c:pt>
                <c:pt idx="3">
                  <c:v>3.75</c:v>
                </c:pt>
                <c:pt idx="4">
                  <c:v>5</c:v>
                </c:pt>
                <c:pt idx="5">
                  <c:v>6.25</c:v>
                </c:pt>
                <c:pt idx="6">
                  <c:v>7.5</c:v>
                </c:pt>
                <c:pt idx="7">
                  <c:v>8.75</c:v>
                </c:pt>
                <c:pt idx="8">
                  <c:v>10</c:v>
                </c:pt>
                <c:pt idx="9">
                  <c:v>11.25</c:v>
                </c:pt>
                <c:pt idx="10">
                  <c:v>12.5</c:v>
                </c:pt>
                <c:pt idx="11">
                  <c:v>13.75</c:v>
                </c:pt>
                <c:pt idx="12">
                  <c:v>15</c:v>
                </c:pt>
                <c:pt idx="13">
                  <c:v>16.25</c:v>
                </c:pt>
                <c:pt idx="14">
                  <c:v>17.5</c:v>
                </c:pt>
                <c:pt idx="15">
                  <c:v>18.75</c:v>
                </c:pt>
                <c:pt idx="16">
                  <c:v>19.75</c:v>
                </c:pt>
              </c:numCache>
            </c:numRef>
          </c:yVal>
          <c:smooth val="1"/>
          <c:extLst>
            <c:ext xmlns:c16="http://schemas.microsoft.com/office/drawing/2014/chart" uri="{C3380CC4-5D6E-409C-BE32-E72D297353CC}">
              <c16:uniqueId val="{00000003-0F78-604A-A4B2-F71F3AA0B7FF}"/>
            </c:ext>
          </c:extLst>
        </c:ser>
        <c:dLbls>
          <c:showLegendKey val="0"/>
          <c:showVal val="0"/>
          <c:showCatName val="0"/>
          <c:showSerName val="0"/>
          <c:showPercent val="0"/>
          <c:showBubbleSize val="0"/>
        </c:dLbls>
        <c:axId val="-330610208"/>
        <c:axId val="-343610768"/>
      </c:scatterChart>
      <c:valAx>
        <c:axId val="-330610208"/>
        <c:scaling>
          <c:orientation val="minMax"/>
        </c:scaling>
        <c:delete val="0"/>
        <c:axPos val="b"/>
        <c:title>
          <c:tx>
            <c:rich>
              <a:bodyPr/>
              <a:lstStyle/>
              <a:p>
                <a:pPr>
                  <a:defRPr/>
                </a:pPr>
                <a:r>
                  <a:rPr lang="en-US"/>
                  <a:t>Age (yrs)</a:t>
                </a:r>
              </a:p>
            </c:rich>
          </c:tx>
          <c:overlay val="0"/>
        </c:title>
        <c:numFmt formatCode="General" sourceLinked="1"/>
        <c:majorTickMark val="out"/>
        <c:minorTickMark val="none"/>
        <c:tickLblPos val="nextTo"/>
        <c:crossAx val="-343610768"/>
        <c:crosses val="autoZero"/>
        <c:crossBetween val="midCat"/>
      </c:valAx>
      <c:valAx>
        <c:axId val="-343610768"/>
        <c:scaling>
          <c:orientation val="minMax"/>
        </c:scaling>
        <c:delete val="0"/>
        <c:axPos val="l"/>
        <c:majorGridlines/>
        <c:title>
          <c:tx>
            <c:rich>
              <a:bodyPr/>
              <a:lstStyle/>
              <a:p>
                <a:pPr>
                  <a:defRPr/>
                </a:pPr>
                <a:r>
                  <a:rPr lang="en-US"/>
                  <a:t>DBH (cm)</a:t>
                </a:r>
              </a:p>
            </c:rich>
          </c:tx>
          <c:overlay val="0"/>
        </c:title>
        <c:numFmt formatCode="General" sourceLinked="1"/>
        <c:majorTickMark val="out"/>
        <c:minorTickMark val="none"/>
        <c:tickLblPos val="nextTo"/>
        <c:crossAx val="-330610208"/>
        <c:crosses val="autoZero"/>
        <c:crossBetween val="midCat"/>
      </c:valAx>
    </c:plotArea>
    <c:legend>
      <c:legendPos val="r"/>
      <c:overlay val="0"/>
    </c:legend>
    <c:plotVisOnly val="1"/>
    <c:dispBlanksAs val="gap"/>
    <c:showDLblsOverMax val="0"/>
  </c:chart>
  <c:printSettings>
    <c:headerFooter/>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scatterChart>
        <c:scatterStyle val="smoothMarker"/>
        <c:varyColors val="0"/>
        <c:ser>
          <c:idx val="0"/>
          <c:order val="0"/>
          <c:xVal>
            <c:numRef>
              <c:f>'GC S. Macro'!$X$15:$X$31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Macro'!$Y$15:$Y$31</c:f>
              <c:numCache>
                <c:formatCode>General</c:formatCode>
                <c:ptCount val="17"/>
                <c:pt idx="0">
                  <c:v>1.8426952576399845E-3</c:v>
                </c:pt>
                <c:pt idx="1">
                  <c:v>2.6717926062222001E-3</c:v>
                </c:pt>
                <c:pt idx="2">
                  <c:v>3.8739317860980202E-3</c:v>
                </c:pt>
                <c:pt idx="3">
                  <c:v>5.6169582356021021E-3</c:v>
                </c:pt>
                <c:pt idx="4">
                  <c:v>8.1442373181993891E-3</c:v>
                </c:pt>
                <c:pt idx="5">
                  <c:v>1.1808633554499183E-2</c:v>
                </c:pt>
                <c:pt idx="6">
                  <c:v>1.7121778378539902E-2</c:v>
                </c:pt>
                <c:pt idx="7">
                  <c:v>2.4825505295838553E-2</c:v>
                </c:pt>
                <c:pt idx="8">
                  <c:v>3.5995426384339495E-2</c:v>
                </c:pt>
                <c:pt idx="9">
                  <c:v>5.2191111727647059E-2</c:v>
                </c:pt>
                <c:pt idx="10">
                  <c:v>7.5673840178562976E-2</c:v>
                </c:pt>
                <c:pt idx="11">
                  <c:v>0.10972232431556335</c:v>
                </c:pt>
                <c:pt idx="12">
                  <c:v>0.15909049183709989</c:v>
                </c:pt>
                <c:pt idx="13">
                  <c:v>0.23067123988532118</c:v>
                </c:pt>
                <c:pt idx="14">
                  <c:v>0.33445883720514752</c:v>
                </c:pt>
                <c:pt idx="15">
                  <c:v>0.48494434694256683</c:v>
                </c:pt>
                <c:pt idx="16">
                  <c:v>0.70313890222402975</c:v>
                </c:pt>
              </c:numCache>
            </c:numRef>
          </c:yVal>
          <c:smooth val="1"/>
          <c:extLst>
            <c:ext xmlns:c16="http://schemas.microsoft.com/office/drawing/2014/chart" uri="{C3380CC4-5D6E-409C-BE32-E72D297353CC}">
              <c16:uniqueId val="{00000000-36A0-EA4B-A450-3398B81299D9}"/>
            </c:ext>
          </c:extLst>
        </c:ser>
        <c:ser>
          <c:idx val="1"/>
          <c:order val="1"/>
          <c:xVal>
            <c:numRef>
              <c:f>'GC S. Macro'!$X$15:$X$31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Macro'!$Z$15:$Z$31</c:f>
              <c:numCache>
                <c:formatCode>General</c:formatCode>
                <c:ptCount val="17"/>
                <c:pt idx="0">
                  <c:v>9.3854795782791201E-4</c:v>
                </c:pt>
                <c:pt idx="1">
                  <c:v>1.3101039705104495E-3</c:v>
                </c:pt>
                <c:pt idx="2">
                  <c:v>1.8287530213367651E-3</c:v>
                </c:pt>
                <c:pt idx="3">
                  <c:v>2.5527268738413998E-3</c:v>
                </c:pt>
                <c:pt idx="4">
                  <c:v>3.5633103083918785E-3</c:v>
                </c:pt>
                <c:pt idx="5">
                  <c:v>4.9739674400751032E-3</c:v>
                </c:pt>
                <c:pt idx="6">
                  <c:v>6.9430809987728985E-3</c:v>
                </c:pt>
                <c:pt idx="7">
                  <c:v>9.6917348849379376E-3</c:v>
                </c:pt>
                <c:pt idx="8">
                  <c:v>1.3528536552652031E-2</c:v>
                </c:pt>
                <c:pt idx="9">
                  <c:v>1.8884266174147842E-2</c:v>
                </c:pt>
                <c:pt idx="10">
                  <c:v>2.6360242850225809E-2</c:v>
                </c:pt>
                <c:pt idx="11">
                  <c:v>3.6795838223999046E-2</c:v>
                </c:pt>
                <c:pt idx="12">
                  <c:v>5.1362717646400977E-2</c:v>
                </c:pt>
                <c:pt idx="13">
                  <c:v>7.1696389900509666E-2</c:v>
                </c:pt>
                <c:pt idx="14">
                  <c:v>0.10007983534193091</c:v>
                </c:pt>
                <c:pt idx="15">
                  <c:v>0.13969982946096443</c:v>
                </c:pt>
                <c:pt idx="16">
                  <c:v>0.19500474081261604</c:v>
                </c:pt>
              </c:numCache>
            </c:numRef>
          </c:yVal>
          <c:smooth val="1"/>
          <c:extLst>
            <c:ext xmlns:c16="http://schemas.microsoft.com/office/drawing/2014/chart" uri="{C3380CC4-5D6E-409C-BE32-E72D297353CC}">
              <c16:uniqueId val="{00000001-36A0-EA4B-A450-3398B81299D9}"/>
            </c:ext>
          </c:extLst>
        </c:ser>
        <c:ser>
          <c:idx val="2"/>
          <c:order val="2"/>
          <c:xVal>
            <c:numRef>
              <c:f>'GC S. Macro'!$X$15:$X$31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Macro'!$AA$15:$AA$31</c:f>
              <c:numCache>
                <c:formatCode>General</c:formatCode>
                <c:ptCount val="17"/>
                <c:pt idx="0">
                  <c:v>2.6728243690769295E-4</c:v>
                </c:pt>
                <c:pt idx="1">
                  <c:v>4.265066112605012E-4</c:v>
                </c:pt>
                <c:pt idx="2">
                  <c:v>6.8058302503332438E-4</c:v>
                </c:pt>
                <c:pt idx="3">
                  <c:v>1.0860165862249715E-3</c:v>
                </c:pt>
                <c:pt idx="4">
                  <c:v>1.7329730277918566E-3</c:v>
                </c:pt>
                <c:pt idx="5">
                  <c:v>2.7653311681852671E-3</c:v>
                </c:pt>
                <c:pt idx="6">
                  <c:v>4.4126806055837606E-3</c:v>
                </c:pt>
                <c:pt idx="7">
                  <c:v>7.0413809206342822E-3</c:v>
                </c:pt>
                <c:pt idx="8">
                  <c:v>1.1236037615487774E-2</c:v>
                </c:pt>
                <c:pt idx="9">
                  <c:v>1.7929514497176769E-2</c:v>
                </c:pt>
                <c:pt idx="10">
                  <c:v>2.8610396396444981E-2</c:v>
                </c:pt>
                <c:pt idx="11">
                  <c:v>4.5654040553669423E-2</c:v>
                </c:pt>
                <c:pt idx="12">
                  <c:v>7.2850840302760705E-2</c:v>
                </c:pt>
                <c:pt idx="13">
                  <c:v>0.11624918339000703</c:v>
                </c:pt>
                <c:pt idx="14">
                  <c:v>0.18550057326286473</c:v>
                </c:pt>
                <c:pt idx="15">
                  <c:v>0.29600605937511792</c:v>
                </c:pt>
                <c:pt idx="16">
                  <c:v>0.47234132836141668</c:v>
                </c:pt>
              </c:numCache>
            </c:numRef>
          </c:yVal>
          <c:smooth val="1"/>
          <c:extLst>
            <c:ext xmlns:c16="http://schemas.microsoft.com/office/drawing/2014/chart" uri="{C3380CC4-5D6E-409C-BE32-E72D297353CC}">
              <c16:uniqueId val="{00000002-36A0-EA4B-A450-3398B81299D9}"/>
            </c:ext>
          </c:extLst>
        </c:ser>
        <c:ser>
          <c:idx val="3"/>
          <c:order val="3"/>
          <c:xVal>
            <c:numRef>
              <c:f>'GC S. Macro'!$X$15:$X$31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Macro'!$AB$15:$AB$31</c:f>
              <c:numCache>
                <c:formatCode>General</c:formatCode>
                <c:ptCount val="17"/>
                <c:pt idx="0">
                  <c:v>0</c:v>
                </c:pt>
                <c:pt idx="1">
                  <c:v>4.9066214974882575E-4</c:v>
                </c:pt>
                <c:pt idx="2">
                  <c:v>1.9285611480963046E-3</c:v>
                </c:pt>
                <c:pt idx="3">
                  <c:v>4.2950168579106258E-3</c:v>
                </c:pt>
                <c:pt idx="4">
                  <c:v>7.5802629239905758E-3</c:v>
                </c:pt>
                <c:pt idx="5">
                  <c:v>1.1777543071394989E-2</c:v>
                </c:pt>
                <c:pt idx="6">
                  <c:v>1.6881682532115715E-2</c:v>
                </c:pt>
                <c:pt idx="7">
                  <c:v>2.2888487461144056E-2</c:v>
                </c:pt>
                <c:pt idx="8">
                  <c:v>2.9794433043279819E-2</c:v>
                </c:pt>
                <c:pt idx="9">
                  <c:v>3.7596480224080311E-2</c:v>
                </c:pt>
                <c:pt idx="10">
                  <c:v>4.6291958731992183E-2</c:v>
                </c:pt>
                <c:pt idx="11">
                  <c:v>5.5878487813710812E-2</c:v>
                </c:pt>
                <c:pt idx="12">
                  <c:v>6.6353920029496471E-2</c:v>
                </c:pt>
                <c:pt idx="13">
                  <c:v>7.7716299949747922E-2</c:v>
                </c:pt>
                <c:pt idx="14">
                  <c:v>8.9963832912011793E-2</c:v>
                </c:pt>
                <c:pt idx="15">
                  <c:v>0.1030948608167651</c:v>
                </c:pt>
                <c:pt idx="16">
                  <c:v>0.11423476063296728</c:v>
                </c:pt>
              </c:numCache>
            </c:numRef>
          </c:yVal>
          <c:smooth val="1"/>
          <c:extLst>
            <c:ext xmlns:c16="http://schemas.microsoft.com/office/drawing/2014/chart" uri="{C3380CC4-5D6E-409C-BE32-E72D297353CC}">
              <c16:uniqueId val="{00000003-36A0-EA4B-A450-3398B81299D9}"/>
            </c:ext>
          </c:extLst>
        </c:ser>
        <c:dLbls>
          <c:showLegendKey val="0"/>
          <c:showVal val="0"/>
          <c:showCatName val="0"/>
          <c:showSerName val="0"/>
          <c:showPercent val="0"/>
          <c:showBubbleSize val="0"/>
        </c:dLbls>
        <c:axId val="-369464240"/>
        <c:axId val="-357695312"/>
      </c:scatterChart>
      <c:valAx>
        <c:axId val="-369464240"/>
        <c:scaling>
          <c:orientation val="minMax"/>
        </c:scaling>
        <c:delete val="0"/>
        <c:axPos val="b"/>
        <c:numFmt formatCode="General" sourceLinked="1"/>
        <c:majorTickMark val="out"/>
        <c:minorTickMark val="none"/>
        <c:tickLblPos val="nextTo"/>
        <c:crossAx val="-357695312"/>
        <c:crosses val="autoZero"/>
        <c:crossBetween val="midCat"/>
      </c:valAx>
      <c:valAx>
        <c:axId val="-357695312"/>
        <c:scaling>
          <c:orientation val="minMax"/>
        </c:scaling>
        <c:delete val="0"/>
        <c:axPos val="l"/>
        <c:majorGridlines/>
        <c:numFmt formatCode="General" sourceLinked="1"/>
        <c:majorTickMark val="out"/>
        <c:minorTickMark val="none"/>
        <c:tickLblPos val="nextTo"/>
        <c:crossAx val="-369464240"/>
        <c:crosses val="autoZero"/>
        <c:crossBetween val="midCat"/>
      </c:valAx>
    </c:plotArea>
    <c:legend>
      <c:legendPos val="r"/>
      <c:overlay val="0"/>
    </c:legend>
    <c:plotVisOnly val="1"/>
    <c:dispBlanksAs val="gap"/>
    <c:showDLblsOverMax val="0"/>
  </c:chart>
  <c:printSettings>
    <c:headerFooter/>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scatterChart>
        <c:scatterStyle val="smoothMarker"/>
        <c:varyColors val="0"/>
        <c:ser>
          <c:idx val="0"/>
          <c:order val="0"/>
          <c:xVal>
            <c:numRef>
              <c:f>'GC S. Macro'!$AF$15:$AF$31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Macro'!$AH$15:$AH$31</c:f>
              <c:numCache>
                <c:formatCode>0.0</c:formatCode>
                <c:ptCount val="17"/>
                <c:pt idx="0">
                  <c:v>0</c:v>
                </c:pt>
                <c:pt idx="1">
                  <c:v>0.18287756632827115</c:v>
                </c:pt>
                <c:pt idx="2">
                  <c:v>1.1281992594488721</c:v>
                </c:pt>
                <c:pt idx="3">
                  <c:v>3.2402270729817881</c:v>
                </c:pt>
                <c:pt idx="4">
                  <c:v>6.8209921087334866</c:v>
                </c:pt>
                <c:pt idx="5">
                  <c:v>12.12152558685343</c:v>
                </c:pt>
                <c:pt idx="6">
                  <c:v>19.360242035238649</c:v>
                </c:pt>
                <c:pt idx="7">
                  <c:v>28.732318783581125</c:v>
                </c:pt>
                <c:pt idx="8">
                  <c:v>40.415284839270363</c:v>
                </c:pt>
                <c:pt idx="9">
                  <c:v>54.572677933199664</c:v>
                </c:pt>
                <c:pt idx="10">
                  <c:v>71.356594897828842</c:v>
                </c:pt>
                <c:pt idx="11">
                  <c:v>90.90955491235178</c:v>
                </c:pt>
                <c:pt idx="12">
                  <c:v>113.3659100202929</c:v>
                </c:pt>
                <c:pt idx="13">
                  <c:v>138.85294339666666</c:v>
                </c:pt>
                <c:pt idx="14">
                  <c:v>167.49174425883984</c:v>
                </c:pt>
                <c:pt idx="15">
                  <c:v>199.39791818016283</c:v>
                </c:pt>
                <c:pt idx="16">
                  <c:v>234.68217306138843</c:v>
                </c:pt>
              </c:numCache>
            </c:numRef>
          </c:yVal>
          <c:smooth val="1"/>
          <c:extLst>
            <c:ext xmlns:c16="http://schemas.microsoft.com/office/drawing/2014/chart" uri="{C3380CC4-5D6E-409C-BE32-E72D297353CC}">
              <c16:uniqueId val="{00000000-345F-F847-BAFD-624E0A0340B8}"/>
            </c:ext>
          </c:extLst>
        </c:ser>
        <c:ser>
          <c:idx val="1"/>
          <c:order val="1"/>
          <c:xVal>
            <c:numRef>
              <c:f>'GC S. Macro'!$AF$15:$AF$31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Macro'!$AL$15:$AL$31</c:f>
              <c:numCache>
                <c:formatCode>0.0000</c:formatCode>
                <c:ptCount val="17"/>
                <c:pt idx="0">
                  <c:v>0</c:v>
                </c:pt>
                <c:pt idx="1">
                  <c:v>8.728911136462747E-2</c:v>
                </c:pt>
                <c:pt idx="2">
                  <c:v>0.55939742204615228</c:v>
                </c:pt>
                <c:pt idx="3">
                  <c:v>1.6582310192067726</c:v>
                </c:pt>
                <c:pt idx="4">
                  <c:v>3.5849313952196882</c:v>
                </c:pt>
                <c:pt idx="5">
                  <c:v>6.5192807456641875</c:v>
                </c:pt>
                <c:pt idx="6">
                  <c:v>10.626871356570261</c:v>
                </c:pt>
                <c:pt idx="7">
                  <c:v>16.062857977050463</c:v>
                </c:pt>
                <c:pt idx="8">
                  <c:v>22.974244431486667</c:v>
                </c:pt>
                <c:pt idx="9">
                  <c:v>31.50141031420576</c:v>
                </c:pt>
                <c:pt idx="10">
                  <c:v>41.779195431212756</c:v>
                </c:pt>
                <c:pt idx="11">
                  <c:v>53.937705594166793</c:v>
                </c:pt>
                <c:pt idx="12">
                  <c:v>68.102932294147237</c:v>
                </c:pt>
                <c:pt idx="13">
                  <c:v>84.397242346188236</c:v>
                </c:pt>
                <c:pt idx="14">
                  <c:v>102.93977338732246</c:v>
                </c:pt>
                <c:pt idx="15">
                  <c:v>123.84675919336465</c:v>
                </c:pt>
                <c:pt idx="16">
                  <c:v>147.23180139556047</c:v>
                </c:pt>
              </c:numCache>
            </c:numRef>
          </c:yVal>
          <c:smooth val="1"/>
          <c:extLst>
            <c:ext xmlns:c16="http://schemas.microsoft.com/office/drawing/2014/chart" uri="{C3380CC4-5D6E-409C-BE32-E72D297353CC}">
              <c16:uniqueId val="{00000001-345F-F847-BAFD-624E0A0340B8}"/>
            </c:ext>
          </c:extLst>
        </c:ser>
        <c:ser>
          <c:idx val="2"/>
          <c:order val="2"/>
          <c:xVal>
            <c:numRef>
              <c:f>'GC S. Macro'!$AF$15:$AF$31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Macro'!$AQ$15:$AQ$31</c:f>
              <c:numCache>
                <c:formatCode>0.0000</c:formatCode>
                <c:ptCount val="17"/>
                <c:pt idx="0">
                  <c:v>0</c:v>
                </c:pt>
                <c:pt idx="1">
                  <c:v>8.728911136462747E-2</c:v>
                </c:pt>
                <c:pt idx="2">
                  <c:v>0.55939742204615228</c:v>
                </c:pt>
                <c:pt idx="3">
                  <c:v>1.6582310192067726</c:v>
                </c:pt>
                <c:pt idx="4">
                  <c:v>3.5849313952196882</c:v>
                </c:pt>
                <c:pt idx="5">
                  <c:v>6.5192807456641875</c:v>
                </c:pt>
                <c:pt idx="6">
                  <c:v>10.626871356570261</c:v>
                </c:pt>
                <c:pt idx="7">
                  <c:v>16.062857977050463</c:v>
                </c:pt>
                <c:pt idx="8">
                  <c:v>22.974244431486667</c:v>
                </c:pt>
                <c:pt idx="9">
                  <c:v>31.50141031420576</c:v>
                </c:pt>
                <c:pt idx="10">
                  <c:v>41.779195431212756</c:v>
                </c:pt>
                <c:pt idx="11">
                  <c:v>53.937705594166793</c:v>
                </c:pt>
                <c:pt idx="12">
                  <c:v>68.102932294147237</c:v>
                </c:pt>
                <c:pt idx="13">
                  <c:v>84.397242346188236</c:v>
                </c:pt>
                <c:pt idx="14">
                  <c:v>102.93977338732246</c:v>
                </c:pt>
                <c:pt idx="15">
                  <c:v>123.84675919336465</c:v>
                </c:pt>
                <c:pt idx="16">
                  <c:v>147.23180139556047</c:v>
                </c:pt>
              </c:numCache>
            </c:numRef>
          </c:yVal>
          <c:smooth val="1"/>
          <c:extLst>
            <c:ext xmlns:c16="http://schemas.microsoft.com/office/drawing/2014/chart" uri="{C3380CC4-5D6E-409C-BE32-E72D297353CC}">
              <c16:uniqueId val="{00000002-345F-F847-BAFD-624E0A0340B8}"/>
            </c:ext>
          </c:extLst>
        </c:ser>
        <c:dLbls>
          <c:showLegendKey val="0"/>
          <c:showVal val="0"/>
          <c:showCatName val="0"/>
          <c:showSerName val="0"/>
          <c:showPercent val="0"/>
          <c:showBubbleSize val="0"/>
        </c:dLbls>
        <c:axId val="-330773024"/>
        <c:axId val="-373629216"/>
      </c:scatterChart>
      <c:valAx>
        <c:axId val="-330773024"/>
        <c:scaling>
          <c:orientation val="minMax"/>
        </c:scaling>
        <c:delete val="0"/>
        <c:axPos val="b"/>
        <c:numFmt formatCode="General" sourceLinked="1"/>
        <c:majorTickMark val="out"/>
        <c:minorTickMark val="none"/>
        <c:tickLblPos val="nextTo"/>
        <c:crossAx val="-373629216"/>
        <c:crosses val="autoZero"/>
        <c:crossBetween val="midCat"/>
      </c:valAx>
      <c:valAx>
        <c:axId val="-373629216"/>
        <c:scaling>
          <c:orientation val="minMax"/>
        </c:scaling>
        <c:delete val="0"/>
        <c:axPos val="l"/>
        <c:majorGridlines/>
        <c:numFmt formatCode="0.0" sourceLinked="1"/>
        <c:majorTickMark val="out"/>
        <c:minorTickMark val="none"/>
        <c:tickLblPos val="nextTo"/>
        <c:crossAx val="-330773024"/>
        <c:crosses val="autoZero"/>
        <c:crossBetween val="midCat"/>
      </c:valAx>
    </c:plotArea>
    <c:legend>
      <c:legendPos val="r"/>
      <c:overlay val="0"/>
    </c:legend>
    <c:plotVisOnly val="1"/>
    <c:dispBlanksAs val="gap"/>
    <c:showDLblsOverMax val="0"/>
  </c:chart>
  <c:printSettings>
    <c:headerFooter/>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3080070372674801"/>
          <c:y val="5.0925925925925902E-2"/>
          <c:w val="0.81618786071359595"/>
          <c:h val="0.72979591245947195"/>
        </c:manualLayout>
      </c:layout>
      <c:scatterChart>
        <c:scatterStyle val="smoothMarker"/>
        <c:varyColors val="0"/>
        <c:ser>
          <c:idx val="0"/>
          <c:order val="0"/>
          <c:tx>
            <c:v>Krishnawati (2011)</c:v>
          </c:tx>
          <c:xVal>
            <c:numRef>
              <c:f>'GC S. Macro'!$B$24:$B$31</c:f>
              <c:numCache>
                <c:formatCode>General</c:formatCode>
                <c:ptCount val="8"/>
                <c:pt idx="0">
                  <c:v>0</c:v>
                </c:pt>
                <c:pt idx="1">
                  <c:v>5</c:v>
                </c:pt>
                <c:pt idx="2">
                  <c:v>10</c:v>
                </c:pt>
                <c:pt idx="3">
                  <c:v>15</c:v>
                </c:pt>
                <c:pt idx="4">
                  <c:v>20</c:v>
                </c:pt>
                <c:pt idx="5">
                  <c:v>25</c:v>
                </c:pt>
                <c:pt idx="6">
                  <c:v>30</c:v>
                </c:pt>
                <c:pt idx="7">
                  <c:v>35</c:v>
                </c:pt>
              </c:numCache>
            </c:numRef>
          </c:xVal>
          <c:yVal>
            <c:numRef>
              <c:f>'GC S. Macro'!$C$24:$C$31</c:f>
              <c:numCache>
                <c:formatCode>General</c:formatCode>
                <c:ptCount val="8"/>
                <c:pt idx="0">
                  <c:v>0</c:v>
                </c:pt>
                <c:pt idx="1">
                  <c:v>7</c:v>
                </c:pt>
                <c:pt idx="2">
                  <c:v>12</c:v>
                </c:pt>
                <c:pt idx="3">
                  <c:v>18</c:v>
                </c:pt>
                <c:pt idx="4">
                  <c:v>24</c:v>
                </c:pt>
                <c:pt idx="5">
                  <c:v>30</c:v>
                </c:pt>
                <c:pt idx="6">
                  <c:v>35</c:v>
                </c:pt>
                <c:pt idx="7">
                  <c:v>38</c:v>
                </c:pt>
              </c:numCache>
            </c:numRef>
          </c:yVal>
          <c:smooth val="1"/>
          <c:extLst>
            <c:ext xmlns:c16="http://schemas.microsoft.com/office/drawing/2014/chart" uri="{C3380CC4-5D6E-409C-BE32-E72D297353CC}">
              <c16:uniqueId val="{00000000-788C-2445-803B-D6FCF740557C}"/>
            </c:ext>
          </c:extLst>
        </c:ser>
        <c:ser>
          <c:idx val="1"/>
          <c:order val="1"/>
          <c:tx>
            <c:v>Linear Rate</c:v>
          </c:tx>
          <c:xVal>
            <c:numRef>
              <c:f>'GC S. Macro'!$B$24:$B$31</c:f>
              <c:numCache>
                <c:formatCode>General</c:formatCode>
                <c:ptCount val="8"/>
                <c:pt idx="0">
                  <c:v>0</c:v>
                </c:pt>
                <c:pt idx="1">
                  <c:v>5</c:v>
                </c:pt>
                <c:pt idx="2">
                  <c:v>10</c:v>
                </c:pt>
                <c:pt idx="3">
                  <c:v>15</c:v>
                </c:pt>
                <c:pt idx="4">
                  <c:v>20</c:v>
                </c:pt>
                <c:pt idx="5">
                  <c:v>25</c:v>
                </c:pt>
                <c:pt idx="6">
                  <c:v>30</c:v>
                </c:pt>
                <c:pt idx="7">
                  <c:v>35</c:v>
                </c:pt>
              </c:numCache>
            </c:numRef>
          </c:xVal>
          <c:yVal>
            <c:numRef>
              <c:f>'GC S. Macro'!$D$24:$D$31</c:f>
              <c:numCache>
                <c:formatCode>General</c:formatCode>
                <c:ptCount val="8"/>
                <c:pt idx="0">
                  <c:v>0</c:v>
                </c:pt>
                <c:pt idx="1">
                  <c:v>6.25</c:v>
                </c:pt>
                <c:pt idx="2">
                  <c:v>12.5</c:v>
                </c:pt>
                <c:pt idx="3">
                  <c:v>18.75</c:v>
                </c:pt>
                <c:pt idx="4">
                  <c:v>23.75</c:v>
                </c:pt>
                <c:pt idx="5">
                  <c:v>28.75</c:v>
                </c:pt>
                <c:pt idx="6">
                  <c:v>33.75</c:v>
                </c:pt>
                <c:pt idx="7">
                  <c:v>38.75</c:v>
                </c:pt>
              </c:numCache>
            </c:numRef>
          </c:yVal>
          <c:smooth val="1"/>
          <c:extLst>
            <c:ext xmlns:c16="http://schemas.microsoft.com/office/drawing/2014/chart" uri="{C3380CC4-5D6E-409C-BE32-E72D297353CC}">
              <c16:uniqueId val="{00000001-788C-2445-803B-D6FCF740557C}"/>
            </c:ext>
          </c:extLst>
        </c:ser>
        <c:dLbls>
          <c:showLegendKey val="0"/>
          <c:showVal val="0"/>
          <c:showCatName val="0"/>
          <c:showSerName val="0"/>
          <c:showPercent val="0"/>
          <c:showBubbleSize val="0"/>
        </c:dLbls>
        <c:axId val="-297027200"/>
        <c:axId val="-339718896"/>
      </c:scatterChart>
      <c:valAx>
        <c:axId val="-297027200"/>
        <c:scaling>
          <c:orientation val="minMax"/>
        </c:scaling>
        <c:delete val="0"/>
        <c:axPos val="b"/>
        <c:title>
          <c:tx>
            <c:rich>
              <a:bodyPr/>
              <a:lstStyle/>
              <a:p>
                <a:pPr>
                  <a:defRPr/>
                </a:pPr>
                <a:r>
                  <a:rPr lang="en-US"/>
                  <a:t>Age (yr)</a:t>
                </a:r>
              </a:p>
            </c:rich>
          </c:tx>
          <c:overlay val="0"/>
        </c:title>
        <c:numFmt formatCode="General" sourceLinked="1"/>
        <c:majorTickMark val="out"/>
        <c:minorTickMark val="none"/>
        <c:tickLblPos val="nextTo"/>
        <c:crossAx val="-339718896"/>
        <c:crosses val="autoZero"/>
        <c:crossBetween val="midCat"/>
      </c:valAx>
      <c:valAx>
        <c:axId val="-339718896"/>
        <c:scaling>
          <c:orientation val="minMax"/>
        </c:scaling>
        <c:delete val="0"/>
        <c:axPos val="l"/>
        <c:majorGridlines/>
        <c:title>
          <c:tx>
            <c:rich>
              <a:bodyPr/>
              <a:lstStyle/>
              <a:p>
                <a:pPr>
                  <a:defRPr/>
                </a:pPr>
                <a:r>
                  <a:rPr lang="en-US"/>
                  <a:t>DBH (cm)</a:t>
                </a:r>
              </a:p>
            </c:rich>
          </c:tx>
          <c:overlay val="0"/>
        </c:title>
        <c:numFmt formatCode="General" sourceLinked="1"/>
        <c:majorTickMark val="out"/>
        <c:minorTickMark val="none"/>
        <c:tickLblPos val="nextTo"/>
        <c:crossAx val="-297027200"/>
        <c:crosses val="autoZero"/>
        <c:crossBetween val="midCat"/>
      </c:valAx>
    </c:plotArea>
    <c:legend>
      <c:legendPos val="r"/>
      <c:layout>
        <c:manualLayout>
          <c:xMode val="edge"/>
          <c:yMode val="edge"/>
          <c:x val="0.25470384951880998"/>
          <c:y val="9.2208734324876002E-2"/>
          <c:w val="0.288711193117209"/>
          <c:h val="0.132962598425197"/>
        </c:manualLayout>
      </c:layout>
      <c:overlay val="0"/>
    </c:legend>
    <c:plotVisOnly val="1"/>
    <c:dispBlanksAs val="gap"/>
    <c:showDLblsOverMax val="0"/>
  </c:chart>
  <c:printSettings>
    <c:headerFooter/>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5027294310553899"/>
          <c:y val="3.0898876404494399E-2"/>
          <c:w val="0.78659265205732098"/>
          <c:h val="0.83811616289899304"/>
        </c:manualLayout>
      </c:layout>
      <c:scatterChart>
        <c:scatterStyle val="smoothMarker"/>
        <c:varyColors val="0"/>
        <c:ser>
          <c:idx val="0"/>
          <c:order val="0"/>
          <c:tx>
            <c:v>B=0.048 (D^2.68)</c:v>
          </c:tx>
          <c:marker>
            <c:symbol val="none"/>
          </c:marker>
          <c:xVal>
            <c:numRef>
              <c:f>'GC S. Macro'!$BG$16:$BG$46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'GC S. Macro'!$BJ$16:$BJ$46</c:f>
              <c:numCache>
                <c:formatCode>0.000</c:formatCode>
                <c:ptCount val="31"/>
                <c:pt idx="0">
                  <c:v>0</c:v>
                </c:pt>
                <c:pt idx="1">
                  <c:v>8.728911136462747E-2</c:v>
                </c:pt>
                <c:pt idx="2">
                  <c:v>0.55939742204615228</c:v>
                </c:pt>
                <c:pt idx="3">
                  <c:v>1.6582310192067726</c:v>
                </c:pt>
                <c:pt idx="4">
                  <c:v>3.5849313952196882</c:v>
                </c:pt>
                <c:pt idx="5">
                  <c:v>6.5192807456641875</c:v>
                </c:pt>
                <c:pt idx="6">
                  <c:v>10.626871356570261</c:v>
                </c:pt>
                <c:pt idx="7">
                  <c:v>16.062857977050463</c:v>
                </c:pt>
                <c:pt idx="8">
                  <c:v>22.974244431486667</c:v>
                </c:pt>
                <c:pt idx="9">
                  <c:v>31.50141031420576</c:v>
                </c:pt>
                <c:pt idx="10">
                  <c:v>41.779195431212756</c:v>
                </c:pt>
                <c:pt idx="11">
                  <c:v>53.937705594166793</c:v>
                </c:pt>
                <c:pt idx="12">
                  <c:v>68.102932294147237</c:v>
                </c:pt>
                <c:pt idx="13">
                  <c:v>84.397242346188236</c:v>
                </c:pt>
                <c:pt idx="14">
                  <c:v>102.93977338732246</c:v>
                </c:pt>
                <c:pt idx="15">
                  <c:v>123.84675919336465</c:v>
                </c:pt>
                <c:pt idx="16">
                  <c:v>142.35117795283455</c:v>
                </c:pt>
                <c:pt idx="17">
                  <c:v>162.4986465836862</c:v>
                </c:pt>
                <c:pt idx="18">
                  <c:v>184.34529497584407</c:v>
                </c:pt>
                <c:pt idx="19">
                  <c:v>207.94639322185174</c:v>
                </c:pt>
                <c:pt idx="20">
                  <c:v>233.35640349609696</c:v>
                </c:pt>
                <c:pt idx="21">
                  <c:v>260.62902666965516</c:v>
                </c:pt>
                <c:pt idx="22">
                  <c:v>289.81724439355418</c:v>
                </c:pt>
                <c:pt idx="23">
                  <c:v>320.97335725582559</c:v>
                </c:pt>
                <c:pt idx="24">
                  <c:v>354.14901951649614</c:v>
                </c:pt>
                <c:pt idx="25">
                  <c:v>389.39527084354216</c:v>
                </c:pt>
                <c:pt idx="26">
                  <c:v>426.7625654072055</c:v>
                </c:pt>
                <c:pt idx="27">
                  <c:v>466.30079863654134</c:v>
                </c:pt>
                <c:pt idx="28">
                  <c:v>508.05933189810213</c:v>
                </c:pt>
                <c:pt idx="29">
                  <c:v>552.08701532026657</c:v>
                </c:pt>
                <c:pt idx="30">
                  <c:v>598.43220895641048</c:v>
                </c:pt>
              </c:numCache>
            </c:numRef>
          </c:yVal>
          <c:smooth val="1"/>
          <c:extLst>
            <c:ext xmlns:c16="http://schemas.microsoft.com/office/drawing/2014/chart" uri="{C3380CC4-5D6E-409C-BE32-E72D297353CC}">
              <c16:uniqueId val="{00000000-8BC8-F245-B53A-2CEFDA1870DB}"/>
            </c:ext>
          </c:extLst>
        </c:ser>
        <c:ser>
          <c:idx val="1"/>
          <c:order val="1"/>
          <c:tx>
            <c:v>B=0.022 (D^2.92)</c:v>
          </c:tx>
          <c:marker>
            <c:symbol val="none"/>
          </c:marker>
          <c:xVal>
            <c:numRef>
              <c:f>'GC S. Macro'!$BG$16:$BG$46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'GC S. Macro'!$BK$16:$BK$46</c:f>
              <c:numCache>
                <c:formatCode>General</c:formatCode>
                <c:ptCount val="31"/>
                <c:pt idx="0">
                  <c:v>0</c:v>
                </c:pt>
                <c:pt idx="1">
                  <c:v>4.220850002682526E-2</c:v>
                </c:pt>
                <c:pt idx="2">
                  <c:v>0.31945339365756442</c:v>
                </c:pt>
                <c:pt idx="3">
                  <c:v>1.0437439775189443</c:v>
                </c:pt>
                <c:pt idx="4">
                  <c:v>2.417770606737446</c:v>
                </c:pt>
                <c:pt idx="5">
                  <c:v>4.6386577599697647</c:v>
                </c:pt>
                <c:pt idx="6">
                  <c:v>7.8995357692446859</c:v>
                </c:pt>
                <c:pt idx="7">
                  <c:v>12.390424783738695</c:v>
                </c:pt>
                <c:pt idx="8">
                  <c:v>18.298802964258769</c:v>
                </c:pt>
                <c:pt idx="9">
                  <c:v>25.810002485629827</c:v>
                </c:pt>
                <c:pt idx="10">
                  <c:v>35.107501154899388</c:v>
                </c:pt>
                <c:pt idx="11">
                  <c:v>46.373145957945603</c:v>
                </c:pt>
                <c:pt idx="12">
                  <c:v>59.787329760610369</c:v>
                </c:pt>
                <c:pt idx="13">
                  <c:v>75.529134406688343</c:v>
                </c:pt>
                <c:pt idx="14">
                  <c:v>93.776448902674716</c:v>
                </c:pt>
                <c:pt idx="15">
                  <c:v>114.7060686274787</c:v>
                </c:pt>
                <c:pt idx="16">
                  <c:v>133.49918448696857</c:v>
                </c:pt>
                <c:pt idx="17">
                  <c:v>154.211064793285</c:v>
                </c:pt>
                <c:pt idx="18">
                  <c:v>176.93091512901393</c:v>
                </c:pt>
                <c:pt idx="19">
                  <c:v>201.74759753197719</c:v>
                </c:pt>
                <c:pt idx="20">
                  <c:v>228.74964754777244</c:v>
                </c:pt>
                <c:pt idx="21">
                  <c:v>258.02528972278679</c:v>
                </c:pt>
                <c:pt idx="22">
                  <c:v>289.66245174009799</c:v>
                </c:pt>
                <c:pt idx="23">
                  <c:v>323.74877736726984</c:v>
                </c:pt>
                <c:pt idx="24">
                  <c:v>360.37163835823321</c:v>
                </c:pt>
                <c:pt idx="25">
                  <c:v>399.61814542974531</c:v>
                </c:pt>
                <c:pt idx="26">
                  <c:v>441.57515841517278</c:v>
                </c:pt>
                <c:pt idx="27">
                  <c:v>486.32929568376954</c:v>
                </c:pt>
                <c:pt idx="28">
                  <c:v>533.96694290150106</c:v>
                </c:pt>
                <c:pt idx="29">
                  <c:v>584.57426119938509</c:v>
                </c:pt>
                <c:pt idx="30">
                  <c:v>638.2371948068336</c:v>
                </c:pt>
              </c:numCache>
            </c:numRef>
          </c:yVal>
          <c:smooth val="1"/>
          <c:extLst>
            <c:ext xmlns:c16="http://schemas.microsoft.com/office/drawing/2014/chart" uri="{C3380CC4-5D6E-409C-BE32-E72D297353CC}">
              <c16:uniqueId val="{00000001-8BC8-F245-B53A-2CEFDA1870DB}"/>
            </c:ext>
          </c:extLst>
        </c:ser>
        <c:dLbls>
          <c:showLegendKey val="0"/>
          <c:showVal val="0"/>
          <c:showCatName val="0"/>
          <c:showSerName val="0"/>
          <c:showPercent val="0"/>
          <c:showBubbleSize val="0"/>
        </c:dLbls>
        <c:axId val="-357601648"/>
        <c:axId val="-354909904"/>
      </c:scatterChart>
      <c:valAx>
        <c:axId val="-357601648"/>
        <c:scaling>
          <c:orientation val="minMax"/>
          <c:max val="30"/>
        </c:scaling>
        <c:delete val="0"/>
        <c:axPos val="b"/>
        <c:title>
          <c:tx>
            <c:rich>
              <a:bodyPr/>
              <a:lstStyle/>
              <a:p>
                <a:pPr>
                  <a:defRPr/>
                </a:pPr>
                <a:r>
                  <a:rPr lang="en-US"/>
                  <a:t>Age (year)</a:t>
                </a:r>
              </a:p>
            </c:rich>
          </c:tx>
          <c:overlay val="0"/>
        </c:title>
        <c:numFmt formatCode="General" sourceLinked="1"/>
        <c:majorTickMark val="out"/>
        <c:minorTickMark val="none"/>
        <c:tickLblPos val="nextTo"/>
        <c:crossAx val="-354909904"/>
        <c:crosses val="autoZero"/>
        <c:crossBetween val="midCat"/>
      </c:valAx>
      <c:valAx>
        <c:axId val="-354909904"/>
        <c:scaling>
          <c:orientation val="minMax"/>
        </c:scaling>
        <c:delete val="0"/>
        <c:axPos val="l"/>
        <c:majorGridlines/>
        <c:title>
          <c:tx>
            <c:rich>
              <a:bodyPr rot="-5400000" vert="horz"/>
              <a:lstStyle/>
              <a:p>
                <a:pPr>
                  <a:defRPr/>
                </a:pPr>
                <a:r>
                  <a:rPr lang="en-US"/>
                  <a:t>Biomass</a:t>
                </a:r>
              </a:p>
            </c:rich>
          </c:tx>
          <c:overlay val="0"/>
        </c:title>
        <c:numFmt formatCode="0.000" sourceLinked="1"/>
        <c:majorTickMark val="out"/>
        <c:minorTickMark val="none"/>
        <c:tickLblPos val="nextTo"/>
        <c:crossAx val="-357601648"/>
        <c:crosses val="autoZero"/>
        <c:crossBetween val="midCat"/>
      </c:valAx>
    </c:plotArea>
    <c:legend>
      <c:legendPos val="r"/>
      <c:layout>
        <c:manualLayout>
          <c:xMode val="edge"/>
          <c:yMode val="edge"/>
          <c:x val="0.249148293963255"/>
          <c:y val="0.23109762321376501"/>
          <c:w val="0.27853638956735599"/>
          <c:h val="0.183050075201274"/>
        </c:manualLayout>
      </c:layout>
      <c:overlay val="0"/>
    </c:legend>
    <c:plotVisOnly val="1"/>
    <c:dispBlanksAs val="gap"/>
    <c:showDLblsOverMax val="0"/>
  </c:chart>
  <c:printSettings>
    <c:headerFooter/>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42812554680665"/>
          <c:y val="5.0925925925925902E-2"/>
          <c:w val="0.68574540682414697"/>
          <c:h val="0.71631561679790001"/>
        </c:manualLayout>
      </c:layout>
      <c:scatterChart>
        <c:scatterStyle val="smoothMarker"/>
        <c:varyColors val="0"/>
        <c:ser>
          <c:idx val="0"/>
          <c:order val="0"/>
          <c:tx>
            <c:v>DBH (Owra et al. 2009)</c:v>
          </c:tx>
          <c:marker>
            <c:symbol val="none"/>
          </c:marker>
          <c:xVal>
            <c:numRef>
              <c:f>'GC T. Grandis'!$B$9:$B$12</c:f>
              <c:numCache>
                <c:formatCode>General</c:formatCode>
                <c:ptCount val="4"/>
                <c:pt idx="0">
                  <c:v>0</c:v>
                </c:pt>
                <c:pt idx="1">
                  <c:v>5</c:v>
                </c:pt>
                <c:pt idx="2">
                  <c:v>10</c:v>
                </c:pt>
                <c:pt idx="3">
                  <c:v>20</c:v>
                </c:pt>
              </c:numCache>
            </c:numRef>
          </c:xVal>
          <c:yVal>
            <c:numRef>
              <c:f>'GC T. Grandis'!$C$9:$C$12</c:f>
              <c:numCache>
                <c:formatCode>General</c:formatCode>
                <c:ptCount val="4"/>
                <c:pt idx="0">
                  <c:v>0</c:v>
                </c:pt>
                <c:pt idx="1">
                  <c:v>10</c:v>
                </c:pt>
                <c:pt idx="2">
                  <c:v>15</c:v>
                </c:pt>
                <c:pt idx="3">
                  <c:v>23.5</c:v>
                </c:pt>
              </c:numCache>
            </c:numRef>
          </c:yVal>
          <c:smooth val="1"/>
          <c:extLst>
            <c:ext xmlns:c16="http://schemas.microsoft.com/office/drawing/2014/chart" uri="{C3380CC4-5D6E-409C-BE32-E72D297353CC}">
              <c16:uniqueId val="{00000000-CC97-3347-954D-D16F47C76363}"/>
            </c:ext>
          </c:extLst>
        </c:ser>
        <c:ser>
          <c:idx val="2"/>
          <c:order val="2"/>
          <c:tx>
            <c:v>DBH (Schneider et al. 2009)</c:v>
          </c:tx>
          <c:spPr>
            <a:ln w="22225">
              <a:solidFill>
                <a:schemeClr val="accent1"/>
              </a:solidFill>
            </a:ln>
          </c:spPr>
          <c:marker>
            <c:symbol val="none"/>
          </c:marker>
          <c:xVal>
            <c:numRef>
              <c:f>'GC T. Grandis'!$B$9:$B$12</c:f>
              <c:numCache>
                <c:formatCode>General</c:formatCode>
                <c:ptCount val="4"/>
                <c:pt idx="0">
                  <c:v>0</c:v>
                </c:pt>
                <c:pt idx="1">
                  <c:v>5</c:v>
                </c:pt>
                <c:pt idx="2">
                  <c:v>10</c:v>
                </c:pt>
                <c:pt idx="3">
                  <c:v>20</c:v>
                </c:pt>
              </c:numCache>
            </c:numRef>
          </c:xVal>
          <c:yVal>
            <c:numRef>
              <c:f>'GC T. Grandis'!$E$9:$E$12</c:f>
              <c:numCache>
                <c:formatCode>General</c:formatCode>
                <c:ptCount val="4"/>
                <c:pt idx="0">
                  <c:v>0</c:v>
                </c:pt>
                <c:pt idx="1">
                  <c:v>7.55</c:v>
                </c:pt>
                <c:pt idx="2">
                  <c:v>15.1</c:v>
                </c:pt>
                <c:pt idx="3">
                  <c:v>30.2</c:v>
                </c:pt>
              </c:numCache>
            </c:numRef>
          </c:yVal>
          <c:smooth val="1"/>
          <c:extLst>
            <c:ext xmlns:c16="http://schemas.microsoft.com/office/drawing/2014/chart" uri="{C3380CC4-5D6E-409C-BE32-E72D297353CC}">
              <c16:uniqueId val="{00000001-CC97-3347-954D-D16F47C76363}"/>
            </c:ext>
          </c:extLst>
        </c:ser>
        <c:dLbls>
          <c:showLegendKey val="0"/>
          <c:showVal val="0"/>
          <c:showCatName val="0"/>
          <c:showSerName val="0"/>
          <c:showPercent val="0"/>
          <c:showBubbleSize val="0"/>
        </c:dLbls>
        <c:axId val="-343277408"/>
        <c:axId val="-354970464"/>
      </c:scatterChart>
      <c:scatterChart>
        <c:scatterStyle val="smoothMarker"/>
        <c:varyColors val="0"/>
        <c:ser>
          <c:idx val="1"/>
          <c:order val="1"/>
          <c:tx>
            <c:v>H (Owra et al. 2009)</c:v>
          </c:tx>
          <c:marker>
            <c:symbol val="none"/>
          </c:marker>
          <c:xVal>
            <c:numRef>
              <c:f>'GC T. Grandis'!$B$9:$B$12</c:f>
              <c:numCache>
                <c:formatCode>General</c:formatCode>
                <c:ptCount val="4"/>
                <c:pt idx="0">
                  <c:v>0</c:v>
                </c:pt>
                <c:pt idx="1">
                  <c:v>5</c:v>
                </c:pt>
                <c:pt idx="2">
                  <c:v>10</c:v>
                </c:pt>
                <c:pt idx="3">
                  <c:v>20</c:v>
                </c:pt>
              </c:numCache>
            </c:numRef>
          </c:xVal>
          <c:yVal>
            <c:numRef>
              <c:f>'GC T. Grandis'!$D$9:$D$12</c:f>
              <c:numCache>
                <c:formatCode>General</c:formatCode>
                <c:ptCount val="4"/>
                <c:pt idx="0">
                  <c:v>0</c:v>
                </c:pt>
                <c:pt idx="1">
                  <c:v>13</c:v>
                </c:pt>
                <c:pt idx="2">
                  <c:v>16.5</c:v>
                </c:pt>
                <c:pt idx="3">
                  <c:v>21.5</c:v>
                </c:pt>
              </c:numCache>
            </c:numRef>
          </c:yVal>
          <c:smooth val="1"/>
          <c:extLst>
            <c:ext xmlns:c16="http://schemas.microsoft.com/office/drawing/2014/chart" uri="{C3380CC4-5D6E-409C-BE32-E72D297353CC}">
              <c16:uniqueId val="{00000002-CC97-3347-954D-D16F47C76363}"/>
            </c:ext>
          </c:extLst>
        </c:ser>
        <c:ser>
          <c:idx val="3"/>
          <c:order val="3"/>
          <c:tx>
            <c:v>H (Schneider et al. 2009)</c:v>
          </c:tx>
          <c:spPr>
            <a:ln w="22225">
              <a:solidFill>
                <a:schemeClr val="accent2"/>
              </a:solidFill>
            </a:ln>
          </c:spPr>
          <c:marker>
            <c:symbol val="none"/>
          </c:marker>
          <c:xVal>
            <c:numRef>
              <c:f>'GC T. Grandis'!$B$9:$B$12</c:f>
              <c:numCache>
                <c:formatCode>General</c:formatCode>
                <c:ptCount val="4"/>
                <c:pt idx="0">
                  <c:v>0</c:v>
                </c:pt>
                <c:pt idx="1">
                  <c:v>5</c:v>
                </c:pt>
                <c:pt idx="2">
                  <c:v>10</c:v>
                </c:pt>
                <c:pt idx="3">
                  <c:v>20</c:v>
                </c:pt>
              </c:numCache>
            </c:numRef>
          </c:xVal>
          <c:yVal>
            <c:numRef>
              <c:f>'GC T. Grandis'!$F$9:$F$12</c:f>
              <c:numCache>
                <c:formatCode>General</c:formatCode>
                <c:ptCount val="4"/>
                <c:pt idx="0">
                  <c:v>0</c:v>
                </c:pt>
                <c:pt idx="1">
                  <c:v>6.1</c:v>
                </c:pt>
                <c:pt idx="2">
                  <c:v>12.2</c:v>
                </c:pt>
                <c:pt idx="3">
                  <c:v>24.4</c:v>
                </c:pt>
              </c:numCache>
            </c:numRef>
          </c:yVal>
          <c:smooth val="1"/>
          <c:extLst>
            <c:ext xmlns:c16="http://schemas.microsoft.com/office/drawing/2014/chart" uri="{C3380CC4-5D6E-409C-BE32-E72D297353CC}">
              <c16:uniqueId val="{00000003-CC97-3347-954D-D16F47C76363}"/>
            </c:ext>
          </c:extLst>
        </c:ser>
        <c:dLbls>
          <c:showLegendKey val="0"/>
          <c:showVal val="0"/>
          <c:showCatName val="0"/>
          <c:showSerName val="0"/>
          <c:showPercent val="0"/>
          <c:showBubbleSize val="0"/>
        </c:dLbls>
        <c:axId val="-297407168"/>
        <c:axId val="-354822192"/>
      </c:scatterChart>
      <c:valAx>
        <c:axId val="-343277408"/>
        <c:scaling>
          <c:orientation val="minMax"/>
        </c:scaling>
        <c:delete val="0"/>
        <c:axPos val="b"/>
        <c:title>
          <c:tx>
            <c:rich>
              <a:bodyPr/>
              <a:lstStyle/>
              <a:p>
                <a:pPr>
                  <a:defRPr/>
                </a:pPr>
                <a:r>
                  <a:rPr lang="en-US"/>
                  <a:t>Age (yr)</a:t>
                </a:r>
              </a:p>
            </c:rich>
          </c:tx>
          <c:overlay val="0"/>
        </c:title>
        <c:numFmt formatCode="General" sourceLinked="1"/>
        <c:majorTickMark val="out"/>
        <c:minorTickMark val="none"/>
        <c:tickLblPos val="nextTo"/>
        <c:crossAx val="-354970464"/>
        <c:crosses val="autoZero"/>
        <c:crossBetween val="midCat"/>
      </c:valAx>
      <c:valAx>
        <c:axId val="-354970464"/>
        <c:scaling>
          <c:orientation val="minMax"/>
        </c:scaling>
        <c:delete val="0"/>
        <c:axPos val="l"/>
        <c:majorGridlines/>
        <c:title>
          <c:tx>
            <c:rich>
              <a:bodyPr/>
              <a:lstStyle/>
              <a:p>
                <a:pPr>
                  <a:defRPr/>
                </a:pPr>
                <a:r>
                  <a:rPr lang="en-US"/>
                  <a:t>DBH (cm)</a:t>
                </a:r>
              </a:p>
            </c:rich>
          </c:tx>
          <c:overlay val="0"/>
        </c:title>
        <c:numFmt formatCode="General" sourceLinked="1"/>
        <c:majorTickMark val="out"/>
        <c:minorTickMark val="none"/>
        <c:tickLblPos val="nextTo"/>
        <c:crossAx val="-343277408"/>
        <c:crosses val="autoZero"/>
        <c:crossBetween val="midCat"/>
      </c:valAx>
      <c:valAx>
        <c:axId val="-354822192"/>
        <c:scaling>
          <c:orientation val="minMax"/>
        </c:scaling>
        <c:delete val="0"/>
        <c:axPos val="r"/>
        <c:title>
          <c:tx>
            <c:rich>
              <a:bodyPr/>
              <a:lstStyle/>
              <a:p>
                <a:pPr>
                  <a:defRPr/>
                </a:pPr>
                <a:r>
                  <a:rPr lang="en-US"/>
                  <a:t>Height (m)</a:t>
                </a:r>
              </a:p>
            </c:rich>
          </c:tx>
          <c:overlay val="0"/>
        </c:title>
        <c:numFmt formatCode="General" sourceLinked="1"/>
        <c:majorTickMark val="out"/>
        <c:minorTickMark val="none"/>
        <c:tickLblPos val="nextTo"/>
        <c:crossAx val="-297407168"/>
        <c:crosses val="max"/>
        <c:crossBetween val="midCat"/>
      </c:valAx>
      <c:valAx>
        <c:axId val="-297407168"/>
        <c:scaling>
          <c:orientation val="minMax"/>
        </c:scaling>
        <c:delete val="1"/>
        <c:axPos val="b"/>
        <c:numFmt formatCode="General" sourceLinked="1"/>
        <c:majorTickMark val="out"/>
        <c:minorTickMark val="none"/>
        <c:tickLblPos val="nextTo"/>
        <c:crossAx val="-354822192"/>
        <c:crosses val="autoZero"/>
        <c:crossBetween val="midCat"/>
      </c:valAx>
    </c:plotArea>
    <c:legend>
      <c:legendPos val="r"/>
      <c:layout>
        <c:manualLayout>
          <c:xMode val="edge"/>
          <c:yMode val="edge"/>
          <c:x val="0.173162663512827"/>
          <c:y val="6.7903269903761998E-2"/>
          <c:w val="0.36271371761493498"/>
          <c:h val="0.23841426071741001"/>
        </c:manualLayout>
      </c:layout>
      <c:overlay val="0"/>
    </c:legend>
    <c:plotVisOnly val="1"/>
    <c:dispBlanksAs val="gap"/>
    <c:showDLblsOverMax val="0"/>
  </c:chart>
  <c:printSettings>
    <c:headerFooter/>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5689129483814501"/>
          <c:y val="5.0925925925925902E-2"/>
          <c:w val="0.74085433070866102"/>
          <c:h val="0.70242672790901095"/>
        </c:manualLayout>
      </c:layout>
      <c:scatterChart>
        <c:scatterStyle val="smoothMarker"/>
        <c:varyColors val="0"/>
        <c:ser>
          <c:idx val="0"/>
          <c:order val="0"/>
          <c:tx>
            <c:v>Owra et al. (2009)</c:v>
          </c:tx>
          <c:spPr>
            <a:ln w="31750"/>
          </c:spPr>
          <c:marker>
            <c:symbol val="none"/>
          </c:marker>
          <c:xVal>
            <c:numRef>
              <c:f>'GC T. Grandis'!$B$9:$B$13</c:f>
              <c:numCache>
                <c:formatCode>General</c:formatCode>
                <c:ptCount val="5"/>
                <c:pt idx="0">
                  <c:v>0</c:v>
                </c:pt>
                <c:pt idx="1">
                  <c:v>5</c:v>
                </c:pt>
                <c:pt idx="2">
                  <c:v>10</c:v>
                </c:pt>
                <c:pt idx="3">
                  <c:v>20</c:v>
                </c:pt>
                <c:pt idx="4">
                  <c:v>80</c:v>
                </c:pt>
              </c:numCache>
            </c:numRef>
          </c:xVal>
          <c:yVal>
            <c:numRef>
              <c:f>'GC T. Grandis'!$C$9:$C$13</c:f>
              <c:numCache>
                <c:formatCode>General</c:formatCode>
                <c:ptCount val="5"/>
                <c:pt idx="0">
                  <c:v>0</c:v>
                </c:pt>
                <c:pt idx="1">
                  <c:v>10</c:v>
                </c:pt>
                <c:pt idx="2">
                  <c:v>15</c:v>
                </c:pt>
                <c:pt idx="3">
                  <c:v>23.5</c:v>
                </c:pt>
                <c:pt idx="4">
                  <c:v>75</c:v>
                </c:pt>
              </c:numCache>
            </c:numRef>
          </c:yVal>
          <c:smooth val="1"/>
          <c:extLst>
            <c:ext xmlns:c16="http://schemas.microsoft.com/office/drawing/2014/chart" uri="{C3380CC4-5D6E-409C-BE32-E72D297353CC}">
              <c16:uniqueId val="{00000000-60C4-2F41-BFF5-3685ABFB8ACF}"/>
            </c:ext>
          </c:extLst>
        </c:ser>
        <c:ser>
          <c:idx val="1"/>
          <c:order val="1"/>
          <c:tx>
            <c:v>Schneider et al. (2009)</c:v>
          </c:tx>
          <c:spPr>
            <a:ln w="12700">
              <a:solidFill>
                <a:schemeClr val="accent1"/>
              </a:solidFill>
            </a:ln>
          </c:spPr>
          <c:marker>
            <c:symbol val="none"/>
          </c:marker>
          <c:xVal>
            <c:numRef>
              <c:f>'GC T. Grandis'!$B$9:$B$13</c:f>
              <c:numCache>
                <c:formatCode>General</c:formatCode>
                <c:ptCount val="5"/>
                <c:pt idx="0">
                  <c:v>0</c:v>
                </c:pt>
                <c:pt idx="1">
                  <c:v>5</c:v>
                </c:pt>
                <c:pt idx="2">
                  <c:v>10</c:v>
                </c:pt>
                <c:pt idx="3">
                  <c:v>20</c:v>
                </c:pt>
                <c:pt idx="4">
                  <c:v>80</c:v>
                </c:pt>
              </c:numCache>
            </c:numRef>
          </c:xVal>
          <c:yVal>
            <c:numRef>
              <c:f>'GC T. Grandis'!$E$9:$E$13</c:f>
              <c:numCache>
                <c:formatCode>General</c:formatCode>
                <c:ptCount val="5"/>
                <c:pt idx="0">
                  <c:v>0</c:v>
                </c:pt>
                <c:pt idx="1">
                  <c:v>7.55</c:v>
                </c:pt>
                <c:pt idx="2">
                  <c:v>15.1</c:v>
                </c:pt>
                <c:pt idx="3">
                  <c:v>30.2</c:v>
                </c:pt>
                <c:pt idx="4">
                  <c:v>120.8</c:v>
                </c:pt>
              </c:numCache>
            </c:numRef>
          </c:yVal>
          <c:smooth val="1"/>
          <c:extLst>
            <c:ext xmlns:c16="http://schemas.microsoft.com/office/drawing/2014/chart" uri="{C3380CC4-5D6E-409C-BE32-E72D297353CC}">
              <c16:uniqueId val="{00000001-60C4-2F41-BFF5-3685ABFB8ACF}"/>
            </c:ext>
          </c:extLst>
        </c:ser>
        <c:ser>
          <c:idx val="2"/>
          <c:order val="2"/>
          <c:tx>
            <c:v>Perez (2005)</c:v>
          </c:tx>
          <c:spPr>
            <a:ln w="19050">
              <a:solidFill>
                <a:schemeClr val="accent1"/>
              </a:solidFill>
              <a:prstDash val="dash"/>
            </a:ln>
          </c:spPr>
          <c:marker>
            <c:symbol val="none"/>
          </c:marker>
          <c:xVal>
            <c:numRef>
              <c:f>'GC T. Grandis'!$B$9:$B$13</c:f>
              <c:numCache>
                <c:formatCode>General</c:formatCode>
                <c:ptCount val="5"/>
                <c:pt idx="0">
                  <c:v>0</c:v>
                </c:pt>
                <c:pt idx="1">
                  <c:v>5</c:v>
                </c:pt>
                <c:pt idx="2">
                  <c:v>10</c:v>
                </c:pt>
                <c:pt idx="3">
                  <c:v>20</c:v>
                </c:pt>
                <c:pt idx="4">
                  <c:v>80</c:v>
                </c:pt>
              </c:numCache>
            </c:numRef>
          </c:xVal>
          <c:yVal>
            <c:numRef>
              <c:f>'GC T. Grandis'!$K$9:$K$13</c:f>
              <c:numCache>
                <c:formatCode>0.0</c:formatCode>
                <c:ptCount val="5"/>
                <c:pt idx="0">
                  <c:v>0</c:v>
                </c:pt>
                <c:pt idx="1">
                  <c:v>14.488671712665273</c:v>
                </c:pt>
                <c:pt idx="2">
                  <c:v>26.970867282805209</c:v>
                </c:pt>
                <c:pt idx="3">
                  <c:v>43.140793780752304</c:v>
                </c:pt>
                <c:pt idx="4">
                  <c:v>59.741598263187285</c:v>
                </c:pt>
              </c:numCache>
            </c:numRef>
          </c:yVal>
          <c:smooth val="1"/>
          <c:extLst>
            <c:ext xmlns:c16="http://schemas.microsoft.com/office/drawing/2014/chart" uri="{C3380CC4-5D6E-409C-BE32-E72D297353CC}">
              <c16:uniqueId val="{00000002-60C4-2F41-BFF5-3685ABFB8ACF}"/>
            </c:ext>
          </c:extLst>
        </c:ser>
        <c:dLbls>
          <c:showLegendKey val="0"/>
          <c:showVal val="0"/>
          <c:showCatName val="0"/>
          <c:showSerName val="0"/>
          <c:showPercent val="0"/>
          <c:showBubbleSize val="0"/>
        </c:dLbls>
        <c:axId val="-300165232"/>
        <c:axId val="-300360016"/>
      </c:scatterChart>
      <c:valAx>
        <c:axId val="-300165232"/>
        <c:scaling>
          <c:orientation val="minMax"/>
          <c:max val="80"/>
        </c:scaling>
        <c:delete val="0"/>
        <c:axPos val="b"/>
        <c:title>
          <c:tx>
            <c:rich>
              <a:bodyPr/>
              <a:lstStyle/>
              <a:p>
                <a:pPr>
                  <a:defRPr/>
                </a:pPr>
                <a:r>
                  <a:rPr lang="en-US"/>
                  <a:t>Age (yr)</a:t>
                </a:r>
              </a:p>
            </c:rich>
          </c:tx>
          <c:overlay val="0"/>
        </c:title>
        <c:numFmt formatCode="General" sourceLinked="1"/>
        <c:majorTickMark val="out"/>
        <c:minorTickMark val="none"/>
        <c:tickLblPos val="nextTo"/>
        <c:crossAx val="-300360016"/>
        <c:crosses val="autoZero"/>
        <c:crossBetween val="midCat"/>
      </c:valAx>
      <c:valAx>
        <c:axId val="-300360016"/>
        <c:scaling>
          <c:orientation val="minMax"/>
        </c:scaling>
        <c:delete val="0"/>
        <c:axPos val="l"/>
        <c:majorGridlines/>
        <c:title>
          <c:tx>
            <c:rich>
              <a:bodyPr/>
              <a:lstStyle/>
              <a:p>
                <a:pPr>
                  <a:defRPr/>
                </a:pPr>
                <a:r>
                  <a:rPr lang="en-US"/>
                  <a:t>DBH (cm)</a:t>
                </a:r>
              </a:p>
            </c:rich>
          </c:tx>
          <c:overlay val="0"/>
        </c:title>
        <c:numFmt formatCode="General" sourceLinked="1"/>
        <c:majorTickMark val="out"/>
        <c:minorTickMark val="none"/>
        <c:tickLblPos val="nextTo"/>
        <c:crossAx val="-300165232"/>
        <c:crosses val="autoZero"/>
        <c:crossBetween val="midCat"/>
      </c:valAx>
    </c:plotArea>
    <c:legend>
      <c:legendPos val="r"/>
      <c:layout>
        <c:manualLayout>
          <c:xMode val="edge"/>
          <c:yMode val="edge"/>
          <c:x val="0.178314960629921"/>
          <c:y val="0.13368328958880099"/>
          <c:w val="0.39618044619422599"/>
          <c:h val="0.256932779235929"/>
        </c:manualLayout>
      </c:layout>
      <c:overlay val="0"/>
    </c:legend>
    <c:plotVisOnly val="1"/>
    <c:dispBlanksAs val="gap"/>
    <c:showDLblsOverMax val="0"/>
  </c:chart>
  <c:printSettings>
    <c:headerFooter/>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20780183727034"/>
          <c:y val="5.0925925925925902E-2"/>
          <c:w val="0.81528696412948398"/>
          <c:h val="0.75335265383493699"/>
        </c:manualLayout>
      </c:layout>
      <c:scatterChart>
        <c:scatterStyle val="smoothMarker"/>
        <c:varyColors val="0"/>
        <c:ser>
          <c:idx val="0"/>
          <c:order val="0"/>
          <c:tx>
            <c:v>Owra et al. (2009)</c:v>
          </c:tx>
          <c:spPr>
            <a:ln w="31750">
              <a:solidFill>
                <a:schemeClr val="accent2"/>
              </a:solidFill>
            </a:ln>
          </c:spPr>
          <c:marker>
            <c:symbol val="none"/>
          </c:marker>
          <c:xVal>
            <c:numRef>
              <c:f>'GC T. Grandis'!$B$9:$B$13</c:f>
              <c:numCache>
                <c:formatCode>General</c:formatCode>
                <c:ptCount val="5"/>
                <c:pt idx="0">
                  <c:v>0</c:v>
                </c:pt>
                <c:pt idx="1">
                  <c:v>5</c:v>
                </c:pt>
                <c:pt idx="2">
                  <c:v>10</c:v>
                </c:pt>
                <c:pt idx="3">
                  <c:v>20</c:v>
                </c:pt>
                <c:pt idx="4">
                  <c:v>80</c:v>
                </c:pt>
              </c:numCache>
            </c:numRef>
          </c:xVal>
          <c:yVal>
            <c:numRef>
              <c:f>'GC T. Grandis'!$D$9:$D$13</c:f>
              <c:numCache>
                <c:formatCode>General</c:formatCode>
                <c:ptCount val="5"/>
                <c:pt idx="0">
                  <c:v>0</c:v>
                </c:pt>
                <c:pt idx="1">
                  <c:v>13</c:v>
                </c:pt>
                <c:pt idx="2">
                  <c:v>16.5</c:v>
                </c:pt>
                <c:pt idx="3">
                  <c:v>21.5</c:v>
                </c:pt>
                <c:pt idx="4">
                  <c:v>45</c:v>
                </c:pt>
              </c:numCache>
            </c:numRef>
          </c:yVal>
          <c:smooth val="1"/>
          <c:extLst>
            <c:ext xmlns:c16="http://schemas.microsoft.com/office/drawing/2014/chart" uri="{C3380CC4-5D6E-409C-BE32-E72D297353CC}">
              <c16:uniqueId val="{00000000-E9DD-B441-8253-78FB715B2685}"/>
            </c:ext>
          </c:extLst>
        </c:ser>
        <c:ser>
          <c:idx val="1"/>
          <c:order val="1"/>
          <c:tx>
            <c:v>Schneider et al. (2009)</c:v>
          </c:tx>
          <c:spPr>
            <a:ln w="15875"/>
          </c:spPr>
          <c:marker>
            <c:symbol val="none"/>
          </c:marker>
          <c:xVal>
            <c:numRef>
              <c:f>'GC T. Grandis'!$B$9:$B$13</c:f>
              <c:numCache>
                <c:formatCode>General</c:formatCode>
                <c:ptCount val="5"/>
                <c:pt idx="0">
                  <c:v>0</c:v>
                </c:pt>
                <c:pt idx="1">
                  <c:v>5</c:v>
                </c:pt>
                <c:pt idx="2">
                  <c:v>10</c:v>
                </c:pt>
                <c:pt idx="3">
                  <c:v>20</c:v>
                </c:pt>
                <c:pt idx="4">
                  <c:v>80</c:v>
                </c:pt>
              </c:numCache>
            </c:numRef>
          </c:xVal>
          <c:yVal>
            <c:numRef>
              <c:f>'GC T. Grandis'!$F$9:$F$13</c:f>
              <c:numCache>
                <c:formatCode>General</c:formatCode>
                <c:ptCount val="5"/>
                <c:pt idx="0">
                  <c:v>0</c:v>
                </c:pt>
                <c:pt idx="1">
                  <c:v>6.1</c:v>
                </c:pt>
                <c:pt idx="2">
                  <c:v>12.2</c:v>
                </c:pt>
                <c:pt idx="3">
                  <c:v>24.4</c:v>
                </c:pt>
                <c:pt idx="4">
                  <c:v>97.6</c:v>
                </c:pt>
              </c:numCache>
            </c:numRef>
          </c:yVal>
          <c:smooth val="1"/>
          <c:extLst>
            <c:ext xmlns:c16="http://schemas.microsoft.com/office/drawing/2014/chart" uri="{C3380CC4-5D6E-409C-BE32-E72D297353CC}">
              <c16:uniqueId val="{00000001-E9DD-B441-8253-78FB715B2685}"/>
            </c:ext>
          </c:extLst>
        </c:ser>
        <c:ser>
          <c:idx val="2"/>
          <c:order val="2"/>
          <c:tx>
            <c:v>Perez (2005)</c:v>
          </c:tx>
          <c:spPr>
            <a:ln w="19050">
              <a:solidFill>
                <a:schemeClr val="accent2"/>
              </a:solidFill>
              <a:prstDash val="dash"/>
            </a:ln>
          </c:spPr>
          <c:marker>
            <c:symbol val="none"/>
          </c:marker>
          <c:xVal>
            <c:numRef>
              <c:f>'GC T. Grandis'!$B$9:$B$13</c:f>
              <c:numCache>
                <c:formatCode>General</c:formatCode>
                <c:ptCount val="5"/>
                <c:pt idx="0">
                  <c:v>0</c:v>
                </c:pt>
                <c:pt idx="1">
                  <c:v>5</c:v>
                </c:pt>
                <c:pt idx="2">
                  <c:v>10</c:v>
                </c:pt>
                <c:pt idx="3">
                  <c:v>20</c:v>
                </c:pt>
                <c:pt idx="4">
                  <c:v>80</c:v>
                </c:pt>
              </c:numCache>
            </c:numRef>
          </c:xVal>
          <c:yVal>
            <c:numRef>
              <c:f>'GC T. Grandis'!$L$9:$L$13</c:f>
              <c:numCache>
                <c:formatCode>0.0</c:formatCode>
                <c:ptCount val="5"/>
                <c:pt idx="0">
                  <c:v>0</c:v>
                </c:pt>
                <c:pt idx="1">
                  <c:v>11.458768372960389</c:v>
                </c:pt>
                <c:pt idx="2">
                  <c:v>19.714000612052121</c:v>
                </c:pt>
                <c:pt idx="3">
                  <c:v>28.691426114981155</c:v>
                </c:pt>
                <c:pt idx="4">
                  <c:v>34.971257519594367</c:v>
                </c:pt>
              </c:numCache>
            </c:numRef>
          </c:yVal>
          <c:smooth val="1"/>
          <c:extLst>
            <c:ext xmlns:c16="http://schemas.microsoft.com/office/drawing/2014/chart" uri="{C3380CC4-5D6E-409C-BE32-E72D297353CC}">
              <c16:uniqueId val="{00000002-E9DD-B441-8253-78FB715B2685}"/>
            </c:ext>
          </c:extLst>
        </c:ser>
        <c:dLbls>
          <c:showLegendKey val="0"/>
          <c:showVal val="0"/>
          <c:showCatName val="0"/>
          <c:showSerName val="0"/>
          <c:showPercent val="0"/>
          <c:showBubbleSize val="0"/>
        </c:dLbls>
        <c:axId val="-300453328"/>
        <c:axId val="-300106000"/>
      </c:scatterChart>
      <c:valAx>
        <c:axId val="-300453328"/>
        <c:scaling>
          <c:orientation val="minMax"/>
          <c:max val="80"/>
        </c:scaling>
        <c:delete val="0"/>
        <c:axPos val="b"/>
        <c:title>
          <c:tx>
            <c:rich>
              <a:bodyPr/>
              <a:lstStyle/>
              <a:p>
                <a:pPr>
                  <a:defRPr/>
                </a:pPr>
                <a:r>
                  <a:rPr lang="en-US"/>
                  <a:t>Age (yr)</a:t>
                </a:r>
              </a:p>
            </c:rich>
          </c:tx>
          <c:overlay val="0"/>
        </c:title>
        <c:numFmt formatCode="General" sourceLinked="1"/>
        <c:majorTickMark val="out"/>
        <c:minorTickMark val="none"/>
        <c:tickLblPos val="nextTo"/>
        <c:crossAx val="-300106000"/>
        <c:crosses val="autoZero"/>
        <c:crossBetween val="midCat"/>
      </c:valAx>
      <c:valAx>
        <c:axId val="-300106000"/>
        <c:scaling>
          <c:orientation val="minMax"/>
        </c:scaling>
        <c:delete val="0"/>
        <c:axPos val="l"/>
        <c:majorGridlines/>
        <c:title>
          <c:tx>
            <c:rich>
              <a:bodyPr/>
              <a:lstStyle/>
              <a:p>
                <a:pPr>
                  <a:defRPr/>
                </a:pPr>
                <a:r>
                  <a:rPr lang="en-US"/>
                  <a:t>Height (m)</a:t>
                </a:r>
              </a:p>
            </c:rich>
          </c:tx>
          <c:layout>
            <c:manualLayout>
              <c:xMode val="edge"/>
              <c:yMode val="edge"/>
              <c:x val="1.1111111111111099E-2"/>
              <c:y val="0.33522674249052198"/>
            </c:manualLayout>
          </c:layout>
          <c:overlay val="0"/>
        </c:title>
        <c:numFmt formatCode="General" sourceLinked="1"/>
        <c:majorTickMark val="out"/>
        <c:minorTickMark val="none"/>
        <c:tickLblPos val="nextTo"/>
        <c:crossAx val="-300453328"/>
        <c:crosses val="autoZero"/>
        <c:crossBetween val="midCat"/>
      </c:valAx>
    </c:plotArea>
    <c:legend>
      <c:legendPos val="r"/>
      <c:layout>
        <c:manualLayout>
          <c:xMode val="edge"/>
          <c:yMode val="edge"/>
          <c:x val="0.15189348206474201"/>
          <c:y val="0.13368328958880099"/>
          <c:w val="0.37317147856517902"/>
          <c:h val="0.24767351997667"/>
        </c:manualLayout>
      </c:layout>
      <c:overlay val="0"/>
    </c:legend>
    <c:plotVisOnly val="1"/>
    <c:dispBlanksAs val="gap"/>
    <c:showDLblsOverMax val="0"/>
  </c:chart>
  <c:printSettings>
    <c:headerFooter/>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47060983080776"/>
          <c:y val="4.7743055555555497E-2"/>
          <c:w val="0.77591780932989796"/>
          <c:h val="0.77478859749386197"/>
        </c:manualLayout>
      </c:layout>
      <c:scatterChart>
        <c:scatterStyle val="smoothMarker"/>
        <c:varyColors val="0"/>
        <c:ser>
          <c:idx val="0"/>
          <c:order val="0"/>
          <c:tx>
            <c:v>Siregar (2011)</c:v>
          </c:tx>
          <c:spPr>
            <a:ln w="31750">
              <a:solidFill>
                <a:schemeClr val="accent1"/>
              </a:solidFill>
            </a:ln>
          </c:spPr>
          <c:marker>
            <c:spPr>
              <a:noFill/>
            </c:spPr>
          </c:marker>
          <c:xVal>
            <c:numRef>
              <c:f>'GC T. Grandis'!$B$51:$B$59</c:f>
              <c:numCache>
                <c:formatCode>General</c:formatCode>
                <c:ptCount val="9"/>
                <c:pt idx="0">
                  <c:v>1</c:v>
                </c:pt>
                <c:pt idx="1">
                  <c:v>2</c:v>
                </c:pt>
                <c:pt idx="2">
                  <c:v>3</c:v>
                </c:pt>
                <c:pt idx="3">
                  <c:v>4</c:v>
                </c:pt>
                <c:pt idx="4">
                  <c:v>6</c:v>
                </c:pt>
                <c:pt idx="5">
                  <c:v>7</c:v>
                </c:pt>
                <c:pt idx="6">
                  <c:v>9</c:v>
                </c:pt>
                <c:pt idx="7">
                  <c:v>12</c:v>
                </c:pt>
                <c:pt idx="8">
                  <c:v>15</c:v>
                </c:pt>
              </c:numCache>
            </c:numRef>
          </c:xVal>
          <c:yVal>
            <c:numRef>
              <c:f>'GC T. Grandis'!$C$51:$C$59</c:f>
              <c:numCache>
                <c:formatCode>General</c:formatCode>
                <c:ptCount val="9"/>
                <c:pt idx="0">
                  <c:v>6.25</c:v>
                </c:pt>
                <c:pt idx="1">
                  <c:v>8.5166666666666675</c:v>
                </c:pt>
                <c:pt idx="2">
                  <c:v>10.333333333333334</c:v>
                </c:pt>
                <c:pt idx="3">
                  <c:v>14.066666666666668</c:v>
                </c:pt>
                <c:pt idx="4">
                  <c:v>16.399999999999999</c:v>
                </c:pt>
                <c:pt idx="5">
                  <c:v>17.850000000000001</c:v>
                </c:pt>
                <c:pt idx="6">
                  <c:v>17</c:v>
                </c:pt>
                <c:pt idx="7">
                  <c:v>23.75</c:v>
                </c:pt>
                <c:pt idx="8">
                  <c:v>26.2</c:v>
                </c:pt>
              </c:numCache>
            </c:numRef>
          </c:yVal>
          <c:smooth val="1"/>
          <c:extLst>
            <c:ext xmlns:c16="http://schemas.microsoft.com/office/drawing/2014/chart" uri="{C3380CC4-5D6E-409C-BE32-E72D297353CC}">
              <c16:uniqueId val="{00000000-D2FA-9048-A3F6-9DB6A3E1A320}"/>
            </c:ext>
          </c:extLst>
        </c:ser>
        <c:ser>
          <c:idx val="1"/>
          <c:order val="1"/>
          <c:tx>
            <c:v>Perez (2005)</c:v>
          </c:tx>
          <c:spPr>
            <a:ln w="25400"/>
          </c:spPr>
          <c:marker>
            <c:symbol val="none"/>
          </c:marker>
          <c:xVal>
            <c:numRef>
              <c:f>'GC T. Grandis'!$B$51:$B$74</c:f>
              <c:numCache>
                <c:formatCode>General</c:formatCode>
                <c:ptCount val="24"/>
                <c:pt idx="0">
                  <c:v>1</c:v>
                </c:pt>
                <c:pt idx="1">
                  <c:v>2</c:v>
                </c:pt>
                <c:pt idx="2">
                  <c:v>3</c:v>
                </c:pt>
                <c:pt idx="3">
                  <c:v>4</c:v>
                </c:pt>
                <c:pt idx="4">
                  <c:v>6</c:v>
                </c:pt>
                <c:pt idx="5">
                  <c:v>7</c:v>
                </c:pt>
                <c:pt idx="6">
                  <c:v>9</c:v>
                </c:pt>
                <c:pt idx="7">
                  <c:v>12</c:v>
                </c:pt>
                <c:pt idx="8">
                  <c:v>15</c:v>
                </c:pt>
                <c:pt idx="9">
                  <c:v>16</c:v>
                </c:pt>
                <c:pt idx="10">
                  <c:v>17</c:v>
                </c:pt>
                <c:pt idx="11">
                  <c:v>18</c:v>
                </c:pt>
                <c:pt idx="12">
                  <c:v>19</c:v>
                </c:pt>
                <c:pt idx="13">
                  <c:v>20</c:v>
                </c:pt>
                <c:pt idx="14">
                  <c:v>21</c:v>
                </c:pt>
                <c:pt idx="15">
                  <c:v>22</c:v>
                </c:pt>
                <c:pt idx="16">
                  <c:v>23</c:v>
                </c:pt>
                <c:pt idx="17">
                  <c:v>24</c:v>
                </c:pt>
                <c:pt idx="18">
                  <c:v>25</c:v>
                </c:pt>
                <c:pt idx="19">
                  <c:v>26</c:v>
                </c:pt>
                <c:pt idx="20">
                  <c:v>27</c:v>
                </c:pt>
                <c:pt idx="21">
                  <c:v>28</c:v>
                </c:pt>
                <c:pt idx="22">
                  <c:v>29</c:v>
                </c:pt>
                <c:pt idx="23">
                  <c:v>30</c:v>
                </c:pt>
              </c:numCache>
            </c:numRef>
          </c:xVal>
          <c:yVal>
            <c:numRef>
              <c:f>'GC T. Grandis'!$D$51:$D$74</c:f>
              <c:numCache>
                <c:formatCode>0.0</c:formatCode>
                <c:ptCount val="24"/>
                <c:pt idx="0">
                  <c:v>2.6006709349729902</c:v>
                </c:pt>
                <c:pt idx="1">
                  <c:v>5.6025639762749773</c:v>
                </c:pt>
                <c:pt idx="2">
                  <c:v>8.636564158120704</c:v>
                </c:pt>
                <c:pt idx="3">
                  <c:v>11.612042814975451</c:v>
                </c:pt>
                <c:pt idx="4">
                  <c:v>17.246454717507152</c:v>
                </c:pt>
                <c:pt idx="5">
                  <c:v>19.875713635124068</c:v>
                </c:pt>
                <c:pt idx="6">
                  <c:v>24.737025141994224</c:v>
                </c:pt>
                <c:pt idx="7">
                  <c:v>31.061673520886533</c:v>
                </c:pt>
                <c:pt idx="8">
                  <c:v>36.328190307753232</c:v>
                </c:pt>
                <c:pt idx="9">
                  <c:v>37.873021306849608</c:v>
                </c:pt>
                <c:pt idx="10">
                  <c:v>39.321505959286114</c:v>
                </c:pt>
                <c:pt idx="11">
                  <c:v>40.678913098535745</c:v>
                </c:pt>
                <c:pt idx="12">
                  <c:v>41.95036182022902</c:v>
                </c:pt>
                <c:pt idx="13">
                  <c:v>43.140793780752304</c:v>
                </c:pt>
                <c:pt idx="14">
                  <c:v>44.254955173014757</c:v>
                </c:pt>
                <c:pt idx="15">
                  <c:v>45.29738589577147</c:v>
                </c:pt>
                <c:pt idx="16">
                  <c:v>46.272414085958772</c:v>
                </c:pt>
                <c:pt idx="17">
                  <c:v>47.184154648680334</c:v>
                </c:pt>
                <c:pt idx="18">
                  <c:v>48.036510756326209</c:v>
                </c:pt>
                <c:pt idx="19">
                  <c:v>48.833177535771533</c:v>
                </c:pt>
                <c:pt idx="20">
                  <c:v>49.577647346734317</c:v>
                </c:pt>
                <c:pt idx="21">
                  <c:v>50.273216192918696</c:v>
                </c:pt>
                <c:pt idx="22">
                  <c:v>50.92299091284309</c:v>
                </c:pt>
                <c:pt idx="23">
                  <c:v>51.529896877926518</c:v>
                </c:pt>
              </c:numCache>
            </c:numRef>
          </c:yVal>
          <c:smooth val="1"/>
          <c:extLst>
            <c:ext xmlns:c16="http://schemas.microsoft.com/office/drawing/2014/chart" uri="{C3380CC4-5D6E-409C-BE32-E72D297353CC}">
              <c16:uniqueId val="{00000001-D2FA-9048-A3F6-9DB6A3E1A320}"/>
            </c:ext>
          </c:extLst>
        </c:ser>
        <c:ser>
          <c:idx val="2"/>
          <c:order val="2"/>
          <c:tx>
            <c:v>Owra et al. (2009)</c:v>
          </c:tx>
          <c:spPr>
            <a:ln w="25400">
              <a:solidFill>
                <a:srgbClr val="008000"/>
              </a:solidFill>
            </a:ln>
          </c:spPr>
          <c:xVal>
            <c:numRef>
              <c:f>'GC T. Grandis'!$B$51:$B$74</c:f>
              <c:numCache>
                <c:formatCode>General</c:formatCode>
                <c:ptCount val="24"/>
                <c:pt idx="0">
                  <c:v>1</c:v>
                </c:pt>
                <c:pt idx="1">
                  <c:v>2</c:v>
                </c:pt>
                <c:pt idx="2">
                  <c:v>3</c:v>
                </c:pt>
                <c:pt idx="3">
                  <c:v>4</c:v>
                </c:pt>
                <c:pt idx="4">
                  <c:v>6</c:v>
                </c:pt>
                <c:pt idx="5">
                  <c:v>7</c:v>
                </c:pt>
                <c:pt idx="6">
                  <c:v>9</c:v>
                </c:pt>
                <c:pt idx="7">
                  <c:v>12</c:v>
                </c:pt>
                <c:pt idx="8">
                  <c:v>15</c:v>
                </c:pt>
                <c:pt idx="9">
                  <c:v>16</c:v>
                </c:pt>
                <c:pt idx="10">
                  <c:v>17</c:v>
                </c:pt>
                <c:pt idx="11">
                  <c:v>18</c:v>
                </c:pt>
                <c:pt idx="12">
                  <c:v>19</c:v>
                </c:pt>
                <c:pt idx="13">
                  <c:v>20</c:v>
                </c:pt>
                <c:pt idx="14">
                  <c:v>21</c:v>
                </c:pt>
                <c:pt idx="15">
                  <c:v>22</c:v>
                </c:pt>
                <c:pt idx="16">
                  <c:v>23</c:v>
                </c:pt>
                <c:pt idx="17">
                  <c:v>24</c:v>
                </c:pt>
                <c:pt idx="18">
                  <c:v>25</c:v>
                </c:pt>
                <c:pt idx="19">
                  <c:v>26</c:v>
                </c:pt>
                <c:pt idx="20">
                  <c:v>27</c:v>
                </c:pt>
                <c:pt idx="21">
                  <c:v>28</c:v>
                </c:pt>
                <c:pt idx="22">
                  <c:v>29</c:v>
                </c:pt>
                <c:pt idx="23">
                  <c:v>30</c:v>
                </c:pt>
              </c:numCache>
            </c:numRef>
          </c:xVal>
          <c:yVal>
            <c:numRef>
              <c:f>'GC T. Grandis'!$E$51:$E$74</c:f>
              <c:numCache>
                <c:formatCode>General</c:formatCode>
                <c:ptCount val="24"/>
                <c:pt idx="0">
                  <c:v>2</c:v>
                </c:pt>
                <c:pt idx="1">
                  <c:v>4</c:v>
                </c:pt>
                <c:pt idx="2">
                  <c:v>6</c:v>
                </c:pt>
                <c:pt idx="3">
                  <c:v>8</c:v>
                </c:pt>
                <c:pt idx="4">
                  <c:v>12</c:v>
                </c:pt>
                <c:pt idx="5">
                  <c:v>14</c:v>
                </c:pt>
                <c:pt idx="6">
                  <c:v>18</c:v>
                </c:pt>
                <c:pt idx="7">
                  <c:v>20.7</c:v>
                </c:pt>
                <c:pt idx="8">
                  <c:v>23.4</c:v>
                </c:pt>
                <c:pt idx="9">
                  <c:v>24.299999999999997</c:v>
                </c:pt>
                <c:pt idx="10">
                  <c:v>25.199999999999996</c:v>
                </c:pt>
                <c:pt idx="11">
                  <c:v>26.099999999999994</c:v>
                </c:pt>
                <c:pt idx="12">
                  <c:v>26.999999999999993</c:v>
                </c:pt>
                <c:pt idx="13">
                  <c:v>27.899999999999991</c:v>
                </c:pt>
                <c:pt idx="14">
                  <c:v>28.79999999999999</c:v>
                </c:pt>
                <c:pt idx="15">
                  <c:v>29.699999999999989</c:v>
                </c:pt>
                <c:pt idx="16">
                  <c:v>30.599999999999987</c:v>
                </c:pt>
                <c:pt idx="17">
                  <c:v>31.499999999999986</c:v>
                </c:pt>
                <c:pt idx="18">
                  <c:v>32.399999999999984</c:v>
                </c:pt>
                <c:pt idx="19">
                  <c:v>33.299999999999983</c:v>
                </c:pt>
                <c:pt idx="20">
                  <c:v>34.199999999999982</c:v>
                </c:pt>
                <c:pt idx="21">
                  <c:v>35.09999999999998</c:v>
                </c:pt>
                <c:pt idx="22">
                  <c:v>35.999999999999979</c:v>
                </c:pt>
                <c:pt idx="23">
                  <c:v>36.899999999999977</c:v>
                </c:pt>
              </c:numCache>
            </c:numRef>
          </c:yVal>
          <c:smooth val="1"/>
          <c:extLst>
            <c:ext xmlns:c16="http://schemas.microsoft.com/office/drawing/2014/chart" uri="{C3380CC4-5D6E-409C-BE32-E72D297353CC}">
              <c16:uniqueId val="{00000002-D2FA-9048-A3F6-9DB6A3E1A320}"/>
            </c:ext>
          </c:extLst>
        </c:ser>
        <c:ser>
          <c:idx val="3"/>
          <c:order val="3"/>
          <c:tx>
            <c:v>20% Adj - Perez (2005)</c:v>
          </c:tx>
          <c:spPr>
            <a:ln w="25400">
              <a:solidFill>
                <a:schemeClr val="accent2"/>
              </a:solidFill>
              <a:prstDash val="dash"/>
            </a:ln>
          </c:spPr>
          <c:marker>
            <c:symbol val="none"/>
          </c:marker>
          <c:xVal>
            <c:numRef>
              <c:f>'GC T. Grandis'!$B$51:$B$74</c:f>
              <c:numCache>
                <c:formatCode>General</c:formatCode>
                <c:ptCount val="24"/>
                <c:pt idx="0">
                  <c:v>1</c:v>
                </c:pt>
                <c:pt idx="1">
                  <c:v>2</c:v>
                </c:pt>
                <c:pt idx="2">
                  <c:v>3</c:v>
                </c:pt>
                <c:pt idx="3">
                  <c:v>4</c:v>
                </c:pt>
                <c:pt idx="4">
                  <c:v>6</c:v>
                </c:pt>
                <c:pt idx="5">
                  <c:v>7</c:v>
                </c:pt>
                <c:pt idx="6">
                  <c:v>9</c:v>
                </c:pt>
                <c:pt idx="7">
                  <c:v>12</c:v>
                </c:pt>
                <c:pt idx="8">
                  <c:v>15</c:v>
                </c:pt>
                <c:pt idx="9">
                  <c:v>16</c:v>
                </c:pt>
                <c:pt idx="10">
                  <c:v>17</c:v>
                </c:pt>
                <c:pt idx="11">
                  <c:v>18</c:v>
                </c:pt>
                <c:pt idx="12">
                  <c:v>19</c:v>
                </c:pt>
                <c:pt idx="13">
                  <c:v>20</c:v>
                </c:pt>
                <c:pt idx="14">
                  <c:v>21</c:v>
                </c:pt>
                <c:pt idx="15">
                  <c:v>22</c:v>
                </c:pt>
                <c:pt idx="16">
                  <c:v>23</c:v>
                </c:pt>
                <c:pt idx="17">
                  <c:v>24</c:v>
                </c:pt>
                <c:pt idx="18">
                  <c:v>25</c:v>
                </c:pt>
                <c:pt idx="19">
                  <c:v>26</c:v>
                </c:pt>
                <c:pt idx="20">
                  <c:v>27</c:v>
                </c:pt>
                <c:pt idx="21">
                  <c:v>28</c:v>
                </c:pt>
                <c:pt idx="22">
                  <c:v>29</c:v>
                </c:pt>
                <c:pt idx="23">
                  <c:v>30</c:v>
                </c:pt>
              </c:numCache>
            </c:numRef>
          </c:xVal>
          <c:yVal>
            <c:numRef>
              <c:f>'GC T. Grandis'!$F$51:$F$74</c:f>
              <c:numCache>
                <c:formatCode>General</c:formatCode>
                <c:ptCount val="24"/>
                <c:pt idx="0">
                  <c:v>1.9505032012297425</c:v>
                </c:pt>
                <c:pt idx="1">
                  <c:v>4.2019229822062325</c:v>
                </c:pt>
                <c:pt idx="2">
                  <c:v>6.4774231185905276</c:v>
                </c:pt>
                <c:pt idx="3">
                  <c:v>8.709032111231588</c:v>
                </c:pt>
                <c:pt idx="4">
                  <c:v>12.934841038130365</c:v>
                </c:pt>
                <c:pt idx="5">
                  <c:v>14.90678522634305</c:v>
                </c:pt>
                <c:pt idx="6">
                  <c:v>18.552768856495668</c:v>
                </c:pt>
                <c:pt idx="7">
                  <c:v>23.296255140664901</c:v>
                </c:pt>
                <c:pt idx="8">
                  <c:v>27.246142730814924</c:v>
                </c:pt>
                <c:pt idx="9">
                  <c:v>28.404765980137206</c:v>
                </c:pt>
                <c:pt idx="10">
                  <c:v>29.491129469464585</c:v>
                </c:pt>
                <c:pt idx="11">
                  <c:v>30.509184823901808</c:v>
                </c:pt>
                <c:pt idx="12">
                  <c:v>31.462771365171765</c:v>
                </c:pt>
                <c:pt idx="13">
                  <c:v>32.355595335564232</c:v>
                </c:pt>
                <c:pt idx="14">
                  <c:v>33.191216379761066</c:v>
                </c:pt>
                <c:pt idx="15">
                  <c:v>33.973039421828602</c:v>
                </c:pt>
                <c:pt idx="16">
                  <c:v>34.704310564469083</c:v>
                </c:pt>
                <c:pt idx="17">
                  <c:v>35.38811598651025</c:v>
                </c:pt>
                <c:pt idx="18">
                  <c:v>36.027383067244656</c:v>
                </c:pt>
                <c:pt idx="19">
                  <c:v>36.624883151828648</c:v>
                </c:pt>
                <c:pt idx="20">
                  <c:v>37.183235510050736</c:v>
                </c:pt>
                <c:pt idx="21">
                  <c:v>37.704912144689018</c:v>
                </c:pt>
                <c:pt idx="22">
                  <c:v>38.192243184632318</c:v>
                </c:pt>
                <c:pt idx="23">
                  <c:v>38.647422658444889</c:v>
                </c:pt>
              </c:numCache>
            </c:numRef>
          </c:yVal>
          <c:smooth val="1"/>
          <c:extLst>
            <c:ext xmlns:c16="http://schemas.microsoft.com/office/drawing/2014/chart" uri="{C3380CC4-5D6E-409C-BE32-E72D297353CC}">
              <c16:uniqueId val="{00000003-D2FA-9048-A3F6-9DB6A3E1A320}"/>
            </c:ext>
          </c:extLst>
        </c:ser>
        <c:dLbls>
          <c:showLegendKey val="0"/>
          <c:showVal val="0"/>
          <c:showCatName val="0"/>
          <c:showSerName val="0"/>
          <c:showPercent val="0"/>
          <c:showBubbleSize val="0"/>
        </c:dLbls>
        <c:axId val="-300668368"/>
        <c:axId val="-300694016"/>
      </c:scatterChart>
      <c:valAx>
        <c:axId val="-300668368"/>
        <c:scaling>
          <c:orientation val="minMax"/>
          <c:max val="30"/>
        </c:scaling>
        <c:delete val="0"/>
        <c:axPos val="b"/>
        <c:title>
          <c:tx>
            <c:rich>
              <a:bodyPr/>
              <a:lstStyle/>
              <a:p>
                <a:pPr>
                  <a:defRPr/>
                </a:pPr>
                <a:r>
                  <a:rPr lang="en-US"/>
                  <a:t>Age (yr)</a:t>
                </a:r>
              </a:p>
            </c:rich>
          </c:tx>
          <c:overlay val="0"/>
        </c:title>
        <c:numFmt formatCode="General" sourceLinked="1"/>
        <c:majorTickMark val="out"/>
        <c:minorTickMark val="none"/>
        <c:tickLblPos val="nextTo"/>
        <c:crossAx val="-300694016"/>
        <c:crosses val="autoZero"/>
        <c:crossBetween val="midCat"/>
      </c:valAx>
      <c:valAx>
        <c:axId val="-300694016"/>
        <c:scaling>
          <c:orientation val="minMax"/>
        </c:scaling>
        <c:delete val="0"/>
        <c:axPos val="l"/>
        <c:majorGridlines/>
        <c:title>
          <c:tx>
            <c:rich>
              <a:bodyPr/>
              <a:lstStyle/>
              <a:p>
                <a:pPr>
                  <a:defRPr/>
                </a:pPr>
                <a:r>
                  <a:rPr lang="en-US"/>
                  <a:t>DBH (cm)</a:t>
                </a:r>
              </a:p>
            </c:rich>
          </c:tx>
          <c:overlay val="0"/>
        </c:title>
        <c:numFmt formatCode="General" sourceLinked="1"/>
        <c:majorTickMark val="out"/>
        <c:minorTickMark val="none"/>
        <c:tickLblPos val="nextTo"/>
        <c:crossAx val="-300668368"/>
        <c:crosses val="autoZero"/>
        <c:crossBetween val="midCat"/>
      </c:valAx>
    </c:plotArea>
    <c:legend>
      <c:legendPos val="r"/>
      <c:layout>
        <c:manualLayout>
          <c:xMode val="edge"/>
          <c:yMode val="edge"/>
          <c:x val="0.17960910555085599"/>
          <c:y val="9.4974229531792395E-2"/>
          <c:w val="0.332603753172382"/>
          <c:h val="0.24304991109982199"/>
        </c:manualLayout>
      </c:layout>
      <c:overlay val="0"/>
    </c:legend>
    <c:plotVisOnly val="1"/>
    <c:dispBlanksAs val="gap"/>
    <c:showDLblsOverMax val="0"/>
  </c:chart>
  <c:printSettings>
    <c:headerFooter/>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71972972320178"/>
          <c:y val="3.7878787878787901E-2"/>
          <c:w val="0.72876431090285498"/>
          <c:h val="0.79243861304526997"/>
        </c:manualLayout>
      </c:layout>
      <c:scatterChart>
        <c:scatterStyle val="smoothMarker"/>
        <c:varyColors val="0"/>
        <c:ser>
          <c:idx val="0"/>
          <c:order val="0"/>
          <c:tx>
            <c:v>Siregar</c:v>
          </c:tx>
          <c:marker>
            <c:symbol val="none"/>
          </c:marker>
          <c:xVal>
            <c:numRef>
              <c:f>'GC T. Grandis'!$O$16:$O$45</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xVal>
          <c:yVal>
            <c:numRef>
              <c:f>'GC T. Grandis'!$Q$16:$Q$45</c:f>
              <c:numCache>
                <c:formatCode>0.000</c:formatCode>
                <c:ptCount val="30"/>
                <c:pt idx="0">
                  <c:v>4.817525739922706E-4</c:v>
                </c:pt>
                <c:pt idx="1">
                  <c:v>3.1872207261279856E-3</c:v>
                </c:pt>
                <c:pt idx="2">
                  <c:v>9.2502896088420411E-3</c:v>
                </c:pt>
                <c:pt idx="3">
                  <c:v>1.9172944816587302E-2</c:v>
                </c:pt>
                <c:pt idx="4">
                  <c:v>3.3062533070624615E-2</c:v>
                </c:pt>
                <c:pt idx="5">
                  <c:v>5.0773694612139306E-2</c:v>
                </c:pt>
                <c:pt idx="6">
                  <c:v>7.2003621866209191E-2</c:v>
                </c:pt>
                <c:pt idx="7">
                  <c:v>9.6358037222651433E-2</c:v>
                </c:pt>
                <c:pt idx="8">
                  <c:v>0.12339718467682916</c:v>
                </c:pt>
                <c:pt idx="9">
                  <c:v>0.15266766114888916</c:v>
                </c:pt>
                <c:pt idx="10">
                  <c:v>0.18372404075579374</c:v>
                </c:pt>
                <c:pt idx="11">
                  <c:v>0.21614309272079993</c:v>
                </c:pt>
                <c:pt idx="12">
                  <c:v>0.24953262609322374</c:v>
                </c:pt>
                <c:pt idx="13">
                  <c:v>0.28353645788510168</c:v>
                </c:pt>
                <c:pt idx="14">
                  <c:v>0.31783661438810273</c:v>
                </c:pt>
                <c:pt idx="15">
                  <c:v>0.35215359096465587</c:v>
                </c:pt>
                <c:pt idx="16">
                  <c:v>0.3862452837462465</c:v>
                </c:pt>
                <c:pt idx="17">
                  <c:v>0.41990504762959363</c:v>
                </c:pt>
                <c:pt idx="18">
                  <c:v>0.45295921502498976</c:v>
                </c:pt>
                <c:pt idx="19">
                  <c:v>0.48526431918477142</c:v>
                </c:pt>
                <c:pt idx="20">
                  <c:v>0.51670419746762286</c:v>
                </c:pt>
                <c:pt idx="21">
                  <c:v>0.54718709826173584</c:v>
                </c:pt>
                <c:pt idx="22">
                  <c:v>0.57664287650159241</c:v>
                </c:pt>
                <c:pt idx="23">
                  <c:v>0.60502033373957542</c:v>
                </c:pt>
                <c:pt idx="24">
                  <c:v>0.63228473726184864</c:v>
                </c:pt>
                <c:pt idx="25">
                  <c:v>0.65841553699496147</c:v>
                </c:pt>
                <c:pt idx="26">
                  <c:v>0.68340428757158067</c:v>
                </c:pt>
                <c:pt idx="27">
                  <c:v>0.70725277486026372</c:v>
                </c:pt>
                <c:pt idx="28">
                  <c:v>0.72997134070532854</c:v>
                </c:pt>
                <c:pt idx="29">
                  <c:v>0.7515773959445482</c:v>
                </c:pt>
              </c:numCache>
            </c:numRef>
          </c:yVal>
          <c:smooth val="1"/>
          <c:extLst>
            <c:ext xmlns:c16="http://schemas.microsoft.com/office/drawing/2014/chart" uri="{C3380CC4-5D6E-409C-BE32-E72D297353CC}">
              <c16:uniqueId val="{00000000-E2B8-074B-A8F6-C957D022BC7F}"/>
            </c:ext>
          </c:extLst>
        </c:ser>
        <c:ser>
          <c:idx val="1"/>
          <c:order val="1"/>
          <c:tx>
            <c:v>IPCC</c:v>
          </c:tx>
          <c:marker>
            <c:symbol val="none"/>
          </c:marker>
          <c:xVal>
            <c:numRef>
              <c:f>'GC T. Grandis'!$O$16:$O$45</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xVal>
          <c:yVal>
            <c:numRef>
              <c:f>'GC T. Grandis'!$R$16:$R$45</c:f>
              <c:numCache>
                <c:formatCode>0.000</c:formatCode>
                <c:ptCount val="30"/>
                <c:pt idx="0">
                  <c:v>0</c:v>
                </c:pt>
                <c:pt idx="1">
                  <c:v>4.3513018155740468E-3</c:v>
                </c:pt>
                <c:pt idx="2">
                  <c:v>1.3288297675347093E-2</c:v>
                </c:pt>
                <c:pt idx="3">
                  <c:v>2.8389455530309599E-2</c:v>
                </c:pt>
                <c:pt idx="4">
                  <c:v>4.9956780433410133E-2</c:v>
                </c:pt>
                <c:pt idx="5">
                  <c:v>7.783744276857868E-2</c:v>
                </c:pt>
                <c:pt idx="6">
                  <c:v>0.11158825828527383</c:v>
                </c:pt>
                <c:pt idx="7">
                  <c:v>0.15059241655728409</c:v>
                </c:pt>
                <c:pt idx="8">
                  <c:v>0.19414193513228611</c:v>
                </c:pt>
                <c:pt idx="9">
                  <c:v>0.24149523271975096</c:v>
                </c:pt>
                <c:pt idx="10">
                  <c:v>0.29191654395400157</c:v>
                </c:pt>
                <c:pt idx="11">
                  <c:v>0.34470207243761286</c:v>
                </c:pt>
                <c:pt idx="12">
                  <c:v>0.39919648898930138</c:v>
                </c:pt>
                <c:pt idx="13">
                  <c:v>0.45480244970385936</c:v>
                </c:pt>
                <c:pt idx="14">
                  <c:v>0.51098512363867532</c:v>
                </c:pt>
                <c:pt idx="15">
                  <c:v>0.56727321136905728</c:v>
                </c:pt>
                <c:pt idx="16">
                  <c:v>0.62325755512452197</c:v>
                </c:pt>
                <c:pt idx="17">
                  <c:v>0.67858815512994752</c:v>
                </c:pt>
                <c:pt idx="18">
                  <c:v>0.73297019111842365</c:v>
                </c:pt>
                <c:pt idx="19">
                  <c:v>0.78615948527487667</c:v>
                </c:pt>
                <c:pt idx="20">
                  <c:v>0.83795772019849879</c:v>
                </c:pt>
                <c:pt idx="21">
                  <c:v>0.88820763319388374</c:v>
                </c:pt>
                <c:pt idx="22">
                  <c:v>0.93678833905128445</c:v>
                </c:pt>
                <c:pt idx="23">
                  <c:v>0.98361088194840407</c:v>
                </c:pt>
                <c:pt idx="24">
                  <c:v>1.0286140790040661</c:v>
                </c:pt>
                <c:pt idx="25">
                  <c:v>1.0717606901301358</c:v>
                </c:pt>
                <c:pt idx="26">
                  <c:v>1.1130339287043316</c:v>
                </c:pt>
                <c:pt idx="27">
                  <c:v>1.1524343133359898</c:v>
                </c:pt>
                <c:pt idx="28">
                  <c:v>1.1899768511712403</c:v>
                </c:pt>
                <c:pt idx="29">
                  <c:v>1.225688536670841</c:v>
                </c:pt>
              </c:numCache>
            </c:numRef>
          </c:yVal>
          <c:smooth val="1"/>
          <c:extLst>
            <c:ext xmlns:c16="http://schemas.microsoft.com/office/drawing/2014/chart" uri="{C3380CC4-5D6E-409C-BE32-E72D297353CC}">
              <c16:uniqueId val="{00000001-E2B8-074B-A8F6-C957D022BC7F}"/>
            </c:ext>
          </c:extLst>
        </c:ser>
        <c:dLbls>
          <c:showLegendKey val="0"/>
          <c:showVal val="0"/>
          <c:showCatName val="0"/>
          <c:showSerName val="0"/>
          <c:showPercent val="0"/>
          <c:showBubbleSize val="0"/>
        </c:dLbls>
        <c:axId val="-300745184"/>
        <c:axId val="-327522272"/>
      </c:scatterChart>
      <c:valAx>
        <c:axId val="-300745184"/>
        <c:scaling>
          <c:orientation val="minMax"/>
          <c:max val="30"/>
        </c:scaling>
        <c:delete val="0"/>
        <c:axPos val="b"/>
        <c:title>
          <c:tx>
            <c:rich>
              <a:bodyPr/>
              <a:lstStyle/>
              <a:p>
                <a:pPr>
                  <a:defRPr/>
                </a:pPr>
                <a:r>
                  <a:rPr lang="en-US"/>
                  <a:t>Age (yr)</a:t>
                </a:r>
              </a:p>
            </c:rich>
          </c:tx>
          <c:overlay val="0"/>
        </c:title>
        <c:numFmt formatCode="General" sourceLinked="1"/>
        <c:majorTickMark val="out"/>
        <c:minorTickMark val="none"/>
        <c:tickLblPos val="nextTo"/>
        <c:crossAx val="-327522272"/>
        <c:crosses val="autoZero"/>
        <c:crossBetween val="midCat"/>
      </c:valAx>
      <c:valAx>
        <c:axId val="-327522272"/>
        <c:scaling>
          <c:orientation val="minMax"/>
        </c:scaling>
        <c:delete val="0"/>
        <c:axPos val="l"/>
        <c:majorGridlines/>
        <c:title>
          <c:tx>
            <c:rich>
              <a:bodyPr/>
              <a:lstStyle/>
              <a:p>
                <a:pPr>
                  <a:defRPr/>
                </a:pPr>
                <a:r>
                  <a:rPr lang="en-US"/>
                  <a:t>Biomass (kg d.m/tree/yr)</a:t>
                </a:r>
              </a:p>
            </c:rich>
          </c:tx>
          <c:overlay val="0"/>
        </c:title>
        <c:numFmt formatCode="0.000" sourceLinked="1"/>
        <c:majorTickMark val="out"/>
        <c:minorTickMark val="none"/>
        <c:tickLblPos val="nextTo"/>
        <c:crossAx val="-300745184"/>
        <c:crosses val="autoZero"/>
        <c:crossBetween val="midCat"/>
      </c:valAx>
    </c:plotArea>
    <c:legend>
      <c:legendPos val="r"/>
      <c:layout>
        <c:manualLayout>
          <c:xMode val="edge"/>
          <c:yMode val="edge"/>
          <c:x val="0.24001376745084799"/>
          <c:y val="0.16224892084770401"/>
          <c:w val="0.188634808302336"/>
          <c:h val="0.16856732077338499"/>
        </c:manualLayout>
      </c:layout>
      <c:overlay val="0"/>
    </c:legend>
    <c:plotVisOnly val="1"/>
    <c:dispBlanksAs val="gap"/>
    <c:showDLblsOverMax val="0"/>
  </c:chart>
  <c:printSettings>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xVal>
            <c:numRef>
              <c:f>'CO2 Certificates'!$C$98:$K$98</c:f>
              <c:numCache>
                <c:formatCode>General</c:formatCode>
                <c:ptCount val="9"/>
                <c:pt idx="0">
                  <c:v>2010</c:v>
                </c:pt>
                <c:pt idx="1">
                  <c:v>2011</c:v>
                </c:pt>
                <c:pt idx="2">
                  <c:v>2012</c:v>
                </c:pt>
                <c:pt idx="3">
                  <c:v>2013</c:v>
                </c:pt>
                <c:pt idx="4">
                  <c:v>2014</c:v>
                </c:pt>
                <c:pt idx="5">
                  <c:v>2015</c:v>
                </c:pt>
                <c:pt idx="6">
                  <c:v>2016</c:v>
                </c:pt>
                <c:pt idx="7">
                  <c:v>2017</c:v>
                </c:pt>
                <c:pt idx="8">
                  <c:v>2018</c:v>
                </c:pt>
              </c:numCache>
            </c:numRef>
          </c:xVal>
          <c:yVal>
            <c:numRef>
              <c:f>'CO2 Certificates'!$C$103:$K$103</c:f>
              <c:numCache>
                <c:formatCode>#,##0</c:formatCode>
                <c:ptCount val="9"/>
                <c:pt idx="0">
                  <c:v>496.04448260376552</c:v>
                </c:pt>
                <c:pt idx="1">
                  <c:v>866.24053755884916</c:v>
                </c:pt>
                <c:pt idx="2">
                  <c:v>1514.1823960816548</c:v>
                </c:pt>
                <c:pt idx="3">
                  <c:v>1968.8258111241239</c:v>
                </c:pt>
                <c:pt idx="4">
                  <c:v>3293.4614969163831</c:v>
                </c:pt>
                <c:pt idx="5">
                  <c:v>5467.4626886286105</c:v>
                </c:pt>
                <c:pt idx="6">
                  <c:v>8559.2350303474432</c:v>
                </c:pt>
                <c:pt idx="7">
                  <c:v>10632.487477155837</c:v>
                </c:pt>
                <c:pt idx="8">
                  <c:v>14887.547630283243</c:v>
                </c:pt>
              </c:numCache>
            </c:numRef>
          </c:yVal>
          <c:smooth val="0"/>
          <c:extLst>
            <c:ext xmlns:c16="http://schemas.microsoft.com/office/drawing/2014/chart" uri="{C3380CC4-5D6E-409C-BE32-E72D297353CC}">
              <c16:uniqueId val="{00000000-F6F9-9F4F-B8A6-358983D128D9}"/>
            </c:ext>
          </c:extLst>
        </c:ser>
        <c:dLbls>
          <c:showLegendKey val="0"/>
          <c:showVal val="0"/>
          <c:showCatName val="0"/>
          <c:showSerName val="0"/>
          <c:showPercent val="0"/>
          <c:showBubbleSize val="0"/>
        </c:dLbls>
        <c:axId val="570057568"/>
        <c:axId val="303239040"/>
      </c:scatterChart>
      <c:valAx>
        <c:axId val="5700575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239040"/>
        <c:crosses val="autoZero"/>
        <c:crossBetween val="midCat"/>
      </c:valAx>
      <c:valAx>
        <c:axId val="303239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005756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6465507436570401"/>
          <c:y val="5.0925925925925902E-2"/>
          <c:w val="0.76324321959755004"/>
          <c:h val="0.70242672790901095"/>
        </c:manualLayout>
      </c:layout>
      <c:scatterChart>
        <c:scatterStyle val="smoothMarker"/>
        <c:varyColors val="0"/>
        <c:ser>
          <c:idx val="1"/>
          <c:order val="0"/>
          <c:tx>
            <c:v>Brown (1997)</c:v>
          </c:tx>
          <c:marker>
            <c:symbol val="none"/>
          </c:marker>
          <c:xVal>
            <c:numRef>
              <c:f>'GC C. Equis'!$P$12:$P$20</c:f>
              <c:numCache>
                <c:formatCode>General</c:formatCode>
                <c:ptCount val="9"/>
                <c:pt idx="0">
                  <c:v>0</c:v>
                </c:pt>
                <c:pt idx="1">
                  <c:v>5</c:v>
                </c:pt>
                <c:pt idx="2">
                  <c:v>10</c:v>
                </c:pt>
                <c:pt idx="3">
                  <c:v>15</c:v>
                </c:pt>
                <c:pt idx="4">
                  <c:v>20</c:v>
                </c:pt>
                <c:pt idx="5">
                  <c:v>25</c:v>
                </c:pt>
                <c:pt idx="6">
                  <c:v>30</c:v>
                </c:pt>
                <c:pt idx="7">
                  <c:v>35</c:v>
                </c:pt>
                <c:pt idx="8">
                  <c:v>40</c:v>
                </c:pt>
              </c:numCache>
            </c:numRef>
          </c:xVal>
          <c:yVal>
            <c:numRef>
              <c:f>'GC C. Equis'!$S$12:$S$20</c:f>
              <c:numCache>
                <c:formatCode>0.000</c:formatCode>
                <c:ptCount val="9"/>
                <c:pt idx="0" formatCode="0.00">
                  <c:v>0</c:v>
                </c:pt>
                <c:pt idx="1">
                  <c:v>6.8264531427754179E-3</c:v>
                </c:pt>
                <c:pt idx="2">
                  <c:v>2.965361702435363E-2</c:v>
                </c:pt>
                <c:pt idx="3">
                  <c:v>7.0018862692685438E-2</c:v>
                </c:pt>
                <c:pt idx="4">
                  <c:v>0.12881316025111181</c:v>
                </c:pt>
                <c:pt idx="5">
                  <c:v>0.20668671020849966</c:v>
                </c:pt>
                <c:pt idx="6">
                  <c:v>0.3041568579383136</c:v>
                </c:pt>
                <c:pt idx="7">
                  <c:v>0.42165558813405091</c:v>
                </c:pt>
                <c:pt idx="8">
                  <c:v>0.55955501955297449</c:v>
                </c:pt>
              </c:numCache>
            </c:numRef>
          </c:yVal>
          <c:smooth val="1"/>
          <c:extLst>
            <c:ext xmlns:c16="http://schemas.microsoft.com/office/drawing/2014/chart" uri="{C3380CC4-5D6E-409C-BE32-E72D297353CC}">
              <c16:uniqueId val="{00000000-EB4B-D546-97C7-BE7C568C1820}"/>
            </c:ext>
          </c:extLst>
        </c:ser>
        <c:ser>
          <c:idx val="2"/>
          <c:order val="1"/>
          <c:tx>
            <c:v>Vid &amp; Par (2014)</c:v>
          </c:tx>
          <c:spPr>
            <a:ln>
              <a:solidFill>
                <a:schemeClr val="accent1"/>
              </a:solidFill>
            </a:ln>
          </c:spPr>
          <c:marker>
            <c:symbol val="none"/>
          </c:marker>
          <c:xVal>
            <c:numRef>
              <c:f>'GC C. Equis'!$P$12:$P$20</c:f>
              <c:numCache>
                <c:formatCode>General</c:formatCode>
                <c:ptCount val="9"/>
                <c:pt idx="0">
                  <c:v>0</c:v>
                </c:pt>
                <c:pt idx="1">
                  <c:v>5</c:v>
                </c:pt>
                <c:pt idx="2">
                  <c:v>10</c:v>
                </c:pt>
                <c:pt idx="3">
                  <c:v>15</c:v>
                </c:pt>
                <c:pt idx="4">
                  <c:v>20</c:v>
                </c:pt>
                <c:pt idx="5">
                  <c:v>25</c:v>
                </c:pt>
                <c:pt idx="6">
                  <c:v>30</c:v>
                </c:pt>
                <c:pt idx="7">
                  <c:v>35</c:v>
                </c:pt>
                <c:pt idx="8">
                  <c:v>40</c:v>
                </c:pt>
              </c:numCache>
            </c:numRef>
          </c:xVal>
          <c:yVal>
            <c:numRef>
              <c:f>'GC C. Equis'!$R$12:$R$20</c:f>
              <c:numCache>
                <c:formatCode>0.000</c:formatCode>
                <c:ptCount val="9"/>
                <c:pt idx="0" formatCode="0.00">
                  <c:v>0</c:v>
                </c:pt>
                <c:pt idx="1">
                  <c:v>7.4216136045325443E-3</c:v>
                </c:pt>
                <c:pt idx="2">
                  <c:v>4.0356604538083228E-2</c:v>
                </c:pt>
                <c:pt idx="3">
                  <c:v>0.10866897357283303</c:v>
                </c:pt>
                <c:pt idx="4">
                  <c:v>0.21944763182612806</c:v>
                </c:pt>
                <c:pt idx="5">
                  <c:v>0.37851409849957612</c:v>
                </c:pt>
                <c:pt idx="6">
                  <c:v>0.5909106867757048</c:v>
                </c:pt>
                <c:pt idx="7">
                  <c:v>0.86113819312480622</c:v>
                </c:pt>
                <c:pt idx="8">
                  <c:v>1.1932932332959629</c:v>
                </c:pt>
              </c:numCache>
            </c:numRef>
          </c:yVal>
          <c:smooth val="1"/>
          <c:extLst>
            <c:ext xmlns:c16="http://schemas.microsoft.com/office/drawing/2014/chart" uri="{C3380CC4-5D6E-409C-BE32-E72D297353CC}">
              <c16:uniqueId val="{00000001-EB4B-D546-97C7-BE7C568C1820}"/>
            </c:ext>
          </c:extLst>
        </c:ser>
        <c:ser>
          <c:idx val="3"/>
          <c:order val="2"/>
          <c:tx>
            <c:v>Rana et al (2011)</c:v>
          </c:tx>
          <c:marker>
            <c:symbol val="none"/>
          </c:marker>
          <c:xVal>
            <c:numRef>
              <c:f>'GC C. Equis'!$P$12:$P$20</c:f>
              <c:numCache>
                <c:formatCode>General</c:formatCode>
                <c:ptCount val="9"/>
                <c:pt idx="0">
                  <c:v>0</c:v>
                </c:pt>
                <c:pt idx="1">
                  <c:v>5</c:v>
                </c:pt>
                <c:pt idx="2">
                  <c:v>10</c:v>
                </c:pt>
                <c:pt idx="3">
                  <c:v>15</c:v>
                </c:pt>
                <c:pt idx="4">
                  <c:v>20</c:v>
                </c:pt>
                <c:pt idx="5">
                  <c:v>25</c:v>
                </c:pt>
                <c:pt idx="6">
                  <c:v>30</c:v>
                </c:pt>
                <c:pt idx="7">
                  <c:v>35</c:v>
                </c:pt>
                <c:pt idx="8">
                  <c:v>40</c:v>
                </c:pt>
              </c:numCache>
            </c:numRef>
          </c:xVal>
          <c:yVal>
            <c:numRef>
              <c:f>'GC C. Equis'!$T$12:$T$20</c:f>
              <c:numCache>
                <c:formatCode>0.000</c:formatCode>
                <c:ptCount val="9"/>
                <c:pt idx="0" formatCode="0.00">
                  <c:v>0</c:v>
                </c:pt>
                <c:pt idx="1">
                  <c:v>2.1991044544688611E-2</c:v>
                </c:pt>
                <c:pt idx="2">
                  <c:v>4.6232780535835342E-2</c:v>
                </c:pt>
                <c:pt idx="3">
                  <c:v>7.1403556411224714E-2</c:v>
                </c:pt>
                <c:pt idx="4">
                  <c:v>9.7197292822135073E-2</c:v>
                </c:pt>
                <c:pt idx="5">
                  <c:v>0.12346438654968529</c:v>
                </c:pt>
                <c:pt idx="6">
                  <c:v>0.15011496822399045</c:v>
                </c:pt>
                <c:pt idx="7">
                  <c:v>0.17708874376349701</c:v>
                </c:pt>
                <c:pt idx="8">
                  <c:v>0.20434232210258671</c:v>
                </c:pt>
              </c:numCache>
            </c:numRef>
          </c:yVal>
          <c:smooth val="1"/>
          <c:extLst>
            <c:ext xmlns:c16="http://schemas.microsoft.com/office/drawing/2014/chart" uri="{C3380CC4-5D6E-409C-BE32-E72D297353CC}">
              <c16:uniqueId val="{00000002-EB4B-D546-97C7-BE7C568C1820}"/>
            </c:ext>
          </c:extLst>
        </c:ser>
        <c:ser>
          <c:idx val="4"/>
          <c:order val="3"/>
          <c:tx>
            <c:v>Marques et al (2010)</c:v>
          </c:tx>
          <c:marker>
            <c:symbol val="none"/>
          </c:marker>
          <c:xVal>
            <c:numRef>
              <c:f>'GC C. Equis'!$P$12:$P$20</c:f>
              <c:numCache>
                <c:formatCode>General</c:formatCode>
                <c:ptCount val="9"/>
                <c:pt idx="0">
                  <c:v>0</c:v>
                </c:pt>
                <c:pt idx="1">
                  <c:v>5</c:v>
                </c:pt>
                <c:pt idx="2">
                  <c:v>10</c:v>
                </c:pt>
                <c:pt idx="3">
                  <c:v>15</c:v>
                </c:pt>
                <c:pt idx="4">
                  <c:v>20</c:v>
                </c:pt>
                <c:pt idx="5">
                  <c:v>25</c:v>
                </c:pt>
                <c:pt idx="6">
                  <c:v>30</c:v>
                </c:pt>
                <c:pt idx="7">
                  <c:v>35</c:v>
                </c:pt>
                <c:pt idx="8">
                  <c:v>40</c:v>
                </c:pt>
              </c:numCache>
            </c:numRef>
          </c:xVal>
          <c:yVal>
            <c:numRef>
              <c:f>'GC C. Equis'!$V$12:$V$20</c:f>
              <c:numCache>
                <c:formatCode>0.00</c:formatCode>
                <c:ptCount val="9"/>
                <c:pt idx="0">
                  <c:v>0</c:v>
                </c:pt>
                <c:pt idx="1">
                  <c:v>2.2447900358519954E-3</c:v>
                </c:pt>
                <c:pt idx="2">
                  <c:v>1.4555379099256601E-2</c:v>
                </c:pt>
                <c:pt idx="3">
                  <c:v>4.3443423088308598E-2</c:v>
                </c:pt>
                <c:pt idx="4">
                  <c:v>9.437811881709747E-2</c:v>
                </c:pt>
                <c:pt idx="5">
                  <c:v>0.17227724999299232</c:v>
                </c:pt>
                <c:pt idx="6">
                  <c:v>0.28169026159265287</c:v>
                </c:pt>
                <c:pt idx="7">
                  <c:v>0.42689456935889569</c:v>
                </c:pt>
                <c:pt idx="8">
                  <c:v>0.61195447062653918</c:v>
                </c:pt>
              </c:numCache>
            </c:numRef>
          </c:yVal>
          <c:smooth val="1"/>
          <c:extLst>
            <c:ext xmlns:c16="http://schemas.microsoft.com/office/drawing/2014/chart" uri="{C3380CC4-5D6E-409C-BE32-E72D297353CC}">
              <c16:uniqueId val="{00000003-EB4B-D546-97C7-BE7C568C1820}"/>
            </c:ext>
          </c:extLst>
        </c:ser>
        <c:ser>
          <c:idx val="6"/>
          <c:order val="4"/>
          <c:spPr>
            <a:ln w="25400"/>
          </c:spPr>
          <c:marker>
            <c:symbol val="none"/>
          </c:marker>
          <c:xVal>
            <c:numRef>
              <c:f>'GC C. Equis'!$P$12:$P$20</c:f>
              <c:numCache>
                <c:formatCode>General</c:formatCode>
                <c:ptCount val="9"/>
                <c:pt idx="0">
                  <c:v>0</c:v>
                </c:pt>
                <c:pt idx="1">
                  <c:v>5</c:v>
                </c:pt>
                <c:pt idx="2">
                  <c:v>10</c:v>
                </c:pt>
                <c:pt idx="3">
                  <c:v>15</c:v>
                </c:pt>
                <c:pt idx="4">
                  <c:v>20</c:v>
                </c:pt>
                <c:pt idx="5">
                  <c:v>25</c:v>
                </c:pt>
                <c:pt idx="6">
                  <c:v>30</c:v>
                </c:pt>
                <c:pt idx="7">
                  <c:v>35</c:v>
                </c:pt>
                <c:pt idx="8">
                  <c:v>40</c:v>
                </c:pt>
              </c:numCache>
            </c:numRef>
          </c:xVal>
          <c:yVal>
            <c:numRef>
              <c:f>'GC C. Equis'!$AA$12:$AA$20</c:f>
              <c:numCache>
                <c:formatCode>General</c:formatCode>
                <c:ptCount val="9"/>
                <c:pt idx="0">
                  <c:v>0</c:v>
                </c:pt>
                <c:pt idx="1">
                  <c:v>0</c:v>
                </c:pt>
                <c:pt idx="2">
                  <c:v>0</c:v>
                </c:pt>
                <c:pt idx="3">
                  <c:v>0</c:v>
                </c:pt>
                <c:pt idx="4">
                  <c:v>0</c:v>
                </c:pt>
                <c:pt idx="5">
                  <c:v>0</c:v>
                </c:pt>
                <c:pt idx="6">
                  <c:v>0</c:v>
                </c:pt>
                <c:pt idx="7">
                  <c:v>0</c:v>
                </c:pt>
                <c:pt idx="8">
                  <c:v>0</c:v>
                </c:pt>
              </c:numCache>
            </c:numRef>
          </c:yVal>
          <c:smooth val="1"/>
          <c:extLst>
            <c:ext xmlns:c16="http://schemas.microsoft.com/office/drawing/2014/chart" uri="{C3380CC4-5D6E-409C-BE32-E72D297353CC}">
              <c16:uniqueId val="{00000004-EB4B-D546-97C7-BE7C568C1820}"/>
            </c:ext>
          </c:extLst>
        </c:ser>
        <c:ser>
          <c:idx val="7"/>
          <c:order val="5"/>
          <c:tx>
            <c:v>NREL (1992)</c:v>
          </c:tx>
          <c:marker>
            <c:symbol val="none"/>
          </c:marker>
          <c:xVal>
            <c:numRef>
              <c:f>'GC C. Equis'!$P$12:$P$20</c:f>
              <c:numCache>
                <c:formatCode>General</c:formatCode>
                <c:ptCount val="9"/>
                <c:pt idx="0">
                  <c:v>0</c:v>
                </c:pt>
                <c:pt idx="1">
                  <c:v>5</c:v>
                </c:pt>
                <c:pt idx="2">
                  <c:v>10</c:v>
                </c:pt>
                <c:pt idx="3">
                  <c:v>15</c:v>
                </c:pt>
                <c:pt idx="4">
                  <c:v>20</c:v>
                </c:pt>
                <c:pt idx="5">
                  <c:v>25</c:v>
                </c:pt>
                <c:pt idx="6">
                  <c:v>30</c:v>
                </c:pt>
                <c:pt idx="7">
                  <c:v>35</c:v>
                </c:pt>
                <c:pt idx="8">
                  <c:v>40</c:v>
                </c:pt>
              </c:numCache>
            </c:numRef>
          </c:xVal>
          <c:yVal>
            <c:numRef>
              <c:f>'GC C. Equis'!$U$12:$U$20</c:f>
              <c:numCache>
                <c:formatCode>0.00</c:formatCode>
                <c:ptCount val="9"/>
                <c:pt idx="0" formatCode="General">
                  <c:v>0</c:v>
                </c:pt>
                <c:pt idx="1">
                  <c:v>4.637855620714686E-3</c:v>
                </c:pt>
                <c:pt idx="2">
                  <c:v>2.6675768124380987E-2</c:v>
                </c:pt>
                <c:pt idx="3">
                  <c:v>7.4228600345263338E-2</c:v>
                </c:pt>
                <c:pt idx="4">
                  <c:v>0.15343224611120712</c:v>
                </c:pt>
                <c:pt idx="5">
                  <c:v>0.26947440123302163</c:v>
                </c:pt>
                <c:pt idx="6">
                  <c:v>0.42694406487420172</c:v>
                </c:pt>
                <c:pt idx="7">
                  <c:v>0.63000598851589129</c:v>
                </c:pt>
                <c:pt idx="8">
                  <c:v>0.88250332800028108</c:v>
                </c:pt>
              </c:numCache>
            </c:numRef>
          </c:yVal>
          <c:smooth val="1"/>
          <c:extLst>
            <c:ext xmlns:c16="http://schemas.microsoft.com/office/drawing/2014/chart" uri="{C3380CC4-5D6E-409C-BE32-E72D297353CC}">
              <c16:uniqueId val="{00000005-EB4B-D546-97C7-BE7C568C1820}"/>
            </c:ext>
          </c:extLst>
        </c:ser>
        <c:dLbls>
          <c:showLegendKey val="0"/>
          <c:showVal val="0"/>
          <c:showCatName val="0"/>
          <c:showSerName val="0"/>
          <c:showPercent val="0"/>
          <c:showBubbleSize val="0"/>
        </c:dLbls>
        <c:axId val="-355651248"/>
        <c:axId val="-295751792"/>
      </c:scatterChart>
      <c:valAx>
        <c:axId val="-355651248"/>
        <c:scaling>
          <c:orientation val="minMax"/>
        </c:scaling>
        <c:delete val="0"/>
        <c:axPos val="b"/>
        <c:title>
          <c:tx>
            <c:rich>
              <a:bodyPr/>
              <a:lstStyle/>
              <a:p>
                <a:pPr>
                  <a:defRPr/>
                </a:pPr>
                <a:r>
                  <a:rPr lang="en-US"/>
                  <a:t>Age (yr)</a:t>
                </a:r>
              </a:p>
            </c:rich>
          </c:tx>
          <c:overlay val="0"/>
        </c:title>
        <c:numFmt formatCode="General" sourceLinked="1"/>
        <c:majorTickMark val="out"/>
        <c:minorTickMark val="none"/>
        <c:tickLblPos val="nextTo"/>
        <c:crossAx val="-295751792"/>
        <c:crosses val="autoZero"/>
        <c:crossBetween val="midCat"/>
      </c:valAx>
      <c:valAx>
        <c:axId val="-295751792"/>
        <c:scaling>
          <c:orientation val="minMax"/>
        </c:scaling>
        <c:delete val="0"/>
        <c:axPos val="l"/>
        <c:majorGridlines/>
        <c:title>
          <c:tx>
            <c:rich>
              <a:bodyPr/>
              <a:lstStyle/>
              <a:p>
                <a:pPr>
                  <a:defRPr/>
                </a:pPr>
                <a:r>
                  <a:rPr lang="en-US"/>
                  <a:t>Biomass (t dm/tree/yr)</a:t>
                </a:r>
              </a:p>
            </c:rich>
          </c:tx>
          <c:overlay val="0"/>
        </c:title>
        <c:numFmt formatCode="0.00" sourceLinked="1"/>
        <c:majorTickMark val="out"/>
        <c:minorTickMark val="none"/>
        <c:tickLblPos val="nextTo"/>
        <c:crossAx val="-355651248"/>
        <c:crosses val="autoZero"/>
        <c:crossBetween val="midCat"/>
      </c:valAx>
    </c:plotArea>
    <c:legend>
      <c:legendPos val="r"/>
      <c:legendEntry>
        <c:idx val="4"/>
        <c:delete val="1"/>
      </c:legendEntry>
      <c:layout>
        <c:manualLayout>
          <c:xMode val="edge"/>
          <c:yMode val="edge"/>
          <c:x val="0.18248162729658801"/>
          <c:y val="7.8319845435987204E-2"/>
          <c:w val="0.26036488904796001"/>
          <c:h val="0.31746687826240799"/>
        </c:manualLayout>
      </c:layout>
      <c:overlay val="0"/>
    </c:legend>
    <c:plotVisOnly val="1"/>
    <c:dispBlanksAs val="gap"/>
    <c:showDLblsOverMax val="0"/>
  </c:chart>
  <c:printSettings>
    <c:headerFooter/>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19231260865119"/>
          <c:y val="3.65691489361702E-2"/>
          <c:w val="0.80014298131564698"/>
          <c:h val="0.78631706525381095"/>
        </c:manualLayout>
      </c:layout>
      <c:scatterChart>
        <c:scatterStyle val="lineMarker"/>
        <c:varyColors val="0"/>
        <c:ser>
          <c:idx val="0"/>
          <c:order val="0"/>
          <c:tx>
            <c:v>Uma et al. (2013)</c:v>
          </c:tx>
          <c:spPr>
            <a:ln w="47625">
              <a:noFill/>
            </a:ln>
          </c:spPr>
          <c:xVal>
            <c:numRef>
              <c:f>'GC C. Equis'!$B$8:$B$12</c:f>
              <c:numCache>
                <c:formatCode>General</c:formatCode>
                <c:ptCount val="5"/>
                <c:pt idx="0">
                  <c:v>1</c:v>
                </c:pt>
                <c:pt idx="1">
                  <c:v>2</c:v>
                </c:pt>
                <c:pt idx="2">
                  <c:v>3</c:v>
                </c:pt>
                <c:pt idx="3">
                  <c:v>4</c:v>
                </c:pt>
                <c:pt idx="4">
                  <c:v>15</c:v>
                </c:pt>
              </c:numCache>
            </c:numRef>
          </c:xVal>
          <c:yVal>
            <c:numRef>
              <c:f>'GC C. Equis'!$C$8:$C$12</c:f>
              <c:numCache>
                <c:formatCode>General</c:formatCode>
                <c:ptCount val="5"/>
                <c:pt idx="0">
                  <c:v>2.6</c:v>
                </c:pt>
                <c:pt idx="1">
                  <c:v>4.57</c:v>
                </c:pt>
                <c:pt idx="2">
                  <c:v>6.54</c:v>
                </c:pt>
              </c:numCache>
            </c:numRef>
          </c:yVal>
          <c:smooth val="0"/>
          <c:extLst>
            <c:ext xmlns:c16="http://schemas.microsoft.com/office/drawing/2014/chart" uri="{C3380CC4-5D6E-409C-BE32-E72D297353CC}">
              <c16:uniqueId val="{00000000-2F60-AB48-96C5-2AC36BBAA875}"/>
            </c:ext>
          </c:extLst>
        </c:ser>
        <c:ser>
          <c:idx val="1"/>
          <c:order val="1"/>
          <c:tx>
            <c:v>Geary (2003)</c:v>
          </c:tx>
          <c:spPr>
            <a:ln w="47625">
              <a:noFill/>
            </a:ln>
          </c:spPr>
          <c:xVal>
            <c:numRef>
              <c:f>'GC C. Equis'!$B$8:$B$12</c:f>
              <c:numCache>
                <c:formatCode>General</c:formatCode>
                <c:ptCount val="5"/>
                <c:pt idx="0">
                  <c:v>1</c:v>
                </c:pt>
                <c:pt idx="1">
                  <c:v>2</c:v>
                </c:pt>
                <c:pt idx="2">
                  <c:v>3</c:v>
                </c:pt>
                <c:pt idx="3">
                  <c:v>4</c:v>
                </c:pt>
                <c:pt idx="4">
                  <c:v>15</c:v>
                </c:pt>
              </c:numCache>
            </c:numRef>
          </c:xVal>
          <c:yVal>
            <c:numRef>
              <c:f>'GC C. Equis'!$D$8:$D$12</c:f>
              <c:numCache>
                <c:formatCode>General</c:formatCode>
                <c:ptCount val="5"/>
                <c:pt idx="3">
                  <c:v>7</c:v>
                </c:pt>
                <c:pt idx="4">
                  <c:v>13</c:v>
                </c:pt>
              </c:numCache>
            </c:numRef>
          </c:yVal>
          <c:smooth val="0"/>
          <c:extLst>
            <c:ext xmlns:c16="http://schemas.microsoft.com/office/drawing/2014/chart" uri="{C3380CC4-5D6E-409C-BE32-E72D297353CC}">
              <c16:uniqueId val="{00000001-2F60-AB48-96C5-2AC36BBAA875}"/>
            </c:ext>
          </c:extLst>
        </c:ser>
        <c:ser>
          <c:idx val="2"/>
          <c:order val="2"/>
          <c:tx>
            <c:v>Halos (1983)</c:v>
          </c:tx>
          <c:spPr>
            <a:ln w="47625">
              <a:noFill/>
            </a:ln>
          </c:spPr>
          <c:xVal>
            <c:numRef>
              <c:f>'GC C. Equis'!$B$8:$B$12</c:f>
              <c:numCache>
                <c:formatCode>General</c:formatCode>
                <c:ptCount val="5"/>
                <c:pt idx="0">
                  <c:v>1</c:v>
                </c:pt>
                <c:pt idx="1">
                  <c:v>2</c:v>
                </c:pt>
                <c:pt idx="2">
                  <c:v>3</c:v>
                </c:pt>
                <c:pt idx="3">
                  <c:v>4</c:v>
                </c:pt>
                <c:pt idx="4">
                  <c:v>15</c:v>
                </c:pt>
              </c:numCache>
            </c:numRef>
          </c:xVal>
          <c:yVal>
            <c:numRef>
              <c:f>'GC C. Equis'!$E$8:$E$12</c:f>
              <c:numCache>
                <c:formatCode>General</c:formatCode>
                <c:ptCount val="5"/>
                <c:pt idx="0">
                  <c:v>0.6</c:v>
                </c:pt>
                <c:pt idx="1">
                  <c:v>1.8</c:v>
                </c:pt>
                <c:pt idx="2">
                  <c:v>2.6</c:v>
                </c:pt>
              </c:numCache>
            </c:numRef>
          </c:yVal>
          <c:smooth val="0"/>
          <c:extLst>
            <c:ext xmlns:c16="http://schemas.microsoft.com/office/drawing/2014/chart" uri="{C3380CC4-5D6E-409C-BE32-E72D297353CC}">
              <c16:uniqueId val="{00000002-2F60-AB48-96C5-2AC36BBAA875}"/>
            </c:ext>
          </c:extLst>
        </c:ser>
        <c:ser>
          <c:idx val="3"/>
          <c:order val="3"/>
          <c:tx>
            <c:v>Schneider et al. (2009)</c:v>
          </c:tx>
          <c:spPr>
            <a:ln w="3175">
              <a:solidFill>
                <a:srgbClr val="660066"/>
              </a:solidFill>
            </a:ln>
          </c:spPr>
          <c:xVal>
            <c:numRef>
              <c:f>'GC C. Equis'!$B$8:$B$12</c:f>
              <c:numCache>
                <c:formatCode>General</c:formatCode>
                <c:ptCount val="5"/>
                <c:pt idx="0">
                  <c:v>1</c:v>
                </c:pt>
                <c:pt idx="1">
                  <c:v>2</c:v>
                </c:pt>
                <c:pt idx="2">
                  <c:v>3</c:v>
                </c:pt>
                <c:pt idx="3">
                  <c:v>4</c:v>
                </c:pt>
                <c:pt idx="4">
                  <c:v>15</c:v>
                </c:pt>
              </c:numCache>
            </c:numRef>
          </c:xVal>
          <c:yVal>
            <c:numRef>
              <c:f>'GC C. Equis'!$F$8:$F$12</c:f>
              <c:numCache>
                <c:formatCode>General</c:formatCode>
                <c:ptCount val="5"/>
                <c:pt idx="0">
                  <c:v>0.86</c:v>
                </c:pt>
                <c:pt idx="1">
                  <c:v>1.72</c:v>
                </c:pt>
                <c:pt idx="2">
                  <c:v>2.58</c:v>
                </c:pt>
                <c:pt idx="3">
                  <c:v>3.44</c:v>
                </c:pt>
                <c:pt idx="4">
                  <c:v>12.9</c:v>
                </c:pt>
              </c:numCache>
            </c:numRef>
          </c:yVal>
          <c:smooth val="0"/>
          <c:extLst>
            <c:ext xmlns:c16="http://schemas.microsoft.com/office/drawing/2014/chart" uri="{C3380CC4-5D6E-409C-BE32-E72D297353CC}">
              <c16:uniqueId val="{00000003-2F60-AB48-96C5-2AC36BBAA875}"/>
            </c:ext>
          </c:extLst>
        </c:ser>
        <c:ser>
          <c:idx val="4"/>
          <c:order val="4"/>
          <c:spPr>
            <a:ln w="47625">
              <a:noFill/>
            </a:ln>
          </c:spPr>
          <c:trendline>
            <c:trendlineType val="log"/>
            <c:dispRSqr val="0"/>
            <c:dispEq val="0"/>
          </c:trendline>
          <c:trendline>
            <c:trendlineType val="log"/>
            <c:dispRSqr val="1"/>
            <c:dispEq val="1"/>
            <c:trendlineLbl>
              <c:layout>
                <c:manualLayout>
                  <c:x val="-8.0181657487619198E-2"/>
                  <c:y val="0"/>
                </c:manualLayout>
              </c:layout>
              <c:numFmt formatCode="General" sourceLinked="0"/>
            </c:trendlineLbl>
          </c:trendline>
          <c:xVal>
            <c:numRef>
              <c:f>'GC C. Equis'!$B$8:$B$12</c:f>
              <c:numCache>
                <c:formatCode>General</c:formatCode>
                <c:ptCount val="5"/>
                <c:pt idx="0">
                  <c:v>1</c:v>
                </c:pt>
                <c:pt idx="1">
                  <c:v>2</c:v>
                </c:pt>
                <c:pt idx="2">
                  <c:v>3</c:v>
                </c:pt>
                <c:pt idx="3">
                  <c:v>4</c:v>
                </c:pt>
                <c:pt idx="4">
                  <c:v>15</c:v>
                </c:pt>
              </c:numCache>
            </c:numRef>
          </c:xVal>
          <c:yVal>
            <c:numRef>
              <c:f>'GC C. Equis'!$H$8:$H$12</c:f>
              <c:numCache>
                <c:formatCode>General</c:formatCode>
                <c:ptCount val="5"/>
                <c:pt idx="0">
                  <c:v>2.6</c:v>
                </c:pt>
                <c:pt idx="1">
                  <c:v>4.57</c:v>
                </c:pt>
                <c:pt idx="2">
                  <c:v>6.54</c:v>
                </c:pt>
                <c:pt idx="3">
                  <c:v>8</c:v>
                </c:pt>
                <c:pt idx="4">
                  <c:v>12.9</c:v>
                </c:pt>
              </c:numCache>
            </c:numRef>
          </c:yVal>
          <c:smooth val="0"/>
          <c:extLst>
            <c:ext xmlns:c16="http://schemas.microsoft.com/office/drawing/2014/chart" uri="{C3380CC4-5D6E-409C-BE32-E72D297353CC}">
              <c16:uniqueId val="{00000006-2F60-AB48-96C5-2AC36BBAA875}"/>
            </c:ext>
          </c:extLst>
        </c:ser>
        <c:ser>
          <c:idx val="5"/>
          <c:order val="5"/>
          <c:spPr>
            <a:ln w="47625">
              <a:noFill/>
            </a:ln>
          </c:spPr>
          <c:xVal>
            <c:numRef>
              <c:f>'GC C. Equis'!$B$8:$B$14</c:f>
              <c:numCache>
                <c:formatCode>General</c:formatCode>
                <c:ptCount val="7"/>
                <c:pt idx="0">
                  <c:v>1</c:v>
                </c:pt>
                <c:pt idx="1">
                  <c:v>2</c:v>
                </c:pt>
                <c:pt idx="2">
                  <c:v>3</c:v>
                </c:pt>
                <c:pt idx="3">
                  <c:v>4</c:v>
                </c:pt>
                <c:pt idx="4">
                  <c:v>15</c:v>
                </c:pt>
                <c:pt idx="5">
                  <c:v>20</c:v>
                </c:pt>
                <c:pt idx="6">
                  <c:v>30</c:v>
                </c:pt>
              </c:numCache>
            </c:numRef>
          </c:xVal>
          <c:yVal>
            <c:numRef>
              <c:f>'GC C. Equis'!$I$8:$I$14</c:f>
              <c:numCache>
                <c:formatCode>0.00</c:formatCode>
                <c:ptCount val="7"/>
                <c:pt idx="0">
                  <c:v>2.3359999999999999</c:v>
                </c:pt>
                <c:pt idx="1">
                  <c:v>5.0981915145313819</c:v>
                </c:pt>
                <c:pt idx="2">
                  <c:v>6.7139699703424167</c:v>
                </c:pt>
                <c:pt idx="3">
                  <c:v>7.8603830290627634</c:v>
                </c:pt>
                <c:pt idx="4">
                  <c:v>13.127580051392307</c:v>
                </c:pt>
                <c:pt idx="5">
                  <c:v>14.273993110112654</c:v>
                </c:pt>
                <c:pt idx="6">
                  <c:v>15.88977156592369</c:v>
                </c:pt>
              </c:numCache>
            </c:numRef>
          </c:yVal>
          <c:smooth val="0"/>
          <c:extLst>
            <c:ext xmlns:c16="http://schemas.microsoft.com/office/drawing/2014/chart" uri="{C3380CC4-5D6E-409C-BE32-E72D297353CC}">
              <c16:uniqueId val="{00000007-2F60-AB48-96C5-2AC36BBAA875}"/>
            </c:ext>
          </c:extLst>
        </c:ser>
        <c:dLbls>
          <c:showLegendKey val="0"/>
          <c:showVal val="0"/>
          <c:showCatName val="0"/>
          <c:showSerName val="0"/>
          <c:showPercent val="0"/>
          <c:showBubbleSize val="0"/>
        </c:dLbls>
        <c:axId val="-462085552"/>
        <c:axId val="-359393872"/>
      </c:scatterChart>
      <c:valAx>
        <c:axId val="-462085552"/>
        <c:scaling>
          <c:orientation val="minMax"/>
          <c:max val="30"/>
        </c:scaling>
        <c:delete val="0"/>
        <c:axPos val="b"/>
        <c:title>
          <c:tx>
            <c:rich>
              <a:bodyPr/>
              <a:lstStyle/>
              <a:p>
                <a:pPr>
                  <a:defRPr/>
                </a:pPr>
                <a:r>
                  <a:rPr lang="en-US"/>
                  <a:t>Age (yr)</a:t>
                </a:r>
              </a:p>
            </c:rich>
          </c:tx>
          <c:overlay val="0"/>
        </c:title>
        <c:numFmt formatCode="General" sourceLinked="1"/>
        <c:majorTickMark val="out"/>
        <c:minorTickMark val="none"/>
        <c:tickLblPos val="nextTo"/>
        <c:crossAx val="-359393872"/>
        <c:crosses val="autoZero"/>
        <c:crossBetween val="midCat"/>
      </c:valAx>
      <c:valAx>
        <c:axId val="-359393872"/>
        <c:scaling>
          <c:orientation val="minMax"/>
        </c:scaling>
        <c:delete val="0"/>
        <c:axPos val="l"/>
        <c:majorGridlines/>
        <c:title>
          <c:tx>
            <c:rich>
              <a:bodyPr/>
              <a:lstStyle/>
              <a:p>
                <a:pPr>
                  <a:defRPr/>
                </a:pPr>
                <a:r>
                  <a:rPr lang="en-US"/>
                  <a:t>DBH (cm)</a:t>
                </a:r>
              </a:p>
            </c:rich>
          </c:tx>
          <c:overlay val="0"/>
        </c:title>
        <c:numFmt formatCode="General" sourceLinked="1"/>
        <c:majorTickMark val="out"/>
        <c:minorTickMark val="none"/>
        <c:tickLblPos val="nextTo"/>
        <c:crossAx val="-462085552"/>
        <c:crosses val="autoZero"/>
        <c:crossBetween val="midCat"/>
      </c:valAx>
    </c:plotArea>
    <c:legend>
      <c:legendPos val="r"/>
      <c:legendEntry>
        <c:idx val="6"/>
        <c:delete val="1"/>
      </c:legendEntry>
      <c:legendEntry>
        <c:idx val="7"/>
        <c:delete val="1"/>
      </c:legendEntry>
      <c:layout>
        <c:manualLayout>
          <c:xMode val="edge"/>
          <c:yMode val="edge"/>
          <c:x val="0.430913911735059"/>
          <c:y val="0.43417822975711101"/>
          <c:w val="0.43297225833783798"/>
          <c:h val="0.29450998999717898"/>
        </c:manualLayout>
      </c:layout>
      <c:overlay val="0"/>
    </c:legend>
    <c:plotVisOnly val="1"/>
    <c:dispBlanksAs val="gap"/>
    <c:showDLblsOverMax val="0"/>
  </c:chart>
  <c:printSettings>
    <c:headerFooter/>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xVal>
            <c:numRef>
              <c:f>'GIS Area Results'!$B$6:$B$16</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xVal>
          <c:yVal>
            <c:numRef>
              <c:f>'GIS Area Results'!$C$6:$C$16</c:f>
              <c:numCache>
                <c:formatCode>0.00</c:formatCode>
                <c:ptCount val="11"/>
                <c:pt idx="0">
                  <c:v>2.6</c:v>
                </c:pt>
                <c:pt idx="1">
                  <c:v>4.6870000000000003</c:v>
                </c:pt>
                <c:pt idx="2">
                  <c:v>7.24</c:v>
                </c:pt>
                <c:pt idx="3">
                  <c:v>10.137700000000001</c:v>
                </c:pt>
                <c:pt idx="4">
                  <c:v>16.989999999999998</c:v>
                </c:pt>
                <c:pt idx="5">
                  <c:v>29.2</c:v>
                </c:pt>
                <c:pt idx="6">
                  <c:v>57.24</c:v>
                </c:pt>
                <c:pt idx="7">
                  <c:v>146.93</c:v>
                </c:pt>
                <c:pt idx="8" formatCode="General">
                  <c:v>161.71</c:v>
                </c:pt>
                <c:pt idx="9" formatCode="General">
                  <c:v>175.1003</c:v>
                </c:pt>
                <c:pt idx="10" formatCode="General">
                  <c:v>175.16030000000001</c:v>
                </c:pt>
              </c:numCache>
            </c:numRef>
          </c:yVal>
          <c:smooth val="0"/>
          <c:extLst>
            <c:ext xmlns:c16="http://schemas.microsoft.com/office/drawing/2014/chart" uri="{C3380CC4-5D6E-409C-BE32-E72D297353CC}">
              <c16:uniqueId val="{00000000-A48A-4C72-8430-F293D39771B5}"/>
            </c:ext>
          </c:extLst>
        </c:ser>
        <c:dLbls>
          <c:showLegendKey val="0"/>
          <c:showVal val="0"/>
          <c:showCatName val="0"/>
          <c:showSerName val="0"/>
          <c:showPercent val="0"/>
          <c:showBubbleSize val="0"/>
        </c:dLbls>
        <c:axId val="1531527183"/>
        <c:axId val="1768519471"/>
      </c:scatterChart>
      <c:valAx>
        <c:axId val="153152718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Planting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8519471"/>
        <c:crosses val="autoZero"/>
        <c:crossBetween val="midCat"/>
      </c:valAx>
      <c:valAx>
        <c:axId val="17685194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Eligible Planting Area (ha)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152718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4361562820951701"/>
          <c:y val="3.5763411279229697E-2"/>
          <c:w val="0.77733239187492897"/>
          <c:h val="0.77062753519446403"/>
        </c:manualLayout>
      </c:layout>
      <c:lineChart>
        <c:grouping val="standard"/>
        <c:varyColors val="0"/>
        <c:ser>
          <c:idx val="1"/>
          <c:order val="0"/>
          <c:tx>
            <c:v>Growth Curve/Biomass Equation</c:v>
          </c:tx>
          <c:cat>
            <c:numRef>
              <c:f>'S. Macro'!$A$16:$A$46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'S. Macro'!$D$16:$D$46</c:f>
              <c:numCache>
                <c:formatCode>0.000</c:formatCode>
                <c:ptCount val="31"/>
                <c:pt idx="0">
                  <c:v>0</c:v>
                </c:pt>
                <c:pt idx="1">
                  <c:v>1.0474693363755296E-4</c:v>
                </c:pt>
                <c:pt idx="2">
                  <c:v>6.7127690645538271E-4</c:v>
                </c:pt>
                <c:pt idx="3">
                  <c:v>1.989877223048127E-3</c:v>
                </c:pt>
                <c:pt idx="4">
                  <c:v>4.3019176742636256E-3</c:v>
                </c:pt>
                <c:pt idx="5">
                  <c:v>7.8231368947970243E-3</c:v>
                </c:pt>
                <c:pt idx="6">
                  <c:v>1.2752245627884313E-2</c:v>
                </c:pt>
                <c:pt idx="7">
                  <c:v>1.9275429572460551E-2</c:v>
                </c:pt>
                <c:pt idx="8">
                  <c:v>2.7569093317784E-2</c:v>
                </c:pt>
                <c:pt idx="9">
                  <c:v>3.7801692377046912E-2</c:v>
                </c:pt>
                <c:pt idx="10">
                  <c:v>5.013503451745531E-2</c:v>
                </c:pt>
                <c:pt idx="11">
                  <c:v>6.4725246713000145E-2</c:v>
                </c:pt>
                <c:pt idx="12">
                  <c:v>8.172351875297669E-2</c:v>
                </c:pt>
                <c:pt idx="13">
                  <c:v>0.10127669081542588</c:v>
                </c:pt>
                <c:pt idx="14">
                  <c:v>0.12352772806478696</c:v>
                </c:pt>
                <c:pt idx="15">
                  <c:v>0.14861611103203756</c:v>
                </c:pt>
                <c:pt idx="16">
                  <c:v>0.17082141354340147</c:v>
                </c:pt>
                <c:pt idx="17">
                  <c:v>0.19499837590042343</c:v>
                </c:pt>
                <c:pt idx="18">
                  <c:v>0.22121435397101288</c:v>
                </c:pt>
                <c:pt idx="19">
                  <c:v>0.24953567186622208</c:v>
                </c:pt>
                <c:pt idx="20">
                  <c:v>0.28002768419531632</c:v>
                </c:pt>
                <c:pt idx="21">
                  <c:v>0.31275483200358617</c:v>
                </c:pt>
                <c:pt idx="22">
                  <c:v>0.34778069327226496</c:v>
                </c:pt>
                <c:pt idx="23">
                  <c:v>0.38516802870699068</c:v>
                </c:pt>
                <c:pt idx="24">
                  <c:v>0.42497882341979537</c:v>
                </c:pt>
                <c:pt idx="25">
                  <c:v>0.46727432501225052</c:v>
                </c:pt>
                <c:pt idx="26">
                  <c:v>0.51211507848864657</c:v>
                </c:pt>
                <c:pt idx="27">
                  <c:v>0.55956095836384956</c:v>
                </c:pt>
                <c:pt idx="28">
                  <c:v>0.60967119827772254</c:v>
                </c:pt>
                <c:pt idx="29">
                  <c:v>0.66250441838431995</c:v>
                </c:pt>
                <c:pt idx="30">
                  <c:v>0.71811865074769254</c:v>
                </c:pt>
              </c:numCache>
            </c:numRef>
          </c:val>
          <c:smooth val="0"/>
          <c:extLst>
            <c:ext xmlns:c16="http://schemas.microsoft.com/office/drawing/2014/chart" uri="{C3380CC4-5D6E-409C-BE32-E72D297353CC}">
              <c16:uniqueId val="{00000000-9D98-914C-A0F0-6AB6272C2F34}"/>
            </c:ext>
          </c:extLst>
        </c:ser>
        <c:ser>
          <c:idx val="0"/>
          <c:order val="1"/>
          <c:tx>
            <c:v>Average Linear Biomass</c:v>
          </c:tx>
          <c:spPr>
            <a:ln>
              <a:solidFill>
                <a:schemeClr val="accent1"/>
              </a:solidFill>
            </a:ln>
          </c:spPr>
          <c:marker>
            <c:spPr>
              <a:ln>
                <a:solidFill>
                  <a:schemeClr val="accent1"/>
                </a:solidFill>
              </a:ln>
            </c:spPr>
          </c:marker>
          <c:trendline>
            <c:trendlineType val="linear"/>
            <c:dispRSqr val="0"/>
            <c:dispEq val="0"/>
          </c:trendline>
          <c:cat>
            <c:numRef>
              <c:f>'S. Macro'!$A$16:$A$46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'S. Macro'!$H$16:$H$46</c:f>
              <c:numCache>
                <c:formatCode>0.000</c:formatCode>
                <c:ptCount val="31"/>
                <c:pt idx="0" formatCode="0.0">
                  <c:v>0</c:v>
                </c:pt>
                <c:pt idx="1">
                  <c:v>0</c:v>
                </c:pt>
                <c:pt idx="2">
                  <c:v>2.3199999999999998E-2</c:v>
                </c:pt>
                <c:pt idx="3">
                  <c:v>4.6399999999999997E-2</c:v>
                </c:pt>
                <c:pt idx="4">
                  <c:v>6.9599999999999995E-2</c:v>
                </c:pt>
                <c:pt idx="5">
                  <c:v>9.2799999999999994E-2</c:v>
                </c:pt>
                <c:pt idx="6">
                  <c:v>0.11599999999999999</c:v>
                </c:pt>
                <c:pt idx="7">
                  <c:v>0.13919999999999999</c:v>
                </c:pt>
                <c:pt idx="8">
                  <c:v>0.16239999999999999</c:v>
                </c:pt>
                <c:pt idx="9">
                  <c:v>0.18559999999999999</c:v>
                </c:pt>
                <c:pt idx="10">
                  <c:v>0.20879999999999999</c:v>
                </c:pt>
                <c:pt idx="11">
                  <c:v>0.23199999999999998</c:v>
                </c:pt>
                <c:pt idx="12">
                  <c:v>0.25519999999999998</c:v>
                </c:pt>
                <c:pt idx="13">
                  <c:v>0.27839999999999998</c:v>
                </c:pt>
                <c:pt idx="14">
                  <c:v>0.30159999999999998</c:v>
                </c:pt>
                <c:pt idx="15">
                  <c:v>0.32479999999999998</c:v>
                </c:pt>
                <c:pt idx="16">
                  <c:v>0.34799999999999998</c:v>
                </c:pt>
                <c:pt idx="17">
                  <c:v>0.37119999999999997</c:v>
                </c:pt>
                <c:pt idx="18">
                  <c:v>0.39439999999999997</c:v>
                </c:pt>
                <c:pt idx="19">
                  <c:v>0.41759999999999997</c:v>
                </c:pt>
                <c:pt idx="20">
                  <c:v>0.44079999999999997</c:v>
                </c:pt>
                <c:pt idx="21">
                  <c:v>0.46399999999999997</c:v>
                </c:pt>
                <c:pt idx="22">
                  <c:v>0.48719999999999997</c:v>
                </c:pt>
                <c:pt idx="23">
                  <c:v>0.51039999999999996</c:v>
                </c:pt>
                <c:pt idx="24">
                  <c:v>0.53359999999999996</c:v>
                </c:pt>
                <c:pt idx="25">
                  <c:v>0.55679999999999996</c:v>
                </c:pt>
                <c:pt idx="26">
                  <c:v>0.57999999999999996</c:v>
                </c:pt>
                <c:pt idx="27">
                  <c:v>0.60319999999999996</c:v>
                </c:pt>
                <c:pt idx="28">
                  <c:v>0.62639999999999996</c:v>
                </c:pt>
                <c:pt idx="29">
                  <c:v>0.64959999999999996</c:v>
                </c:pt>
                <c:pt idx="30" formatCode="0.0000">
                  <c:v>0.69495353298163787</c:v>
                </c:pt>
              </c:numCache>
            </c:numRef>
          </c:val>
          <c:smooth val="0"/>
          <c:extLst>
            <c:ext xmlns:c16="http://schemas.microsoft.com/office/drawing/2014/chart" uri="{C3380CC4-5D6E-409C-BE32-E72D297353CC}">
              <c16:uniqueId val="{00000002-9D98-914C-A0F0-6AB6272C2F34}"/>
            </c:ext>
          </c:extLst>
        </c:ser>
        <c:ser>
          <c:idx val="2"/>
          <c:order val="2"/>
          <c:val>
            <c:numRef>
              <c:f>'S. Macro'!$O$16:$O$46</c:f>
              <c:numCache>
                <c:formatCode>0.000</c:formatCode>
                <c:ptCount val="31"/>
                <c:pt idx="0">
                  <c:v>0</c:v>
                </c:pt>
                <c:pt idx="1">
                  <c:v>2.9736698964572716E-4</c:v>
                </c:pt>
                <c:pt idx="2">
                  <c:v>1.9056939039575761E-3</c:v>
                </c:pt>
                <c:pt idx="3">
                  <c:v>5.6490799208491682E-3</c:v>
                </c:pt>
                <c:pt idx="4">
                  <c:v>1.2212751858932685E-2</c:v>
                </c:pt>
                <c:pt idx="5">
                  <c:v>2.2209172022561154E-2</c:v>
                </c:pt>
                <c:pt idx="6">
                  <c:v>3.6202462085509084E-2</c:v>
                </c:pt>
                <c:pt idx="7">
                  <c:v>5.4721186263307221E-2</c:v>
                </c:pt>
                <c:pt idx="8">
                  <c:v>7.8266141093341041E-2</c:v>
                </c:pt>
                <c:pt idx="9">
                  <c:v>0.10731555641115451</c:v>
                </c:pt>
                <c:pt idx="10">
                  <c:v>0.14232878970783946</c:v>
                </c:pt>
                <c:pt idx="11">
                  <c:v>0.18374907122074943</c:v>
                </c:pt>
                <c:pt idx="12">
                  <c:v>0.23200561497025327</c:v>
                </c:pt>
                <c:pt idx="13">
                  <c:v>0.28751528682713823</c:v>
                </c:pt>
                <c:pt idx="14">
                  <c:v>0.35068395185205187</c:v>
                </c:pt>
                <c:pt idx="15">
                  <c:v>0.4219075825491112</c:v>
                </c:pt>
                <c:pt idx="16">
                  <c:v>0.48494641082474566</c:v>
                </c:pt>
                <c:pt idx="17">
                  <c:v>0.55358260154859662</c:v>
                </c:pt>
                <c:pt idx="18">
                  <c:v>0.6280073718854996</c:v>
                </c:pt>
                <c:pt idx="19">
                  <c:v>0.70840900993668332</c:v>
                </c:pt>
                <c:pt idx="20">
                  <c:v>0.79497305147624797</c:v>
                </c:pt>
                <c:pt idx="21">
                  <c:v>0.88788243875349915</c:v>
                </c:pt>
                <c:pt idx="22">
                  <c:v>0.98731766385761421</c:v>
                </c:pt>
                <c:pt idx="23">
                  <c:v>1.0934568987069058</c:v>
                </c:pt>
                <c:pt idx="24">
                  <c:v>1.2064761133801889</c:v>
                </c:pt>
                <c:pt idx="25">
                  <c:v>1.3265491842313568</c:v>
                </c:pt>
                <c:pt idx="26">
                  <c:v>1.453847993004713</c:v>
                </c:pt>
                <c:pt idx="27">
                  <c:v>1.5885425179862391</c:v>
                </c:pt>
                <c:pt idx="28">
                  <c:v>1.7308009180762569</c:v>
                </c:pt>
                <c:pt idx="29">
                  <c:v>1.8807896105448298</c:v>
                </c:pt>
                <c:pt idx="30">
                  <c:v>2.0386733431281487</c:v>
                </c:pt>
              </c:numCache>
            </c:numRef>
          </c:val>
          <c:smooth val="0"/>
          <c:extLst>
            <c:ext xmlns:c16="http://schemas.microsoft.com/office/drawing/2014/chart" uri="{C3380CC4-5D6E-409C-BE32-E72D297353CC}">
              <c16:uniqueId val="{00000003-9D98-914C-A0F0-6AB6272C2F34}"/>
            </c:ext>
          </c:extLst>
        </c:ser>
        <c:dLbls>
          <c:showLegendKey val="0"/>
          <c:showVal val="0"/>
          <c:showCatName val="0"/>
          <c:showSerName val="0"/>
          <c:showPercent val="0"/>
          <c:showBubbleSize val="0"/>
        </c:dLbls>
        <c:marker val="1"/>
        <c:smooth val="0"/>
        <c:axId val="-337707168"/>
        <c:axId val="-343265664"/>
      </c:lineChart>
      <c:catAx>
        <c:axId val="-337707168"/>
        <c:scaling>
          <c:orientation val="minMax"/>
        </c:scaling>
        <c:delete val="0"/>
        <c:axPos val="b"/>
        <c:title>
          <c:tx>
            <c:rich>
              <a:bodyPr/>
              <a:lstStyle/>
              <a:p>
                <a:pPr>
                  <a:defRPr/>
                </a:pPr>
                <a:r>
                  <a:rPr lang="en-US"/>
                  <a:t>Age (year)</a:t>
                </a:r>
              </a:p>
            </c:rich>
          </c:tx>
          <c:layout>
            <c:manualLayout>
              <c:xMode val="edge"/>
              <c:yMode val="edge"/>
              <c:x val="0.48978874243980403"/>
              <c:y val="0.899530878798253"/>
            </c:manualLayout>
          </c:layout>
          <c:overlay val="0"/>
        </c:title>
        <c:numFmt formatCode="General" sourceLinked="1"/>
        <c:majorTickMark val="out"/>
        <c:minorTickMark val="none"/>
        <c:tickLblPos val="nextTo"/>
        <c:crossAx val="-343265664"/>
        <c:crosses val="autoZero"/>
        <c:auto val="1"/>
        <c:lblAlgn val="ctr"/>
        <c:lblOffset val="100"/>
        <c:noMultiLvlLbl val="0"/>
      </c:catAx>
      <c:valAx>
        <c:axId val="-343265664"/>
        <c:scaling>
          <c:orientation val="minMax"/>
          <c:min val="0"/>
        </c:scaling>
        <c:delete val="0"/>
        <c:axPos val="l"/>
        <c:majorGridlines/>
        <c:title>
          <c:tx>
            <c:rich>
              <a:bodyPr rot="-5400000" vert="horz"/>
              <a:lstStyle/>
              <a:p>
                <a:pPr>
                  <a:defRPr/>
                </a:pPr>
                <a:r>
                  <a:rPr lang="en-US"/>
                  <a:t>Biomass (kg d.m/tee/yr)</a:t>
                </a:r>
              </a:p>
            </c:rich>
          </c:tx>
          <c:layout>
            <c:manualLayout>
              <c:xMode val="edge"/>
              <c:yMode val="edge"/>
              <c:x val="2.8985507246376802E-2"/>
              <c:y val="0.39015282305667798"/>
            </c:manualLayout>
          </c:layout>
          <c:overlay val="0"/>
        </c:title>
        <c:numFmt formatCode="0.000" sourceLinked="1"/>
        <c:majorTickMark val="out"/>
        <c:minorTickMark val="none"/>
        <c:tickLblPos val="nextTo"/>
        <c:crossAx val="-337707168"/>
        <c:crosses val="autoZero"/>
        <c:crossBetween val="between"/>
      </c:valAx>
    </c:plotArea>
    <c:legend>
      <c:legendPos val="r"/>
      <c:legendEntry>
        <c:idx val="3"/>
        <c:delete val="1"/>
      </c:legendEntry>
      <c:layout>
        <c:manualLayout>
          <c:xMode val="edge"/>
          <c:yMode val="edge"/>
          <c:x val="0.181817585301837"/>
          <c:y val="0.23005664525771999"/>
          <c:w val="0.34167530153621301"/>
          <c:h val="0.16274279263049601"/>
        </c:manualLayout>
      </c:layout>
      <c:overlay val="0"/>
    </c:legend>
    <c:plotVisOnly val="1"/>
    <c:dispBlanksAs val="gap"/>
    <c:showDLblsOverMax val="0"/>
  </c:chart>
  <c:printSettings>
    <c:headerFooter/>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14660411109868901"/>
          <c:y val="6.0185185185185203E-2"/>
          <c:w val="0.77163805082173997"/>
          <c:h val="0.76024706911635997"/>
        </c:manualLayout>
      </c:layout>
      <c:lineChart>
        <c:grouping val="standard"/>
        <c:varyColors val="0"/>
        <c:ser>
          <c:idx val="1"/>
          <c:order val="0"/>
          <c:tx>
            <c:v>Biomass Equation/Growth curve</c:v>
          </c:tx>
          <c:val>
            <c:numRef>
              <c:f>'E. Uro'!$E$17:$E$47</c:f>
              <c:numCache>
                <c:formatCode>0.000</c:formatCode>
                <c:ptCount val="31"/>
                <c:pt idx="0">
                  <c:v>0</c:v>
                </c:pt>
                <c:pt idx="1">
                  <c:v>1.5681124073047754E-3</c:v>
                </c:pt>
                <c:pt idx="2">
                  <c:v>4.0844036319929991E-3</c:v>
                </c:pt>
                <c:pt idx="3">
                  <c:v>8.055806219895956E-3</c:v>
                </c:pt>
                <c:pt idx="4">
                  <c:v>2.0982656619449747E-2</c:v>
                </c:pt>
                <c:pt idx="5">
                  <c:v>2.5767914199914879E-2</c:v>
                </c:pt>
                <c:pt idx="6">
                  <c:v>3.1128098969882327E-2</c:v>
                </c:pt>
                <c:pt idx="7">
                  <c:v>3.4029092805665316E-2</c:v>
                </c:pt>
                <c:pt idx="8">
                  <c:v>3.7080077745097646E-2</c:v>
                </c:pt>
                <c:pt idx="9">
                  <c:v>4.0283036243796727E-2</c:v>
                </c:pt>
                <c:pt idx="10">
                  <c:v>4.3639905999399868E-2</c:v>
                </c:pt>
                <c:pt idx="11">
                  <c:v>4.7152582455814988E-2</c:v>
                </c:pt>
                <c:pt idx="12">
                  <c:v>5.0822921089248345E-2</c:v>
                </c:pt>
                <c:pt idx="13">
                  <c:v>5.4652739501400885E-2</c:v>
                </c:pt>
                <c:pt idx="14">
                  <c:v>5.8643819341573075E-2</c:v>
                </c:pt>
                <c:pt idx="15">
                  <c:v>6.279790807638766E-2</c:v>
                </c:pt>
                <c:pt idx="16">
                  <c:v>6.7116720623307161E-2</c:v>
                </c:pt>
                <c:pt idx="17">
                  <c:v>7.1601940861993563E-2</c:v>
                </c:pt>
                <c:pt idx="18">
                  <c:v>7.6255223035764222E-2</c:v>
                </c:pt>
                <c:pt idx="19">
                  <c:v>8.1078193053869652E-2</c:v>
                </c:pt>
                <c:pt idx="20">
                  <c:v>8.6072449704021489E-2</c:v>
                </c:pt>
                <c:pt idx="21">
                  <c:v>9.1239565783483259E-2</c:v>
                </c:pt>
                <c:pt idx="22">
                  <c:v>9.6581089156081254E-2</c:v>
                </c:pt>
                <c:pt idx="23">
                  <c:v>0.1020985437416639</c:v>
                </c:pt>
                <c:pt idx="24">
                  <c:v>0.10779343044382374</c:v>
                </c:pt>
                <c:pt idx="25">
                  <c:v>0.11366722802107058</c:v>
                </c:pt>
                <c:pt idx="26">
                  <c:v>0.11972139390610365</c:v>
                </c:pt>
                <c:pt idx="27">
                  <c:v>0.12595736497735166</c:v>
                </c:pt>
                <c:pt idx="28">
                  <c:v>0.13237655828653505</c:v>
                </c:pt>
                <c:pt idx="29">
                  <c:v>0.1389803717456311</c:v>
                </c:pt>
                <c:pt idx="30">
                  <c:v>0.14577018477630507</c:v>
                </c:pt>
              </c:numCache>
            </c:numRef>
          </c:val>
          <c:smooth val="0"/>
          <c:extLst>
            <c:ext xmlns:c16="http://schemas.microsoft.com/office/drawing/2014/chart" uri="{C3380CC4-5D6E-409C-BE32-E72D297353CC}">
              <c16:uniqueId val="{00000000-BACA-FD4F-B7E2-6107B9097617}"/>
            </c:ext>
          </c:extLst>
        </c:ser>
        <c:ser>
          <c:idx val="0"/>
          <c:order val="1"/>
          <c:tx>
            <c:v>Average Linear Biomass</c:v>
          </c:tx>
          <c:trendline>
            <c:trendlineType val="linear"/>
            <c:dispRSqr val="0"/>
            <c:dispEq val="0"/>
          </c:trendline>
          <c:val>
            <c:numRef>
              <c:f>'E. Uro'!$I$17:$I$47</c:f>
              <c:numCache>
                <c:formatCode>0.000</c:formatCode>
                <c:ptCount val="31"/>
                <c:pt idx="0">
                  <c:v>0</c:v>
                </c:pt>
                <c:pt idx="1">
                  <c:v>0</c:v>
                </c:pt>
                <c:pt idx="2">
                  <c:v>4.7000000000000002E-3</c:v>
                </c:pt>
                <c:pt idx="3">
                  <c:v>9.4000000000000021E-3</c:v>
                </c:pt>
                <c:pt idx="4">
                  <c:v>1.4100000000000001E-2</c:v>
                </c:pt>
                <c:pt idx="5">
                  <c:v>1.8800000000000001E-2</c:v>
                </c:pt>
                <c:pt idx="6">
                  <c:v>2.3500000000000004E-2</c:v>
                </c:pt>
                <c:pt idx="7">
                  <c:v>2.8199999999999999E-2</c:v>
                </c:pt>
                <c:pt idx="8">
                  <c:v>3.2899999999999999E-2</c:v>
                </c:pt>
                <c:pt idx="9">
                  <c:v>3.7600000000000001E-2</c:v>
                </c:pt>
                <c:pt idx="10">
                  <c:v>4.2299999999999997E-2</c:v>
                </c:pt>
                <c:pt idx="11">
                  <c:v>4.7E-2</c:v>
                </c:pt>
                <c:pt idx="12">
                  <c:v>5.1700000000000003E-2</c:v>
                </c:pt>
                <c:pt idx="13">
                  <c:v>5.6399999999999999E-2</c:v>
                </c:pt>
                <c:pt idx="14">
                  <c:v>6.1099999999999995E-2</c:v>
                </c:pt>
                <c:pt idx="15">
                  <c:v>6.5800000000000011E-2</c:v>
                </c:pt>
                <c:pt idx="16">
                  <c:v>7.0500000000000007E-2</c:v>
                </c:pt>
                <c:pt idx="17">
                  <c:v>7.5200000000000003E-2</c:v>
                </c:pt>
                <c:pt idx="18">
                  <c:v>7.9900000000000013E-2</c:v>
                </c:pt>
                <c:pt idx="19">
                  <c:v>8.4600000000000009E-2</c:v>
                </c:pt>
                <c:pt idx="20">
                  <c:v>8.9300000000000004E-2</c:v>
                </c:pt>
                <c:pt idx="21">
                  <c:v>9.4000000000000014E-2</c:v>
                </c:pt>
                <c:pt idx="22">
                  <c:v>9.870000000000001E-2</c:v>
                </c:pt>
                <c:pt idx="23">
                  <c:v>0.10340000000000001</c:v>
                </c:pt>
                <c:pt idx="24">
                  <c:v>0.10810000000000002</c:v>
                </c:pt>
                <c:pt idx="25">
                  <c:v>0.11280000000000001</c:v>
                </c:pt>
                <c:pt idx="26">
                  <c:v>0.11750000000000001</c:v>
                </c:pt>
                <c:pt idx="27">
                  <c:v>0.12220000000000002</c:v>
                </c:pt>
                <c:pt idx="28">
                  <c:v>0.12689999999999999</c:v>
                </c:pt>
                <c:pt idx="29">
                  <c:v>0.13159999999999999</c:v>
                </c:pt>
                <c:pt idx="30">
                  <c:v>0.14106792075126295</c:v>
                </c:pt>
              </c:numCache>
            </c:numRef>
          </c:val>
          <c:smooth val="0"/>
          <c:extLst>
            <c:ext xmlns:c16="http://schemas.microsoft.com/office/drawing/2014/chart" uri="{C3380CC4-5D6E-409C-BE32-E72D297353CC}">
              <c16:uniqueId val="{00000002-BACA-FD4F-B7E2-6107B9097617}"/>
            </c:ext>
          </c:extLst>
        </c:ser>
        <c:dLbls>
          <c:showLegendKey val="0"/>
          <c:showVal val="0"/>
          <c:showCatName val="0"/>
          <c:showSerName val="0"/>
          <c:showPercent val="0"/>
          <c:showBubbleSize val="0"/>
        </c:dLbls>
        <c:marker val="1"/>
        <c:smooth val="0"/>
        <c:axId val="-300399136"/>
        <c:axId val="-300929616"/>
      </c:lineChart>
      <c:catAx>
        <c:axId val="-300399136"/>
        <c:scaling>
          <c:orientation val="minMax"/>
        </c:scaling>
        <c:delete val="0"/>
        <c:axPos val="b"/>
        <c:title>
          <c:tx>
            <c:rich>
              <a:bodyPr/>
              <a:lstStyle/>
              <a:p>
                <a:pPr>
                  <a:defRPr/>
                </a:pPr>
                <a:r>
                  <a:rPr lang="en-US"/>
                  <a:t>Age</a:t>
                </a:r>
                <a:r>
                  <a:rPr lang="en-US" baseline="0"/>
                  <a:t> (years)</a:t>
                </a:r>
                <a:endParaRPr lang="en-US"/>
              </a:p>
            </c:rich>
          </c:tx>
          <c:layout>
            <c:manualLayout>
              <c:xMode val="edge"/>
              <c:yMode val="edge"/>
              <c:x val="0.47765632237146799"/>
              <c:y val="0.91331116943715396"/>
            </c:manualLayout>
          </c:layout>
          <c:overlay val="0"/>
        </c:title>
        <c:majorTickMark val="out"/>
        <c:minorTickMark val="none"/>
        <c:tickLblPos val="nextTo"/>
        <c:crossAx val="-300929616"/>
        <c:crosses val="autoZero"/>
        <c:auto val="1"/>
        <c:lblAlgn val="ctr"/>
        <c:lblOffset val="100"/>
        <c:noMultiLvlLbl val="0"/>
      </c:catAx>
      <c:valAx>
        <c:axId val="-300929616"/>
        <c:scaling>
          <c:orientation val="minMax"/>
        </c:scaling>
        <c:delete val="0"/>
        <c:axPos val="l"/>
        <c:majorGridlines/>
        <c:title>
          <c:tx>
            <c:rich>
              <a:bodyPr rot="-5400000" vert="horz"/>
              <a:lstStyle/>
              <a:p>
                <a:pPr>
                  <a:defRPr/>
                </a:pPr>
                <a:r>
                  <a:rPr lang="en-US"/>
                  <a:t>Biomass</a:t>
                </a:r>
                <a:r>
                  <a:rPr lang="en-US" baseline="0"/>
                  <a:t> (kg/tree/yr)</a:t>
                </a:r>
                <a:endParaRPr lang="en-US"/>
              </a:p>
            </c:rich>
          </c:tx>
          <c:layout>
            <c:manualLayout>
              <c:xMode val="edge"/>
              <c:yMode val="edge"/>
              <c:x val="1.6227180527383402E-2"/>
              <c:y val="0.326068241469816"/>
            </c:manualLayout>
          </c:layout>
          <c:overlay val="0"/>
        </c:title>
        <c:numFmt formatCode="0.000" sourceLinked="1"/>
        <c:majorTickMark val="out"/>
        <c:minorTickMark val="none"/>
        <c:tickLblPos val="nextTo"/>
        <c:crossAx val="-300399136"/>
        <c:crosses val="autoZero"/>
        <c:crossBetween val="between"/>
      </c:valAx>
    </c:plotArea>
    <c:legend>
      <c:legendPos val="r"/>
      <c:legendEntry>
        <c:idx val="2"/>
        <c:delete val="1"/>
      </c:legendEntry>
      <c:layout>
        <c:manualLayout>
          <c:xMode val="edge"/>
          <c:yMode val="edge"/>
          <c:x val="0.25901295299547999"/>
          <c:y val="0.16351169437153701"/>
          <c:w val="0.33174985226238202"/>
          <c:h val="0.11900985710119601"/>
        </c:manualLayout>
      </c:layout>
      <c:overlay val="0"/>
    </c:legend>
    <c:plotVisOnly val="1"/>
    <c:dispBlanksAs val="gap"/>
    <c:showDLblsOverMax val="0"/>
  </c:chart>
  <c:printSettings>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14660411109868901"/>
          <c:y val="6.0185185185185203E-2"/>
          <c:w val="0.77163805082173997"/>
          <c:h val="0.76024706911635997"/>
        </c:manualLayout>
      </c:layout>
      <c:lineChart>
        <c:grouping val="standard"/>
        <c:varyColors val="0"/>
        <c:ser>
          <c:idx val="1"/>
          <c:order val="0"/>
          <c:tx>
            <c:v>Biomass Equation/Growth curve</c:v>
          </c:tx>
          <c:val>
            <c:numRef>
              <c:f>'E. Uro'!$E$17:$E$47</c:f>
              <c:numCache>
                <c:formatCode>0.000</c:formatCode>
                <c:ptCount val="31"/>
                <c:pt idx="0">
                  <c:v>0</c:v>
                </c:pt>
                <c:pt idx="1">
                  <c:v>1.5681124073047754E-3</c:v>
                </c:pt>
                <c:pt idx="2">
                  <c:v>4.0844036319929991E-3</c:v>
                </c:pt>
                <c:pt idx="3">
                  <c:v>8.055806219895956E-3</c:v>
                </c:pt>
                <c:pt idx="4">
                  <c:v>2.0982656619449747E-2</c:v>
                </c:pt>
                <c:pt idx="5">
                  <c:v>2.5767914199914879E-2</c:v>
                </c:pt>
                <c:pt idx="6">
                  <c:v>3.1128098969882327E-2</c:v>
                </c:pt>
                <c:pt idx="7">
                  <c:v>3.4029092805665316E-2</c:v>
                </c:pt>
                <c:pt idx="8">
                  <c:v>3.7080077745097646E-2</c:v>
                </c:pt>
                <c:pt idx="9">
                  <c:v>4.0283036243796727E-2</c:v>
                </c:pt>
                <c:pt idx="10">
                  <c:v>4.3639905999399868E-2</c:v>
                </c:pt>
                <c:pt idx="11">
                  <c:v>4.7152582455814988E-2</c:v>
                </c:pt>
                <c:pt idx="12">
                  <c:v>5.0822921089248345E-2</c:v>
                </c:pt>
                <c:pt idx="13">
                  <c:v>5.4652739501400885E-2</c:v>
                </c:pt>
                <c:pt idx="14">
                  <c:v>5.8643819341573075E-2</c:v>
                </c:pt>
                <c:pt idx="15">
                  <c:v>6.279790807638766E-2</c:v>
                </c:pt>
                <c:pt idx="16">
                  <c:v>6.7116720623307161E-2</c:v>
                </c:pt>
                <c:pt idx="17">
                  <c:v>7.1601940861993563E-2</c:v>
                </c:pt>
                <c:pt idx="18">
                  <c:v>7.6255223035764222E-2</c:v>
                </c:pt>
                <c:pt idx="19">
                  <c:v>8.1078193053869652E-2</c:v>
                </c:pt>
                <c:pt idx="20">
                  <c:v>8.6072449704021489E-2</c:v>
                </c:pt>
                <c:pt idx="21">
                  <c:v>9.1239565783483259E-2</c:v>
                </c:pt>
                <c:pt idx="22">
                  <c:v>9.6581089156081254E-2</c:v>
                </c:pt>
                <c:pt idx="23">
                  <c:v>0.1020985437416639</c:v>
                </c:pt>
                <c:pt idx="24">
                  <c:v>0.10779343044382374</c:v>
                </c:pt>
                <c:pt idx="25">
                  <c:v>0.11366722802107058</c:v>
                </c:pt>
                <c:pt idx="26">
                  <c:v>0.11972139390610365</c:v>
                </c:pt>
                <c:pt idx="27">
                  <c:v>0.12595736497735166</c:v>
                </c:pt>
                <c:pt idx="28">
                  <c:v>0.13237655828653505</c:v>
                </c:pt>
                <c:pt idx="29">
                  <c:v>0.1389803717456311</c:v>
                </c:pt>
                <c:pt idx="30">
                  <c:v>0.14577018477630507</c:v>
                </c:pt>
              </c:numCache>
            </c:numRef>
          </c:val>
          <c:smooth val="0"/>
          <c:extLst>
            <c:ext xmlns:c16="http://schemas.microsoft.com/office/drawing/2014/chart" uri="{C3380CC4-5D6E-409C-BE32-E72D297353CC}">
              <c16:uniqueId val="{00000000-18A0-4367-8B58-D468D42620D5}"/>
            </c:ext>
          </c:extLst>
        </c:ser>
        <c:ser>
          <c:idx val="0"/>
          <c:order val="1"/>
          <c:tx>
            <c:v>Average Linear Biomass</c:v>
          </c:tx>
          <c:trendline>
            <c:trendlineType val="linear"/>
            <c:dispRSqr val="0"/>
            <c:dispEq val="0"/>
          </c:trendline>
          <c:val>
            <c:numRef>
              <c:f>'E. Uro'!$I$17:$I$47</c:f>
              <c:numCache>
                <c:formatCode>0.000</c:formatCode>
                <c:ptCount val="31"/>
                <c:pt idx="0">
                  <c:v>0</c:v>
                </c:pt>
                <c:pt idx="1">
                  <c:v>0</c:v>
                </c:pt>
                <c:pt idx="2">
                  <c:v>4.7000000000000002E-3</c:v>
                </c:pt>
                <c:pt idx="3">
                  <c:v>9.4000000000000021E-3</c:v>
                </c:pt>
                <c:pt idx="4">
                  <c:v>1.4100000000000001E-2</c:v>
                </c:pt>
                <c:pt idx="5">
                  <c:v>1.8800000000000001E-2</c:v>
                </c:pt>
                <c:pt idx="6">
                  <c:v>2.3500000000000004E-2</c:v>
                </c:pt>
                <c:pt idx="7">
                  <c:v>2.8199999999999999E-2</c:v>
                </c:pt>
                <c:pt idx="8">
                  <c:v>3.2899999999999999E-2</c:v>
                </c:pt>
                <c:pt idx="9">
                  <c:v>3.7600000000000001E-2</c:v>
                </c:pt>
                <c:pt idx="10">
                  <c:v>4.2299999999999997E-2</c:v>
                </c:pt>
                <c:pt idx="11">
                  <c:v>4.7E-2</c:v>
                </c:pt>
                <c:pt idx="12">
                  <c:v>5.1700000000000003E-2</c:v>
                </c:pt>
                <c:pt idx="13">
                  <c:v>5.6399999999999999E-2</c:v>
                </c:pt>
                <c:pt idx="14">
                  <c:v>6.1099999999999995E-2</c:v>
                </c:pt>
                <c:pt idx="15">
                  <c:v>6.5800000000000011E-2</c:v>
                </c:pt>
                <c:pt idx="16">
                  <c:v>7.0500000000000007E-2</c:v>
                </c:pt>
                <c:pt idx="17">
                  <c:v>7.5200000000000003E-2</c:v>
                </c:pt>
                <c:pt idx="18">
                  <c:v>7.9900000000000013E-2</c:v>
                </c:pt>
                <c:pt idx="19">
                  <c:v>8.4600000000000009E-2</c:v>
                </c:pt>
                <c:pt idx="20">
                  <c:v>8.9300000000000004E-2</c:v>
                </c:pt>
                <c:pt idx="21">
                  <c:v>9.4000000000000014E-2</c:v>
                </c:pt>
                <c:pt idx="22">
                  <c:v>9.870000000000001E-2</c:v>
                </c:pt>
                <c:pt idx="23">
                  <c:v>0.10340000000000001</c:v>
                </c:pt>
                <c:pt idx="24">
                  <c:v>0.10810000000000002</c:v>
                </c:pt>
                <c:pt idx="25">
                  <c:v>0.11280000000000001</c:v>
                </c:pt>
                <c:pt idx="26">
                  <c:v>0.11750000000000001</c:v>
                </c:pt>
                <c:pt idx="27">
                  <c:v>0.12220000000000002</c:v>
                </c:pt>
                <c:pt idx="28">
                  <c:v>0.12689999999999999</c:v>
                </c:pt>
                <c:pt idx="29">
                  <c:v>0.13159999999999999</c:v>
                </c:pt>
                <c:pt idx="30">
                  <c:v>0.14106792075126295</c:v>
                </c:pt>
              </c:numCache>
            </c:numRef>
          </c:val>
          <c:smooth val="0"/>
          <c:extLst>
            <c:ext xmlns:c16="http://schemas.microsoft.com/office/drawing/2014/chart" uri="{C3380CC4-5D6E-409C-BE32-E72D297353CC}">
              <c16:uniqueId val="{00000002-18A0-4367-8B58-D468D42620D5}"/>
            </c:ext>
          </c:extLst>
        </c:ser>
        <c:dLbls>
          <c:showLegendKey val="0"/>
          <c:showVal val="0"/>
          <c:showCatName val="0"/>
          <c:showSerName val="0"/>
          <c:showPercent val="0"/>
          <c:showBubbleSize val="0"/>
        </c:dLbls>
        <c:marker val="1"/>
        <c:smooth val="0"/>
        <c:axId val="-300399136"/>
        <c:axId val="-300929616"/>
      </c:lineChart>
      <c:catAx>
        <c:axId val="-300399136"/>
        <c:scaling>
          <c:orientation val="minMax"/>
        </c:scaling>
        <c:delete val="0"/>
        <c:axPos val="b"/>
        <c:title>
          <c:tx>
            <c:rich>
              <a:bodyPr/>
              <a:lstStyle/>
              <a:p>
                <a:pPr>
                  <a:defRPr/>
                </a:pPr>
                <a:r>
                  <a:rPr lang="en-US"/>
                  <a:t>Age</a:t>
                </a:r>
                <a:r>
                  <a:rPr lang="en-US" baseline="0"/>
                  <a:t> (years)</a:t>
                </a:r>
                <a:endParaRPr lang="en-US"/>
              </a:p>
            </c:rich>
          </c:tx>
          <c:layout>
            <c:manualLayout>
              <c:xMode val="edge"/>
              <c:yMode val="edge"/>
              <c:x val="0.47765632237146799"/>
              <c:y val="0.91331116943715396"/>
            </c:manualLayout>
          </c:layout>
          <c:overlay val="0"/>
        </c:title>
        <c:majorTickMark val="out"/>
        <c:minorTickMark val="none"/>
        <c:tickLblPos val="nextTo"/>
        <c:crossAx val="-300929616"/>
        <c:crosses val="autoZero"/>
        <c:auto val="1"/>
        <c:lblAlgn val="ctr"/>
        <c:lblOffset val="100"/>
        <c:noMultiLvlLbl val="0"/>
      </c:catAx>
      <c:valAx>
        <c:axId val="-300929616"/>
        <c:scaling>
          <c:orientation val="minMax"/>
        </c:scaling>
        <c:delete val="0"/>
        <c:axPos val="l"/>
        <c:majorGridlines/>
        <c:title>
          <c:tx>
            <c:rich>
              <a:bodyPr rot="-5400000" vert="horz"/>
              <a:lstStyle/>
              <a:p>
                <a:pPr>
                  <a:defRPr/>
                </a:pPr>
                <a:r>
                  <a:rPr lang="en-US"/>
                  <a:t>Biomass</a:t>
                </a:r>
                <a:r>
                  <a:rPr lang="en-US" baseline="0"/>
                  <a:t> (kg/tree/yr)</a:t>
                </a:r>
                <a:endParaRPr lang="en-US"/>
              </a:p>
            </c:rich>
          </c:tx>
          <c:layout>
            <c:manualLayout>
              <c:xMode val="edge"/>
              <c:yMode val="edge"/>
              <c:x val="1.6227180527383402E-2"/>
              <c:y val="0.326068241469816"/>
            </c:manualLayout>
          </c:layout>
          <c:overlay val="0"/>
        </c:title>
        <c:numFmt formatCode="0.000" sourceLinked="1"/>
        <c:majorTickMark val="out"/>
        <c:minorTickMark val="none"/>
        <c:tickLblPos val="nextTo"/>
        <c:crossAx val="-300399136"/>
        <c:crosses val="autoZero"/>
        <c:crossBetween val="between"/>
      </c:valAx>
    </c:plotArea>
    <c:legend>
      <c:legendPos val="r"/>
      <c:legendEntry>
        <c:idx val="2"/>
        <c:delete val="1"/>
      </c:legendEntry>
      <c:layout>
        <c:manualLayout>
          <c:xMode val="edge"/>
          <c:yMode val="edge"/>
          <c:x val="0.25901295299547999"/>
          <c:y val="0.16351169437153701"/>
          <c:w val="0.33174985226238202"/>
          <c:h val="0.11900985710119601"/>
        </c:manualLayout>
      </c:layout>
      <c:overlay val="0"/>
    </c:legend>
    <c:plotVisOnly val="1"/>
    <c:dispBlanksAs val="gap"/>
    <c:showDLblsOverMax val="0"/>
  </c:chart>
  <c:printSettings>
    <c:headerFooter/>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75766185476815"/>
          <c:y val="5.0925925925925902E-2"/>
          <c:w val="0.79414610673665798"/>
          <c:h val="0.73946376494604804"/>
        </c:manualLayout>
      </c:layout>
      <c:scatterChart>
        <c:scatterStyle val="smoothMarker"/>
        <c:varyColors val="0"/>
        <c:ser>
          <c:idx val="1"/>
          <c:order val="0"/>
          <c:marker>
            <c:symbol val="none"/>
          </c:marker>
          <c:xVal>
            <c:numRef>
              <c:f>'E. Alba'!$X$22:$X$52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'E. Alba'!$Z$22:$Z$52</c:f>
              <c:numCache>
                <c:formatCode>0.000</c:formatCode>
                <c:ptCount val="31"/>
                <c:pt idx="0">
                  <c:v>7.7249999999999992E-3</c:v>
                </c:pt>
                <c:pt idx="1">
                  <c:v>1.4117940368644954E-2</c:v>
                </c:pt>
                <c:pt idx="2">
                  <c:v>2.7298799781957549E-2</c:v>
                </c:pt>
                <c:pt idx="3">
                  <c:v>3.7322756579254837E-2</c:v>
                </c:pt>
                <c:pt idx="4">
                  <c:v>5.0428760262112945E-2</c:v>
                </c:pt>
                <c:pt idx="5">
                  <c:v>5.6089984069880548E-2</c:v>
                </c:pt>
                <c:pt idx="6">
                  <c:v>6.2287975085599884E-2</c:v>
                </c:pt>
                <c:pt idx="7">
                  <c:v>6.5601254966866432E-2</c:v>
                </c:pt>
                <c:pt idx="8">
                  <c:v>6.9064769814434782E-2</c:v>
                </c:pt>
                <c:pt idx="9">
                  <c:v>7.0854678576946842E-2</c:v>
                </c:pt>
                <c:pt idx="10">
                  <c:v>7.2684353271880886E-2</c:v>
                </c:pt>
                <c:pt idx="11">
                  <c:v>7.3614342522533488E-2</c:v>
                </c:pt>
                <c:pt idx="12">
                  <c:v>7.4083167689745127E-2</c:v>
                </c:pt>
                <c:pt idx="13">
                  <c:v>7.5028540655796158E-2</c:v>
                </c:pt>
                <c:pt idx="14">
                  <c:v>7.5505113273328192E-2</c:v>
                </c:pt>
                <c:pt idx="15">
                  <c:v>7.5984293304813141E-2</c:v>
                </c:pt>
                <c:pt idx="16">
                  <c:v>7.6466093327949E-2</c:v>
                </c:pt>
                <c:pt idx="17">
                  <c:v>7.6950525988523491E-2</c:v>
                </c:pt>
                <c:pt idx="18">
                  <c:v>7.7437604000833937E-2</c:v>
                </c:pt>
                <c:pt idx="19">
                  <c:v>7.7927340148109453E-2</c:v>
                </c:pt>
                <c:pt idx="20">
                  <c:v>7.8419747282935853E-2</c:v>
                </c:pt>
                <c:pt idx="21">
                  <c:v>7.8914838327682812E-2</c:v>
                </c:pt>
                <c:pt idx="22">
                  <c:v>7.9412626274933465E-2</c:v>
                </c:pt>
                <c:pt idx="23">
                  <c:v>7.9913124187916532E-2</c:v>
                </c:pt>
                <c:pt idx="24">
                  <c:v>8.041634520094125E-2</c:v>
                </c:pt>
                <c:pt idx="25">
                  <c:v>8.0922302519834358E-2</c:v>
                </c:pt>
                <c:pt idx="26">
                  <c:v>8.1431009422379699E-2</c:v>
                </c:pt>
                <c:pt idx="27">
                  <c:v>8.1942479258760817E-2</c:v>
                </c:pt>
                <c:pt idx="28">
                  <c:v>8.2456725452005608E-2</c:v>
                </c:pt>
                <c:pt idx="29">
                  <c:v>8.2973761498433787E-2</c:v>
                </c:pt>
                <c:pt idx="30">
                  <c:v>8.3493600968106929E-2</c:v>
                </c:pt>
              </c:numCache>
            </c:numRef>
          </c:yVal>
          <c:smooth val="1"/>
          <c:extLst>
            <c:ext xmlns:c16="http://schemas.microsoft.com/office/drawing/2014/chart" uri="{C3380CC4-5D6E-409C-BE32-E72D297353CC}">
              <c16:uniqueId val="{00000000-95A8-2842-A6E2-E7824492948B}"/>
            </c:ext>
          </c:extLst>
        </c:ser>
        <c:dLbls>
          <c:showLegendKey val="0"/>
          <c:showVal val="0"/>
          <c:showCatName val="0"/>
          <c:showSerName val="0"/>
          <c:showPercent val="0"/>
          <c:showBubbleSize val="0"/>
        </c:dLbls>
        <c:axId val="-327763392"/>
        <c:axId val="-300199904"/>
      </c:scatterChart>
      <c:valAx>
        <c:axId val="-327763392"/>
        <c:scaling>
          <c:orientation val="minMax"/>
        </c:scaling>
        <c:delete val="0"/>
        <c:axPos val="b"/>
        <c:title>
          <c:tx>
            <c:rich>
              <a:bodyPr/>
              <a:lstStyle/>
              <a:p>
                <a:pPr>
                  <a:defRPr/>
                </a:pPr>
                <a:r>
                  <a:rPr lang="en-US"/>
                  <a:t>Age (yr)</a:t>
                </a:r>
              </a:p>
            </c:rich>
          </c:tx>
          <c:overlay val="0"/>
        </c:title>
        <c:numFmt formatCode="General" sourceLinked="1"/>
        <c:majorTickMark val="out"/>
        <c:minorTickMark val="none"/>
        <c:tickLblPos val="nextTo"/>
        <c:crossAx val="-300199904"/>
        <c:crosses val="autoZero"/>
        <c:crossBetween val="midCat"/>
      </c:valAx>
      <c:valAx>
        <c:axId val="-300199904"/>
        <c:scaling>
          <c:orientation val="minMax"/>
        </c:scaling>
        <c:delete val="0"/>
        <c:axPos val="l"/>
        <c:majorGridlines/>
        <c:title>
          <c:tx>
            <c:rich>
              <a:bodyPr/>
              <a:lstStyle/>
              <a:p>
                <a:pPr>
                  <a:defRPr/>
                </a:pPr>
                <a:r>
                  <a:rPr lang="en-US"/>
                  <a:t>Biomass (t dm/tree/yr)</a:t>
                </a:r>
              </a:p>
            </c:rich>
          </c:tx>
          <c:layout>
            <c:manualLayout>
              <c:xMode val="edge"/>
              <c:yMode val="edge"/>
              <c:x val="2.5000000000000001E-2"/>
              <c:y val="0.165137795275591"/>
            </c:manualLayout>
          </c:layout>
          <c:overlay val="0"/>
        </c:title>
        <c:numFmt formatCode="0.000" sourceLinked="1"/>
        <c:majorTickMark val="out"/>
        <c:minorTickMark val="none"/>
        <c:tickLblPos val="nextTo"/>
        <c:crossAx val="-327763392"/>
        <c:crosses val="autoZero"/>
        <c:crossBetween val="midCat"/>
      </c:valAx>
    </c:plotArea>
    <c:legend>
      <c:legendPos val="r"/>
      <c:layout>
        <c:manualLayout>
          <c:xMode val="edge"/>
          <c:yMode val="edge"/>
          <c:x val="0.59637051618547698"/>
          <c:y val="0.59220873432487597"/>
          <c:w val="0.291580771791281"/>
          <c:h val="8.0344688730934297E-2"/>
        </c:manualLayout>
      </c:layout>
      <c:overlay val="0"/>
    </c:legend>
    <c:plotVisOnly val="1"/>
    <c:dispBlanksAs val="gap"/>
    <c:showDLblsOverMax val="0"/>
  </c:chart>
  <c:printSettings>
    <c:headerFooter/>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1838792263989099"/>
          <c:y val="3.3290653008962903E-2"/>
          <c:w val="0.69219898495488996"/>
          <c:h val="0.79936846562553499"/>
        </c:manualLayout>
      </c:layout>
      <c:lineChart>
        <c:grouping val="standard"/>
        <c:varyColors val="0"/>
        <c:ser>
          <c:idx val="1"/>
          <c:order val="0"/>
          <c:val>
            <c:numRef>
              <c:f>'E. Alba'!$D$18:$D$48</c:f>
              <c:numCache>
                <c:formatCode>0.000</c:formatCode>
                <c:ptCount val="31"/>
                <c:pt idx="0">
                  <c:v>9.2699999999999987E-3</c:v>
                </c:pt>
                <c:pt idx="1">
                  <c:v>1.6941528442373944E-2</c:v>
                </c:pt>
                <c:pt idx="2">
                  <c:v>3.2758559738349055E-2</c:v>
                </c:pt>
                <c:pt idx="3">
                  <c:v>4.47873078951058E-2</c:v>
                </c:pt>
                <c:pt idx="4">
                  <c:v>6.0514512314535529E-2</c:v>
                </c:pt>
                <c:pt idx="5">
                  <c:v>6.7307980883856658E-2</c:v>
                </c:pt>
                <c:pt idx="6">
                  <c:v>7.4745570102719858E-2</c:v>
                </c:pt>
                <c:pt idx="7">
                  <c:v>7.8721505960239718E-2</c:v>
                </c:pt>
                <c:pt idx="8">
                  <c:v>8.2877723777321735E-2</c:v>
                </c:pt>
                <c:pt idx="9">
                  <c:v>8.502561429233621E-2</c:v>
                </c:pt>
                <c:pt idx="10">
                  <c:v>8.7221223926257058E-2</c:v>
                </c:pt>
                <c:pt idx="11">
                  <c:v>8.8337211027040188E-2</c:v>
                </c:pt>
                <c:pt idx="12">
                  <c:v>8.8899801227694156E-2</c:v>
                </c:pt>
                <c:pt idx="13">
                  <c:v>9.0034248786955387E-2</c:v>
                </c:pt>
                <c:pt idx="14">
                  <c:v>9.0606135927993825E-2</c:v>
                </c:pt>
                <c:pt idx="15">
                  <c:v>9.1181151965775767E-2</c:v>
                </c:pt>
                <c:pt idx="16">
                  <c:v>9.1759311993538803E-2</c:v>
                </c:pt>
                <c:pt idx="17">
                  <c:v>9.2340631186228192E-2</c:v>
                </c:pt>
                <c:pt idx="18">
                  <c:v>9.2925124801000722E-2</c:v>
                </c:pt>
                <c:pt idx="19">
                  <c:v>9.3512808177731346E-2</c:v>
                </c:pt>
                <c:pt idx="20">
                  <c:v>9.4103696739523027E-2</c:v>
                </c:pt>
                <c:pt idx="21">
                  <c:v>9.4697805993219378E-2</c:v>
                </c:pt>
                <c:pt idx="22">
                  <c:v>9.5295151529920158E-2</c:v>
                </c:pt>
                <c:pt idx="23">
                  <c:v>9.5895749025499841E-2</c:v>
                </c:pt>
                <c:pt idx="24">
                  <c:v>9.6499614241129503E-2</c:v>
                </c:pt>
                <c:pt idx="25">
                  <c:v>9.7106763023801224E-2</c:v>
                </c:pt>
                <c:pt idx="26">
                  <c:v>9.7717211306855636E-2</c:v>
                </c:pt>
                <c:pt idx="27">
                  <c:v>9.8330975110512975E-2</c:v>
                </c:pt>
                <c:pt idx="28">
                  <c:v>9.894807054240673E-2</c:v>
                </c:pt>
                <c:pt idx="29">
                  <c:v>9.9568513798120539E-2</c:v>
                </c:pt>
                <c:pt idx="30">
                  <c:v>0.10019232116172831</c:v>
                </c:pt>
              </c:numCache>
            </c:numRef>
          </c:val>
          <c:smooth val="0"/>
          <c:extLst>
            <c:ext xmlns:c16="http://schemas.microsoft.com/office/drawing/2014/chart" uri="{C3380CC4-5D6E-409C-BE32-E72D297353CC}">
              <c16:uniqueId val="{00000000-9381-954B-AA11-D2ABD1D9D11A}"/>
            </c:ext>
          </c:extLst>
        </c:ser>
        <c:ser>
          <c:idx val="0"/>
          <c:order val="1"/>
          <c:trendline>
            <c:trendlineType val="linear"/>
            <c:dispRSqr val="1"/>
            <c:dispEq val="1"/>
            <c:trendlineLbl>
              <c:layout>
                <c:manualLayout>
                  <c:x val="8.4455380577427297E-3"/>
                  <c:y val="0.30662875473899098"/>
                </c:manualLayout>
              </c:layout>
              <c:numFmt formatCode="General" sourceLinked="0"/>
            </c:trendlineLbl>
          </c:trendline>
          <c:val>
            <c:numRef>
              <c:f>'E. Alba'!$H$18:$H$48</c:f>
              <c:numCache>
                <c:formatCode>0.000</c:formatCode>
                <c:ptCount val="31"/>
                <c:pt idx="0">
                  <c:v>0</c:v>
                </c:pt>
                <c:pt idx="1">
                  <c:v>0</c:v>
                </c:pt>
                <c:pt idx="2">
                  <c:v>3.2000000000000002E-3</c:v>
                </c:pt>
                <c:pt idx="3">
                  <c:v>6.4000000000000012E-3</c:v>
                </c:pt>
                <c:pt idx="4">
                  <c:v>9.6000000000000009E-3</c:v>
                </c:pt>
                <c:pt idx="5">
                  <c:v>1.2800000000000001E-2</c:v>
                </c:pt>
                <c:pt idx="6">
                  <c:v>1.6E-2</c:v>
                </c:pt>
                <c:pt idx="7">
                  <c:v>1.9199999999999998E-2</c:v>
                </c:pt>
                <c:pt idx="8">
                  <c:v>2.24E-2</c:v>
                </c:pt>
                <c:pt idx="9">
                  <c:v>2.5600000000000001E-2</c:v>
                </c:pt>
                <c:pt idx="10">
                  <c:v>2.8799999999999999E-2</c:v>
                </c:pt>
                <c:pt idx="11">
                  <c:v>3.2000000000000001E-2</c:v>
                </c:pt>
                <c:pt idx="12">
                  <c:v>3.5200000000000002E-2</c:v>
                </c:pt>
                <c:pt idx="13">
                  <c:v>3.8400000000000004E-2</c:v>
                </c:pt>
                <c:pt idx="14">
                  <c:v>4.1599999999999998E-2</c:v>
                </c:pt>
                <c:pt idx="15">
                  <c:v>4.48E-2</c:v>
                </c:pt>
                <c:pt idx="16">
                  <c:v>4.8000000000000001E-2</c:v>
                </c:pt>
                <c:pt idx="17">
                  <c:v>5.1200000000000002E-2</c:v>
                </c:pt>
                <c:pt idx="18">
                  <c:v>5.4400000000000004E-2</c:v>
                </c:pt>
                <c:pt idx="19">
                  <c:v>5.7599999999999998E-2</c:v>
                </c:pt>
                <c:pt idx="20">
                  <c:v>6.08E-2</c:v>
                </c:pt>
                <c:pt idx="21">
                  <c:v>6.4000000000000015E-2</c:v>
                </c:pt>
                <c:pt idx="22">
                  <c:v>6.720000000000001E-2</c:v>
                </c:pt>
                <c:pt idx="23">
                  <c:v>7.0400000000000004E-2</c:v>
                </c:pt>
                <c:pt idx="24">
                  <c:v>7.3600000000000013E-2</c:v>
                </c:pt>
                <c:pt idx="25">
                  <c:v>7.6800000000000007E-2</c:v>
                </c:pt>
                <c:pt idx="26">
                  <c:v>8.0000000000000016E-2</c:v>
                </c:pt>
                <c:pt idx="27">
                  <c:v>8.320000000000001E-2</c:v>
                </c:pt>
                <c:pt idx="28">
                  <c:v>8.6400000000000005E-2</c:v>
                </c:pt>
                <c:pt idx="29">
                  <c:v>8.9600000000000013E-2</c:v>
                </c:pt>
                <c:pt idx="30">
                  <c:v>9.696031080167257E-2</c:v>
                </c:pt>
              </c:numCache>
            </c:numRef>
          </c:val>
          <c:smooth val="0"/>
          <c:extLst>
            <c:ext xmlns:c16="http://schemas.microsoft.com/office/drawing/2014/chart" uri="{C3380CC4-5D6E-409C-BE32-E72D297353CC}">
              <c16:uniqueId val="{00000002-9381-954B-AA11-D2ABD1D9D11A}"/>
            </c:ext>
          </c:extLst>
        </c:ser>
        <c:dLbls>
          <c:showLegendKey val="0"/>
          <c:showVal val="0"/>
          <c:showCatName val="0"/>
          <c:showSerName val="0"/>
          <c:showPercent val="0"/>
          <c:showBubbleSize val="0"/>
        </c:dLbls>
        <c:marker val="1"/>
        <c:smooth val="0"/>
        <c:axId val="-300321744"/>
        <c:axId val="-300314576"/>
      </c:lineChart>
      <c:catAx>
        <c:axId val="-300321744"/>
        <c:scaling>
          <c:orientation val="minMax"/>
        </c:scaling>
        <c:delete val="0"/>
        <c:axPos val="b"/>
        <c:title>
          <c:tx>
            <c:rich>
              <a:bodyPr/>
              <a:lstStyle/>
              <a:p>
                <a:pPr>
                  <a:defRPr/>
                </a:pPr>
                <a:r>
                  <a:rPr lang="en-US"/>
                  <a:t>Age (years)</a:t>
                </a:r>
              </a:p>
            </c:rich>
          </c:tx>
          <c:overlay val="0"/>
        </c:title>
        <c:majorTickMark val="out"/>
        <c:minorTickMark val="none"/>
        <c:tickLblPos val="nextTo"/>
        <c:crossAx val="-300314576"/>
        <c:crosses val="autoZero"/>
        <c:auto val="1"/>
        <c:lblAlgn val="ctr"/>
        <c:lblOffset val="100"/>
        <c:noMultiLvlLbl val="0"/>
      </c:catAx>
      <c:valAx>
        <c:axId val="-300314576"/>
        <c:scaling>
          <c:orientation val="minMax"/>
          <c:min val="0"/>
        </c:scaling>
        <c:delete val="0"/>
        <c:axPos val="l"/>
        <c:majorGridlines/>
        <c:title>
          <c:tx>
            <c:rich>
              <a:bodyPr rot="-5400000" vert="horz"/>
              <a:lstStyle/>
              <a:p>
                <a:pPr>
                  <a:defRPr/>
                </a:pPr>
                <a:r>
                  <a:rPr lang="en-US"/>
                  <a:t>Biomass (kg d.m/tree)</a:t>
                </a:r>
              </a:p>
            </c:rich>
          </c:tx>
          <c:layout>
            <c:manualLayout>
              <c:xMode val="edge"/>
              <c:yMode val="edge"/>
              <c:x val="1.9656019656019701E-2"/>
              <c:y val="0.29376954641233199"/>
            </c:manualLayout>
          </c:layout>
          <c:overlay val="0"/>
        </c:title>
        <c:numFmt formatCode="0.000" sourceLinked="1"/>
        <c:majorTickMark val="out"/>
        <c:minorTickMark val="none"/>
        <c:tickLblPos val="nextTo"/>
        <c:crossAx val="-300321744"/>
        <c:crosses val="autoZero"/>
        <c:crossBetween val="between"/>
      </c:valAx>
    </c:plotArea>
    <c:legend>
      <c:legendPos val="r"/>
      <c:overlay val="0"/>
    </c:legend>
    <c:plotVisOnly val="1"/>
    <c:dispBlanksAs val="gap"/>
    <c:showDLblsOverMax val="0"/>
  </c:chart>
  <c:printSettings>
    <c:headerFooter/>
    <c:pageMargins b="1" l="0.75" r="0.75"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 Id="rId5" Type="http://schemas.openxmlformats.org/officeDocument/2006/relationships/chart" Target="../charts/chart24.xml"/><Relationship Id="rId4" Type="http://schemas.openxmlformats.org/officeDocument/2006/relationships/chart" Target="../charts/chart23.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 Id="rId5" Type="http://schemas.openxmlformats.org/officeDocument/2006/relationships/chart" Target="../charts/chart29.xml"/><Relationship Id="rId4" Type="http://schemas.openxmlformats.org/officeDocument/2006/relationships/chart" Target="../charts/chart28.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39</xdr:col>
      <xdr:colOff>706120</xdr:colOff>
      <xdr:row>6</xdr:row>
      <xdr:rowOff>121920</xdr:rowOff>
    </xdr:from>
    <xdr:to>
      <xdr:col>44</xdr:col>
      <xdr:colOff>502920</xdr:colOff>
      <xdr:row>23</xdr:row>
      <xdr:rowOff>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42</xdr:col>
      <xdr:colOff>782320</xdr:colOff>
      <xdr:row>23</xdr:row>
      <xdr:rowOff>0</xdr:rowOff>
    </xdr:from>
    <xdr:to>
      <xdr:col>47</xdr:col>
      <xdr:colOff>599440</xdr:colOff>
      <xdr:row>27</xdr:row>
      <xdr:rowOff>81280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2316703</xdr:colOff>
      <xdr:row>120</xdr:row>
      <xdr:rowOff>111649</xdr:rowOff>
    </xdr:from>
    <xdr:to>
      <xdr:col>6</xdr:col>
      <xdr:colOff>468609</xdr:colOff>
      <xdr:row>135</xdr:row>
      <xdr:rowOff>62386</xdr:rowOff>
    </xdr:to>
    <xdr:graphicFrame macro="">
      <xdr:nvGraphicFramePr>
        <xdr:cNvPr id="5" name="Chart 4">
          <a:extLst>
            <a:ext uri="{FF2B5EF4-FFF2-40B4-BE49-F238E27FC236}">
              <a16:creationId xmlns:a16="http://schemas.microsoft.com/office/drawing/2014/main" id="{8143FE56-C083-D347-B456-3E7F07C21A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50800</xdr:colOff>
      <xdr:row>13</xdr:row>
      <xdr:rowOff>101600</xdr:rowOff>
    </xdr:from>
    <xdr:to>
      <xdr:col>21</xdr:col>
      <xdr:colOff>812800</xdr:colOff>
      <xdr:row>29</xdr:row>
      <xdr:rowOff>165100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558800</xdr:colOff>
      <xdr:row>30</xdr:row>
      <xdr:rowOff>101600</xdr:rowOff>
    </xdr:from>
    <xdr:to>
      <xdr:col>29</xdr:col>
      <xdr:colOff>368300</xdr:colOff>
      <xdr:row>46</xdr:row>
      <xdr:rowOff>152400</xdr:rowOff>
    </xdr:to>
    <xdr:graphicFrame macro="">
      <xdr:nvGraphicFramePr>
        <xdr:cNvPr id="3" name="Chart 2">
          <a:extLst>
            <a:ext uri="{FF2B5EF4-FFF2-40B4-BE49-F238E27FC236}">
              <a16:creationId xmlns:a16="http://schemas.microsoft.com/office/drawing/2014/main" id="{00000000-0008-0000-0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33</xdr:col>
      <xdr:colOff>431800</xdr:colOff>
      <xdr:row>18</xdr:row>
      <xdr:rowOff>114300</xdr:rowOff>
    </xdr:from>
    <xdr:to>
      <xdr:col>38</xdr:col>
      <xdr:colOff>152400</xdr:colOff>
      <xdr:row>34</xdr:row>
      <xdr:rowOff>114300</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330200</xdr:colOff>
      <xdr:row>21</xdr:row>
      <xdr:rowOff>127000</xdr:rowOff>
    </xdr:from>
    <xdr:to>
      <xdr:col>9</xdr:col>
      <xdr:colOff>228600</xdr:colOff>
      <xdr:row>41</xdr:row>
      <xdr:rowOff>139700</xdr:rowOff>
    </xdr:to>
    <xdr:graphicFrame macro="">
      <xdr:nvGraphicFramePr>
        <xdr:cNvPr id="5" name="Chart 4">
          <a:extLst>
            <a:ext uri="{FF2B5EF4-FFF2-40B4-BE49-F238E27FC236}">
              <a16:creationId xmlns:a16="http://schemas.microsoft.com/office/drawing/2014/main" id="{00000000-0008-0000-0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63</xdr:col>
      <xdr:colOff>825500</xdr:colOff>
      <xdr:row>15</xdr:row>
      <xdr:rowOff>152400</xdr:rowOff>
    </xdr:from>
    <xdr:to>
      <xdr:col>69</xdr:col>
      <xdr:colOff>482600</xdr:colOff>
      <xdr:row>44</xdr:row>
      <xdr:rowOff>88900</xdr:rowOff>
    </xdr:to>
    <xdr:graphicFrame macro="">
      <xdr:nvGraphicFramePr>
        <xdr:cNvPr id="6" name="Chart 5">
          <a:extLst>
            <a:ext uri="{FF2B5EF4-FFF2-40B4-BE49-F238E27FC236}">
              <a16:creationId xmlns:a16="http://schemas.microsoft.com/office/drawing/2014/main" id="{00000000-0008-0000-0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111760</xdr:colOff>
      <xdr:row>17</xdr:row>
      <xdr:rowOff>121920</xdr:rowOff>
    </xdr:from>
    <xdr:to>
      <xdr:col>6</xdr:col>
      <xdr:colOff>375920</xdr:colOff>
      <xdr:row>40</xdr:row>
      <xdr:rowOff>40640</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833120</xdr:colOff>
      <xdr:row>26</xdr:row>
      <xdr:rowOff>152400</xdr:rowOff>
    </xdr:from>
    <xdr:to>
      <xdr:col>11</xdr:col>
      <xdr:colOff>629920</xdr:colOff>
      <xdr:row>43</xdr:row>
      <xdr:rowOff>101600</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121920</xdr:colOff>
      <xdr:row>76</xdr:row>
      <xdr:rowOff>0</xdr:rowOff>
    </xdr:from>
    <xdr:to>
      <xdr:col>5</xdr:col>
      <xdr:colOff>873760</xdr:colOff>
      <xdr:row>94</xdr:row>
      <xdr:rowOff>20320</xdr:rowOff>
    </xdr:to>
    <xdr:graphicFrame macro="">
      <xdr:nvGraphicFramePr>
        <xdr:cNvPr id="6" name="Chart 5">
          <a:extLst>
            <a:ext uri="{FF2B5EF4-FFF2-40B4-BE49-F238E27FC236}">
              <a16:creationId xmlns:a16="http://schemas.microsoft.com/office/drawing/2014/main" id="{00000000-0008-0000-0D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650240</xdr:colOff>
      <xdr:row>74</xdr:row>
      <xdr:rowOff>91440</xdr:rowOff>
    </xdr:from>
    <xdr:to>
      <xdr:col>11</xdr:col>
      <xdr:colOff>792480</xdr:colOff>
      <xdr:row>97</xdr:row>
      <xdr:rowOff>132080</xdr:rowOff>
    </xdr:to>
    <xdr:graphicFrame macro="">
      <xdr:nvGraphicFramePr>
        <xdr:cNvPr id="7" name="Chart 6">
          <a:extLst>
            <a:ext uri="{FF2B5EF4-FFF2-40B4-BE49-F238E27FC236}">
              <a16:creationId xmlns:a16="http://schemas.microsoft.com/office/drawing/2014/main" id="{00000000-0008-0000-0D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121920</xdr:colOff>
      <xdr:row>15</xdr:row>
      <xdr:rowOff>0</xdr:rowOff>
    </xdr:from>
    <xdr:to>
      <xdr:col>23</xdr:col>
      <xdr:colOff>314960</xdr:colOff>
      <xdr:row>36</xdr:row>
      <xdr:rowOff>20320</xdr:rowOff>
    </xdr:to>
    <xdr:graphicFrame macro="">
      <xdr:nvGraphicFramePr>
        <xdr:cNvPr id="8" name="Chart 7">
          <a:extLst>
            <a:ext uri="{FF2B5EF4-FFF2-40B4-BE49-F238E27FC236}">
              <a16:creationId xmlns:a16="http://schemas.microsoft.com/office/drawing/2014/main" id="{00000000-0008-0000-0D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294640</xdr:colOff>
      <xdr:row>22</xdr:row>
      <xdr:rowOff>10160</xdr:rowOff>
    </xdr:from>
    <xdr:to>
      <xdr:col>16</xdr:col>
      <xdr:colOff>1158240</xdr:colOff>
      <xdr:row>44</xdr:row>
      <xdr:rowOff>50800</xdr:rowOff>
    </xdr:to>
    <xdr:graphicFrame macro="">
      <xdr:nvGraphicFramePr>
        <xdr:cNvPr id="6" name="Chart 5">
          <a:extLst>
            <a:ext uri="{FF2B5EF4-FFF2-40B4-BE49-F238E27FC236}">
              <a16:creationId xmlns:a16="http://schemas.microsoft.com/office/drawing/2014/main" id="{00000000-0008-0000-0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172720</xdr:colOff>
      <xdr:row>15</xdr:row>
      <xdr:rowOff>20320</xdr:rowOff>
    </xdr:from>
    <xdr:to>
      <xdr:col>6</xdr:col>
      <xdr:colOff>873760</xdr:colOff>
      <xdr:row>38</xdr:row>
      <xdr:rowOff>101600</xdr:rowOff>
    </xdr:to>
    <xdr:graphicFrame macro="">
      <xdr:nvGraphicFramePr>
        <xdr:cNvPr id="11" name="Chart 10">
          <a:extLst>
            <a:ext uri="{FF2B5EF4-FFF2-40B4-BE49-F238E27FC236}">
              <a16:creationId xmlns:a16="http://schemas.microsoft.com/office/drawing/2014/main" id="{00000000-0008-0000-0E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117475</xdr:colOff>
      <xdr:row>17</xdr:row>
      <xdr:rowOff>155575</xdr:rowOff>
    </xdr:from>
    <xdr:to>
      <xdr:col>8</xdr:col>
      <xdr:colOff>752475</xdr:colOff>
      <xdr:row>33</xdr:row>
      <xdr:rowOff>28575</xdr:rowOff>
    </xdr:to>
    <xdr:graphicFrame macro="">
      <xdr:nvGraphicFramePr>
        <xdr:cNvPr id="2" name="Chart 1">
          <a:extLst>
            <a:ext uri="{FF2B5EF4-FFF2-40B4-BE49-F238E27FC236}">
              <a16:creationId xmlns:a16="http://schemas.microsoft.com/office/drawing/2014/main" id="{C7C8BA00-4BD9-48CD-AB43-4E10E7CDEB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241300</xdr:colOff>
      <xdr:row>49</xdr:row>
      <xdr:rowOff>44450</xdr:rowOff>
    </xdr:from>
    <xdr:to>
      <xdr:col>5</xdr:col>
      <xdr:colOff>774700</xdr:colOff>
      <xdr:row>78</xdr:row>
      <xdr:rowOff>76200</xdr:rowOff>
    </xdr:to>
    <xdr:graphicFrame macro="">
      <xdr:nvGraphicFramePr>
        <xdr:cNvPr id="6" name="Chart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495300</xdr:colOff>
      <xdr:row>51</xdr:row>
      <xdr:rowOff>114300</xdr:rowOff>
    </xdr:from>
    <xdr:to>
      <xdr:col>5</xdr:col>
      <xdr:colOff>38100</xdr:colOff>
      <xdr:row>77</xdr:row>
      <xdr:rowOff>107950</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495300</xdr:colOff>
      <xdr:row>51</xdr:row>
      <xdr:rowOff>114300</xdr:rowOff>
    </xdr:from>
    <xdr:to>
      <xdr:col>16</xdr:col>
      <xdr:colOff>38100</xdr:colOff>
      <xdr:row>77</xdr:row>
      <xdr:rowOff>107950</xdr:rowOff>
    </xdr:to>
    <xdr:graphicFrame macro="">
      <xdr:nvGraphicFramePr>
        <xdr:cNvPr id="3" name="Chart 2">
          <a:extLst>
            <a:ext uri="{FF2B5EF4-FFF2-40B4-BE49-F238E27FC236}">
              <a16:creationId xmlns:a16="http://schemas.microsoft.com/office/drawing/2014/main" id="{64BE1C2E-238C-4F82-8620-A2AC1B2251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23</xdr:col>
      <xdr:colOff>172720</xdr:colOff>
      <xdr:row>26</xdr:row>
      <xdr:rowOff>50800</xdr:rowOff>
    </xdr:from>
    <xdr:to>
      <xdr:col>26</xdr:col>
      <xdr:colOff>812800</xdr:colOff>
      <xdr:row>43</xdr:row>
      <xdr:rowOff>30480</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958850</xdr:colOff>
      <xdr:row>52</xdr:row>
      <xdr:rowOff>95250</xdr:rowOff>
    </xdr:from>
    <xdr:to>
      <xdr:col>6</xdr:col>
      <xdr:colOff>1066800</xdr:colOff>
      <xdr:row>82</xdr:row>
      <xdr:rowOff>101600</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488950</xdr:colOff>
      <xdr:row>47</xdr:row>
      <xdr:rowOff>107950</xdr:rowOff>
    </xdr:from>
    <xdr:to>
      <xdr:col>6</xdr:col>
      <xdr:colOff>177800</xdr:colOff>
      <xdr:row>75</xdr:row>
      <xdr:rowOff>25400</xdr:rowOff>
    </xdr:to>
    <xdr:graphicFrame macro="">
      <xdr:nvGraphicFramePr>
        <xdr:cNvPr id="3" name="Chart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488950</xdr:colOff>
      <xdr:row>47</xdr:row>
      <xdr:rowOff>107950</xdr:rowOff>
    </xdr:from>
    <xdr:to>
      <xdr:col>16</xdr:col>
      <xdr:colOff>177800</xdr:colOff>
      <xdr:row>75</xdr:row>
      <xdr:rowOff>25400</xdr:rowOff>
    </xdr:to>
    <xdr:graphicFrame macro="">
      <xdr:nvGraphicFramePr>
        <xdr:cNvPr id="4" name="Chart 3">
          <a:extLst>
            <a:ext uri="{FF2B5EF4-FFF2-40B4-BE49-F238E27FC236}">
              <a16:creationId xmlns:a16="http://schemas.microsoft.com/office/drawing/2014/main" id="{07D1D9FB-8798-436A-A703-0454839C95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46</xdr:col>
      <xdr:colOff>431800</xdr:colOff>
      <xdr:row>7</xdr:row>
      <xdr:rowOff>177800</xdr:rowOff>
    </xdr:from>
    <xdr:to>
      <xdr:col>52</xdr:col>
      <xdr:colOff>571500</xdr:colOff>
      <xdr:row>35</xdr:row>
      <xdr:rowOff>139700</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336550</xdr:colOff>
      <xdr:row>46</xdr:row>
      <xdr:rowOff>146050</xdr:rowOff>
    </xdr:from>
    <xdr:to>
      <xdr:col>5</xdr:col>
      <xdr:colOff>152400</xdr:colOff>
      <xdr:row>75</xdr:row>
      <xdr:rowOff>12700</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336550</xdr:colOff>
      <xdr:row>46</xdr:row>
      <xdr:rowOff>146050</xdr:rowOff>
    </xdr:from>
    <xdr:to>
      <xdr:col>15</xdr:col>
      <xdr:colOff>152400</xdr:colOff>
      <xdr:row>75</xdr:row>
      <xdr:rowOff>12700</xdr:rowOff>
    </xdr:to>
    <xdr:graphicFrame macro="">
      <xdr:nvGraphicFramePr>
        <xdr:cNvPr id="4" name="Chart 3">
          <a:extLst>
            <a:ext uri="{FF2B5EF4-FFF2-40B4-BE49-F238E27FC236}">
              <a16:creationId xmlns:a16="http://schemas.microsoft.com/office/drawing/2014/main" id="{62980066-3A4D-4885-9CE7-6577EB9138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162560</xdr:colOff>
      <xdr:row>24</xdr:row>
      <xdr:rowOff>111760</xdr:rowOff>
    </xdr:from>
    <xdr:to>
      <xdr:col>6</xdr:col>
      <xdr:colOff>782320</xdr:colOff>
      <xdr:row>41</xdr:row>
      <xdr:rowOff>132080</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386080</xdr:colOff>
      <xdr:row>38</xdr:row>
      <xdr:rowOff>91440</xdr:rowOff>
    </xdr:from>
    <xdr:to>
      <xdr:col>9</xdr:col>
      <xdr:colOff>304800</xdr:colOff>
      <xdr:row>55</xdr:row>
      <xdr:rowOff>71120</xdr:rowOff>
    </xdr:to>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396240</xdr:colOff>
      <xdr:row>57</xdr:row>
      <xdr:rowOff>71120</xdr:rowOff>
    </xdr:from>
    <xdr:to>
      <xdr:col>8</xdr:col>
      <xdr:colOff>701040</xdr:colOff>
      <xdr:row>71</xdr:row>
      <xdr:rowOff>60960</xdr:rowOff>
    </xdr:to>
    <xdr:graphicFrame macro="">
      <xdr:nvGraphicFramePr>
        <xdr:cNvPr id="5" name="Chart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619760</xdr:colOff>
      <xdr:row>33</xdr:row>
      <xdr:rowOff>81280</xdr:rowOff>
    </xdr:from>
    <xdr:to>
      <xdr:col>22</xdr:col>
      <xdr:colOff>60960</xdr:colOff>
      <xdr:row>49</xdr:row>
      <xdr:rowOff>132080</xdr:rowOff>
    </xdr:to>
    <xdr:graphicFrame macro="">
      <xdr:nvGraphicFramePr>
        <xdr:cNvPr id="6" name="Chart 5">
          <a:extLst>
            <a:ext uri="{FF2B5EF4-FFF2-40B4-BE49-F238E27FC236}">
              <a16:creationId xmlns:a16="http://schemas.microsoft.com/office/drawing/2014/main" id="{00000000-0008-0000-0B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518160</xdr:colOff>
      <xdr:row>79</xdr:row>
      <xdr:rowOff>101600</xdr:rowOff>
    </xdr:from>
    <xdr:to>
      <xdr:col>16</xdr:col>
      <xdr:colOff>579120</xdr:colOff>
      <xdr:row>96</xdr:row>
      <xdr:rowOff>20320</xdr:rowOff>
    </xdr:to>
    <xdr:graphicFrame macro="">
      <xdr:nvGraphicFramePr>
        <xdr:cNvPr id="7" name="Chart 6">
          <a:extLst>
            <a:ext uri="{FF2B5EF4-FFF2-40B4-BE49-F238E27FC236}">
              <a16:creationId xmlns:a16="http://schemas.microsoft.com/office/drawing/2014/main" id="{00000000-0008-0000-0B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telfer/Dropbox/EAST%20TIMOR%20GS/Filled%20in%20Templates/AR%20Soil%20Tool%20Calculations/AR-Soil-Carbon-Tool_final-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odrigocastellanos/Library/Mail%20Downloads/RAMP%20Carbon%20AR-Soil-Carbon-Calcs_PFA%20Revi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kground"/>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proseanet.org/prosea/e-prosea_detail.php?frt=&amp;id=3012" TargetMode="External"/><Relationship Id="rId1" Type="http://schemas.openxmlformats.org/officeDocument/2006/relationships/hyperlink" Target="http://www.proseanet.org/"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8000"/>
  </sheetPr>
  <dimension ref="A1:AZ149"/>
  <sheetViews>
    <sheetView tabSelected="1" topLeftCell="A105" zoomScale="80" zoomScaleNormal="80" zoomScalePageLayoutView="125" workbookViewId="0">
      <pane xSplit="5120" activePane="topRight"/>
      <selection activeCell="A101" sqref="A101:XFD101"/>
      <selection pane="topRight" activeCell="L117" sqref="L117"/>
    </sheetView>
  </sheetViews>
  <sheetFormatPr baseColWidth="10" defaultColWidth="10.83203125" defaultRowHeight="15"/>
  <cols>
    <col min="1" max="1" width="19.1640625" style="124" customWidth="1"/>
    <col min="2" max="2" width="25.1640625" style="370" customWidth="1"/>
    <col min="3" max="3" width="14.33203125" style="139" customWidth="1"/>
    <col min="4" max="4" width="14.83203125" style="139" customWidth="1"/>
    <col min="5" max="5" width="16.83203125" style="139" customWidth="1"/>
    <col min="6" max="6" width="11.1640625" style="138" customWidth="1"/>
    <col min="7" max="7" width="12.1640625" style="138" customWidth="1"/>
    <col min="8" max="8" width="11.5" style="138" customWidth="1"/>
    <col min="9" max="9" width="10.83203125" style="138"/>
    <col min="10" max="10" width="15.5" style="138" customWidth="1"/>
    <col min="11" max="11" width="14.1640625" style="138" customWidth="1"/>
    <col min="12" max="12" width="11.1640625" style="138" bestFit="1" customWidth="1"/>
    <col min="13" max="13" width="10.83203125" style="138"/>
    <col min="14" max="14" width="12.1640625" style="138" bestFit="1" customWidth="1"/>
    <col min="15" max="32" width="10.83203125" style="138"/>
    <col min="33" max="33" width="11.1640625"/>
    <col min="34" max="38" width="10.83203125" style="138"/>
    <col min="39" max="39" width="13.83203125" style="138" customWidth="1"/>
    <col min="40" max="41" width="10.83203125" style="138"/>
    <col min="42" max="42" width="11" style="138" bestFit="1" customWidth="1"/>
    <col min="43" max="16384" width="10.83203125" style="138"/>
  </cols>
  <sheetData>
    <row r="1" spans="1:52" ht="19">
      <c r="A1" s="366" t="s">
        <v>718</v>
      </c>
      <c r="C1" s="295"/>
      <c r="D1" s="295"/>
      <c r="E1" s="295"/>
      <c r="AG1" s="296"/>
    </row>
    <row r="2" spans="1:52" ht="16">
      <c r="A2" s="181" t="s">
        <v>717</v>
      </c>
    </row>
    <row r="3" spans="1:52" ht="16">
      <c r="A3" s="181"/>
      <c r="C3" s="295"/>
      <c r="D3" s="295"/>
      <c r="E3" s="295"/>
      <c r="AG3" s="296"/>
      <c r="AL3" s="843" t="s">
        <v>762</v>
      </c>
      <c r="AM3" s="843" t="s">
        <v>763</v>
      </c>
    </row>
    <row r="4" spans="1:52">
      <c r="A4" s="177" t="s">
        <v>719</v>
      </c>
      <c r="AG4" s="138"/>
      <c r="AL4" s="843"/>
      <c r="AM4" s="843"/>
      <c r="AN4"/>
    </row>
    <row r="5" spans="1:52">
      <c r="C5" s="123"/>
      <c r="D5" s="150"/>
      <c r="E5" s="151"/>
      <c r="V5" s="151"/>
      <c r="W5" s="151"/>
      <c r="X5" s="151"/>
      <c r="Y5" s="151"/>
      <c r="Z5" s="151"/>
      <c r="AA5" s="151"/>
      <c r="AB5" s="151"/>
      <c r="AC5" s="151"/>
      <c r="AD5" s="151"/>
      <c r="AE5" s="151"/>
      <c r="AF5" s="151"/>
      <c r="AG5" s="138"/>
      <c r="AL5" s="373" t="s">
        <v>761</v>
      </c>
      <c r="AM5" s="373" t="s">
        <v>578</v>
      </c>
      <c r="AN5"/>
    </row>
    <row r="6" spans="1:52">
      <c r="A6" s="365" t="s">
        <v>850</v>
      </c>
      <c r="B6" s="373" t="s">
        <v>817</v>
      </c>
      <c r="C6" s="373" t="s">
        <v>818</v>
      </c>
      <c r="D6" s="373" t="s">
        <v>844</v>
      </c>
      <c r="E6" s="373"/>
      <c r="F6" s="365" t="s">
        <v>716</v>
      </c>
      <c r="G6" s="139"/>
      <c r="H6" s="169"/>
      <c r="I6" s="365" t="s">
        <v>729</v>
      </c>
      <c r="W6" s="151"/>
      <c r="X6" s="151"/>
      <c r="Y6" s="151"/>
      <c r="Z6" s="151"/>
      <c r="AA6" s="151"/>
      <c r="AB6" s="151"/>
      <c r="AC6" s="151"/>
      <c r="AD6" s="151"/>
      <c r="AE6" s="151"/>
      <c r="AF6" s="151"/>
      <c r="AG6" s="151"/>
      <c r="AM6" s="373" t="s">
        <v>760</v>
      </c>
      <c r="AN6" s="373" t="s">
        <v>760</v>
      </c>
      <c r="AO6"/>
      <c r="AU6" s="121" t="s">
        <v>705</v>
      </c>
      <c r="AV6" s="314"/>
      <c r="AW6" s="124"/>
      <c r="AX6" s="124"/>
      <c r="AY6" s="124"/>
      <c r="AZ6" s="124"/>
    </row>
    <row r="7" spans="1:52" ht="16">
      <c r="A7" s="304" t="s">
        <v>654</v>
      </c>
      <c r="B7" s="500" t="s">
        <v>650</v>
      </c>
      <c r="C7" s="500" t="s">
        <v>650</v>
      </c>
      <c r="D7" s="500" t="s">
        <v>650</v>
      </c>
      <c r="E7" s="373"/>
      <c r="F7" s="360" t="s">
        <v>710</v>
      </c>
      <c r="G7" s="359"/>
      <c r="H7" s="361" t="s">
        <v>727</v>
      </c>
      <c r="I7" s="362" t="s">
        <v>726</v>
      </c>
      <c r="W7" s="350"/>
      <c r="X7" s="168"/>
      <c r="Y7" s="170"/>
      <c r="Z7" s="151"/>
      <c r="AA7" s="224"/>
      <c r="AB7" s="151"/>
      <c r="AC7" s="224"/>
      <c r="AD7" s="151"/>
      <c r="AE7" s="151"/>
      <c r="AF7" s="151"/>
      <c r="AG7" s="151"/>
      <c r="AM7" s="373" t="s">
        <v>759</v>
      </c>
      <c r="AN7" s="373" t="s">
        <v>759</v>
      </c>
      <c r="AO7"/>
      <c r="AU7" s="343"/>
      <c r="AV7" s="314"/>
      <c r="AW7" s="124"/>
      <c r="AX7" s="124"/>
      <c r="AY7" s="135"/>
      <c r="AZ7" s="124"/>
    </row>
    <row r="8" spans="1:52" ht="16">
      <c r="A8" s="304" t="s">
        <v>644</v>
      </c>
      <c r="B8" s="500" t="s">
        <v>647</v>
      </c>
      <c r="C8" s="500" t="s">
        <v>647</v>
      </c>
      <c r="D8" s="500" t="s">
        <v>647</v>
      </c>
      <c r="E8" s="373"/>
      <c r="F8" s="300" t="s">
        <v>709</v>
      </c>
      <c r="G8" s="359" t="s">
        <v>713</v>
      </c>
      <c r="H8" s="361" t="s">
        <v>714</v>
      </c>
      <c r="I8" s="362" t="s">
        <v>715</v>
      </c>
      <c r="W8" s="175"/>
      <c r="X8" s="175"/>
      <c r="Y8" s="164"/>
      <c r="Z8" s="151"/>
      <c r="AA8" s="164"/>
      <c r="AB8" s="151"/>
      <c r="AC8" s="151"/>
      <c r="AD8" s="151"/>
      <c r="AE8" s="164"/>
      <c r="AF8" s="164"/>
      <c r="AG8" s="151"/>
      <c r="AL8" s="148">
        <v>2010</v>
      </c>
      <c r="AM8" s="210">
        <v>2.6</v>
      </c>
      <c r="AN8" s="210">
        <v>0</v>
      </c>
      <c r="AO8"/>
      <c r="AU8" s="345" t="s">
        <v>120</v>
      </c>
      <c r="AV8" s="440" t="s">
        <v>767</v>
      </c>
      <c r="AW8" s="142" t="s">
        <v>772</v>
      </c>
      <c r="AX8" s="142" t="s">
        <v>770</v>
      </c>
      <c r="AY8" s="305" t="s">
        <v>773</v>
      </c>
      <c r="AZ8"/>
    </row>
    <row r="9" spans="1:52" ht="21" customHeight="1">
      <c r="A9" s="701" t="s">
        <v>121</v>
      </c>
      <c r="B9" s="501">
        <f>'C. Equis'!F9</f>
        <v>7.4165727743711685E-3</v>
      </c>
      <c r="C9" s="747">
        <f>'CO2 Fixation Summary'!E7</f>
        <v>0</v>
      </c>
      <c r="D9" s="748">
        <f>'CO2 Fixation Summary'!F7</f>
        <v>2.4257692186646845E-2</v>
      </c>
      <c r="E9" s="373"/>
      <c r="F9" s="702" t="s">
        <v>549</v>
      </c>
      <c r="G9" s="703" t="s">
        <v>711</v>
      </c>
      <c r="H9" s="704">
        <v>0</v>
      </c>
      <c r="I9" s="705">
        <v>0.95</v>
      </c>
      <c r="AG9" s="138"/>
      <c r="AL9" s="148">
        <f t="shared" ref="AK9:AL23" si="0">AL8+1</f>
        <v>2011</v>
      </c>
      <c r="AM9" s="210">
        <v>4.6870000000000003</v>
      </c>
      <c r="AN9" s="210">
        <f t="shared" ref="AM9:AN16" si="1">4.9373*AL9-9924.6</f>
        <v>4.310299999999188</v>
      </c>
      <c r="AO9"/>
      <c r="AU9" s="346" t="s">
        <v>213</v>
      </c>
      <c r="AV9" s="439" t="s">
        <v>766</v>
      </c>
      <c r="AW9" s="439" t="s">
        <v>771</v>
      </c>
      <c r="AX9" s="439" t="s">
        <v>769</v>
      </c>
      <c r="AY9" s="439" t="s">
        <v>768</v>
      </c>
      <c r="AZ9" s="296"/>
    </row>
    <row r="10" spans="1:52">
      <c r="A10" s="305" t="s">
        <v>566</v>
      </c>
      <c r="B10" s="501">
        <f>'E. Alba'!F12</f>
        <v>5.9253523267688785E-3</v>
      </c>
      <c r="C10" s="747">
        <f>'CO2 Fixation Summary'!E8</f>
        <v>0</v>
      </c>
      <c r="D10" s="748">
        <f>'CO2 Fixation Summary'!F8</f>
        <v>5.9253523267688785E-3</v>
      </c>
      <c r="E10" s="373"/>
      <c r="F10" s="702" t="s">
        <v>219</v>
      </c>
      <c r="G10" s="703" t="s">
        <v>712</v>
      </c>
      <c r="H10" s="704">
        <f>'Baseline Carbon Stock'!E6</f>
        <v>14.872000000000003</v>
      </c>
      <c r="I10" s="705">
        <v>2.93</v>
      </c>
      <c r="J10" s="151"/>
      <c r="K10" s="151"/>
      <c r="L10" s="151"/>
      <c r="M10" s="151"/>
      <c r="W10" s="175"/>
      <c r="X10" s="175"/>
      <c r="Y10" s="165"/>
      <c r="Z10" s="151"/>
      <c r="AA10" s="223"/>
      <c r="AB10" s="151"/>
      <c r="AC10" s="151"/>
      <c r="AD10" s="351"/>
      <c r="AE10" s="223"/>
      <c r="AF10" s="352"/>
      <c r="AG10" s="151"/>
      <c r="AL10" s="148">
        <f t="shared" si="0"/>
        <v>2012</v>
      </c>
      <c r="AM10" s="210">
        <v>7.24</v>
      </c>
      <c r="AN10" s="210">
        <f t="shared" si="1"/>
        <v>9.2475999999987835</v>
      </c>
      <c r="AO10"/>
      <c r="AU10" s="193" t="s">
        <v>121</v>
      </c>
      <c r="AV10" s="441">
        <v>3</v>
      </c>
      <c r="AW10" s="442">
        <f>PI()*AV10*AV10/4/10000</f>
        <v>7.0685834705770342E-4</v>
      </c>
      <c r="AX10" s="120">
        <f>SUM('CO2 Certificates'!C31:AF31)</f>
        <v>41634.979999999996</v>
      </c>
      <c r="AY10" s="443">
        <f>AX10*AW10</f>
        <v>29.430033142580537</v>
      </c>
      <c r="AZ10" s="296"/>
    </row>
    <row r="11" spans="1:52">
      <c r="A11" s="305" t="s">
        <v>214</v>
      </c>
      <c r="B11" s="502">
        <f>'S. Macro'!Q10</f>
        <v>0.12056670308822381</v>
      </c>
      <c r="C11" s="747">
        <f>'CO2 Fixation Summary'!E9</f>
        <v>0.11517611831208403</v>
      </c>
      <c r="D11" s="748">
        <f>'CO2 Fixation Summary'!F9</f>
        <v>9.5300127281056538E-2</v>
      </c>
      <c r="E11" s="373"/>
      <c r="F11" s="176"/>
      <c r="G11" s="382" t="s">
        <v>753</v>
      </c>
      <c r="H11" s="433" t="s">
        <v>756</v>
      </c>
      <c r="I11" s="433" t="s">
        <v>754</v>
      </c>
      <c r="W11" s="175"/>
      <c r="X11" s="175"/>
      <c r="Y11" s="165"/>
      <c r="Z11" s="151"/>
      <c r="AA11" s="223"/>
      <c r="AB11" s="151"/>
      <c r="AC11" s="151"/>
      <c r="AD11" s="351"/>
      <c r="AE11" s="223"/>
      <c r="AF11" s="352"/>
      <c r="AG11" s="151"/>
      <c r="AL11" s="148">
        <f t="shared" si="0"/>
        <v>2013</v>
      </c>
      <c r="AM11" s="210">
        <v>10.137700000000001</v>
      </c>
      <c r="AN11" s="210">
        <f t="shared" si="1"/>
        <v>14.184899999998379</v>
      </c>
      <c r="AO11"/>
      <c r="AU11" s="193" t="s">
        <v>214</v>
      </c>
      <c r="AV11" s="441">
        <v>5</v>
      </c>
      <c r="AW11" s="442">
        <f>PI()*AV11*AV11/4/10000</f>
        <v>1.9634954084936209E-3</v>
      </c>
      <c r="AX11" s="120">
        <f>SUM('CO2 Certificates'!C34:AF34)</f>
        <v>251948.74461538461</v>
      </c>
      <c r="AY11" s="443">
        <f>AX11*AW11</f>
        <v>494.70020322803958</v>
      </c>
      <c r="AZ11" s="296"/>
    </row>
    <row r="12" spans="1:52">
      <c r="A12" s="305" t="s">
        <v>217</v>
      </c>
      <c r="B12" s="501">
        <f>'T. Grandis'!E10</f>
        <v>5.333775067993566E-2</v>
      </c>
      <c r="C12" s="747">
        <f>'CO2 Fixation Summary'!E10</f>
        <v>0</v>
      </c>
      <c r="D12" s="748">
        <f>'CO2 Fixation Summary'!F10</f>
        <v>4.2972435327041238E-2</v>
      </c>
      <c r="E12" s="373"/>
      <c r="F12" s="139"/>
      <c r="G12" s="223"/>
      <c r="T12" s="152"/>
      <c r="W12" s="175"/>
      <c r="X12" s="175"/>
      <c r="Y12" s="165"/>
      <c r="Z12" s="151"/>
      <c r="AA12" s="165"/>
      <c r="AB12" s="151"/>
      <c r="AC12" s="151"/>
      <c r="AD12" s="351"/>
      <c r="AE12" s="223"/>
      <c r="AF12" s="352"/>
      <c r="AG12" s="151"/>
      <c r="AL12" s="148">
        <f t="shared" si="0"/>
        <v>2014</v>
      </c>
      <c r="AM12" s="210">
        <v>16.989999999999998</v>
      </c>
      <c r="AN12" s="210">
        <f t="shared" si="1"/>
        <v>19.122199999997974</v>
      </c>
      <c r="AO12"/>
      <c r="AU12" s="193" t="s">
        <v>217</v>
      </c>
      <c r="AV12" s="441">
        <v>5</v>
      </c>
      <c r="AW12" s="442">
        <f>PI()*AV12*AV12/4/10000</f>
        <v>1.9634954084936209E-3</v>
      </c>
      <c r="AX12" s="120">
        <f>SUM('CO2 Certificates'!C33:AF33)</f>
        <v>105779.20999999999</v>
      </c>
      <c r="AY12" s="443">
        <f>AX12*AW12</f>
        <v>207.69699314908249</v>
      </c>
      <c r="AZ12" s="296"/>
    </row>
    <row r="13" spans="1:52">
      <c r="A13" s="305" t="s">
        <v>216</v>
      </c>
      <c r="B13" s="501">
        <f>'E. Uro'!G12</f>
        <v>8.6208173792438475E-3</v>
      </c>
      <c r="C13" s="747">
        <f>'CO2 Fixation Summary'!E11</f>
        <v>0</v>
      </c>
      <c r="D13" s="748">
        <f>'CO2 Fixation Summary'!F11</f>
        <v>8.2580365126792996E-2</v>
      </c>
      <c r="F13" s="372"/>
      <c r="I13" s="549" t="s">
        <v>764</v>
      </c>
      <c r="V13" s="175"/>
      <c r="W13" s="175"/>
      <c r="X13" s="166"/>
      <c r="Y13" s="151"/>
      <c r="Z13" s="223"/>
      <c r="AA13" s="151"/>
      <c r="AB13" s="151"/>
      <c r="AC13" s="151"/>
      <c r="AD13" s="151"/>
      <c r="AE13" s="151"/>
      <c r="AF13" s="151"/>
      <c r="AG13" s="138"/>
      <c r="AK13" s="148">
        <f>AL12+1</f>
        <v>2015</v>
      </c>
      <c r="AL13" s="210">
        <v>29.2</v>
      </c>
      <c r="AM13" s="210">
        <f t="shared" si="1"/>
        <v>24.059499999999389</v>
      </c>
      <c r="AN13"/>
      <c r="AT13" s="193" t="s">
        <v>216</v>
      </c>
      <c r="AU13" s="441">
        <v>3</v>
      </c>
      <c r="AV13" s="442">
        <f>PI()*AU13*AU13/4/10000</f>
        <v>7.0685834705770342E-4</v>
      </c>
      <c r="AW13" s="120">
        <f>SUM('CO2 Certificates'!C34:AF34)</f>
        <v>251948.74461538461</v>
      </c>
      <c r="AX13" s="443">
        <f>AW13*AV13</f>
        <v>178.09207316209421</v>
      </c>
      <c r="AY13" s="296"/>
    </row>
    <row r="14" spans="1:52">
      <c r="A14" s="536" t="s">
        <v>810</v>
      </c>
      <c r="B14" s="625">
        <v>0</v>
      </c>
      <c r="C14" s="747">
        <f>'CO2 Fixation Summary'!E12</f>
        <v>0</v>
      </c>
      <c r="D14" s="748">
        <f>'CO2 Fixation Summary'!F12</f>
        <v>0</v>
      </c>
      <c r="E14" s="626"/>
      <c r="F14" s="227"/>
      <c r="I14" s="842" t="s">
        <v>775</v>
      </c>
      <c r="V14" s="175"/>
      <c r="W14" s="175"/>
      <c r="X14" s="166"/>
      <c r="Y14" s="151"/>
      <c r="Z14" s="223"/>
      <c r="AA14" s="151"/>
      <c r="AB14" s="151"/>
      <c r="AC14" s="151"/>
      <c r="AD14" s="151"/>
      <c r="AE14" s="151"/>
      <c r="AF14" s="151"/>
      <c r="AG14" s="138"/>
      <c r="AJ14" s="438"/>
      <c r="AK14" s="437">
        <f t="shared" si="0"/>
        <v>2016</v>
      </c>
      <c r="AL14" s="210">
        <v>41.799640847450121</v>
      </c>
      <c r="AM14" s="210">
        <f t="shared" si="1"/>
        <v>28.996799999998984</v>
      </c>
      <c r="AN14"/>
      <c r="AT14" s="323" t="s">
        <v>215</v>
      </c>
      <c r="AU14" s="441">
        <v>3</v>
      </c>
      <c r="AV14" s="442">
        <f>PI()*AU14*AU14/4/10000</f>
        <v>7.0685834705770342E-4</v>
      </c>
      <c r="AW14" s="120">
        <f>SUM('CO2 Certificates'!C32:AF32)</f>
        <v>38963.599999999999</v>
      </c>
      <c r="AX14" s="443">
        <f>AW14*AV14</f>
        <v>27.541745891417531</v>
      </c>
      <c r="AY14" s="296"/>
    </row>
    <row r="15" spans="1:52">
      <c r="A15" s="536" t="s">
        <v>811</v>
      </c>
      <c r="B15" s="625">
        <f t="shared" ref="B15:B16" si="2">B14</f>
        <v>0</v>
      </c>
      <c r="C15" s="747">
        <f>'CO2 Fixation Summary'!E13</f>
        <v>0</v>
      </c>
      <c r="D15" s="748">
        <f>'CO2 Fixation Summary'!F13</f>
        <v>0</v>
      </c>
      <c r="E15" s="627"/>
      <c r="F15" s="190"/>
      <c r="I15" s="842"/>
      <c r="J15" s="572">
        <v>2010</v>
      </c>
      <c r="K15" s="572">
        <f>J15+1</f>
        <v>2011</v>
      </c>
      <c r="L15" s="572">
        <f>K15+1</f>
        <v>2012</v>
      </c>
      <c r="M15" s="572">
        <f>L15+1</f>
        <v>2013</v>
      </c>
      <c r="N15" s="572">
        <f>M15+1</f>
        <v>2014</v>
      </c>
      <c r="O15" s="572">
        <f>N15+1</f>
        <v>2015</v>
      </c>
      <c r="V15" s="175"/>
      <c r="W15" s="175"/>
      <c r="X15" s="167"/>
      <c r="Y15" s="151"/>
      <c r="Z15" s="151"/>
      <c r="AA15" s="151"/>
      <c r="AB15" s="151"/>
      <c r="AC15" s="151"/>
      <c r="AD15" s="151"/>
      <c r="AE15" s="151"/>
      <c r="AF15" s="151"/>
      <c r="AG15" s="138"/>
      <c r="AK15" s="148">
        <f t="shared" si="0"/>
        <v>2017</v>
      </c>
      <c r="AL15" s="210">
        <v>53.139317610155231</v>
      </c>
      <c r="AM15" s="210">
        <f t="shared" si="1"/>
        <v>33.93409999999858</v>
      </c>
      <c r="AN15"/>
      <c r="AT15" s="444" t="s">
        <v>510</v>
      </c>
      <c r="AU15" s="444"/>
      <c r="AV15" s="444"/>
      <c r="AW15" s="446" t="s">
        <v>774</v>
      </c>
      <c r="AX15" s="445">
        <f>SUM(AX10:AX14)</f>
        <v>399568.56843443809</v>
      </c>
      <c r="AY15" s="296"/>
    </row>
    <row r="16" spans="1:52">
      <c r="A16" s="536" t="s">
        <v>812</v>
      </c>
      <c r="B16" s="625">
        <f t="shared" si="2"/>
        <v>0</v>
      </c>
      <c r="C16" s="747">
        <f>'CO2 Fixation Summary'!E14</f>
        <v>0</v>
      </c>
      <c r="D16" s="748">
        <f>'CO2 Fixation Summary'!F14</f>
        <v>0</v>
      </c>
      <c r="E16" s="628"/>
      <c r="F16" s="190"/>
      <c r="I16" s="842"/>
      <c r="J16" s="593">
        <f>C34/C83</f>
        <v>1404.8106508875737</v>
      </c>
      <c r="K16" s="593">
        <f>(SUM($C34:D34)/D83)</f>
        <v>1330.4590438364705</v>
      </c>
      <c r="L16" s="593">
        <f>(SUM($C34:E34)/E83)</f>
        <v>1486.8168295792605</v>
      </c>
      <c r="M16" s="593">
        <f>(SUM($C34:F34)/F83)</f>
        <v>1374.1935092241374</v>
      </c>
      <c r="N16" s="593">
        <f>(SUM($C34:G34)/G83)</f>
        <v>1376.4440621179879</v>
      </c>
      <c r="O16" s="593">
        <f>(SUM($C34:H34)/H83)</f>
        <v>1305.9001580611168</v>
      </c>
      <c r="V16" s="175"/>
      <c r="W16" s="151"/>
      <c r="X16" s="150"/>
      <c r="Y16" s="151"/>
      <c r="Z16" s="151"/>
      <c r="AA16" s="151"/>
      <c r="AB16" s="151"/>
      <c r="AC16" s="151"/>
      <c r="AD16" s="151"/>
      <c r="AE16" s="151"/>
      <c r="AF16" s="151"/>
      <c r="AG16" s="138"/>
      <c r="AK16" s="148">
        <f t="shared" si="0"/>
        <v>2018</v>
      </c>
      <c r="AL16" s="210">
        <v>67.628904584722875</v>
      </c>
      <c r="AM16" s="210">
        <f t="shared" si="1"/>
        <v>38.871399999998175</v>
      </c>
      <c r="AN16"/>
    </row>
    <row r="17" spans="1:40">
      <c r="C17" s="210"/>
      <c r="D17" s="167"/>
      <c r="E17" s="203"/>
      <c r="F17" s="190"/>
      <c r="I17" s="505"/>
      <c r="J17" s="153"/>
      <c r="K17" s="297"/>
      <c r="L17" s="297"/>
      <c r="M17" s="297"/>
      <c r="N17" s="297"/>
      <c r="O17" s="297"/>
      <c r="V17" s="175"/>
      <c r="W17" s="151"/>
      <c r="X17" s="150"/>
      <c r="Y17" s="151"/>
      <c r="Z17" s="151"/>
      <c r="AA17" s="151"/>
      <c r="AB17" s="151"/>
      <c r="AC17" s="151"/>
      <c r="AD17" s="151"/>
      <c r="AE17" s="151"/>
      <c r="AF17" s="151"/>
      <c r="AG17" s="138"/>
      <c r="AK17" s="148">
        <f t="shared" si="0"/>
        <v>2019</v>
      </c>
      <c r="AL17" s="210">
        <v>80.228545432172993</v>
      </c>
      <c r="AM17" s="210">
        <f t="shared" ref="AM17:AM23" si="3">4.9373*AK17-9924.6</f>
        <v>43.80869999999959</v>
      </c>
      <c r="AN17" s="434"/>
    </row>
    <row r="18" spans="1:40" ht="17">
      <c r="A18" s="304" t="s">
        <v>653</v>
      </c>
      <c r="B18" s="304" t="s">
        <v>652</v>
      </c>
      <c r="C18" s="210"/>
      <c r="D18" s="167"/>
      <c r="E18" s="203"/>
      <c r="F18" s="190"/>
      <c r="I18" s="455"/>
      <c r="J18" s="813" t="s">
        <v>757</v>
      </c>
      <c r="K18" s="435">
        <f>AVERAGE(J16:O16)</f>
        <v>1379.7707089510911</v>
      </c>
      <c r="L18" s="418" t="s">
        <v>736</v>
      </c>
      <c r="AG18" s="138"/>
      <c r="AK18" s="148">
        <f t="shared" si="0"/>
        <v>2020</v>
      </c>
      <c r="AL18" s="210">
        <v>92.828186279623125</v>
      </c>
      <c r="AM18" s="210">
        <f t="shared" si="3"/>
        <v>48.745999999999185</v>
      </c>
      <c r="AN18" s="434"/>
    </row>
    <row r="19" spans="1:40">
      <c r="A19" s="368" t="s">
        <v>730</v>
      </c>
      <c r="B19" s="485" t="s">
        <v>735</v>
      </c>
      <c r="C19" s="210"/>
      <c r="D19" s="167"/>
      <c r="E19" s="203"/>
      <c r="F19" s="190"/>
      <c r="I19" s="503"/>
      <c r="J19" s="548">
        <f t="shared" ref="J19" si="4">I19+1</f>
        <v>1</v>
      </c>
      <c r="K19" s="548">
        <f t="shared" ref="K19" si="5">J19+1</f>
        <v>2</v>
      </c>
      <c r="L19" s="572">
        <f t="shared" ref="L19" si="6">K19+1</f>
        <v>3</v>
      </c>
      <c r="M19" s="572">
        <f t="shared" ref="M19" si="7">L19+1</f>
        <v>4</v>
      </c>
      <c r="N19" s="757">
        <f t="shared" ref="N19" si="8">M19+1</f>
        <v>5</v>
      </c>
      <c r="O19" s="757">
        <f t="shared" ref="O19" si="9">N19+1</f>
        <v>6</v>
      </c>
      <c r="P19" s="757">
        <f t="shared" ref="P19" si="10">O19+1</f>
        <v>7</v>
      </c>
      <c r="Q19" s="757">
        <f t="shared" ref="Q19" si="11">P19+1</f>
        <v>8</v>
      </c>
      <c r="R19" s="757">
        <f t="shared" ref="R19" si="12">Q19+1</f>
        <v>9</v>
      </c>
      <c r="S19" s="572">
        <f t="shared" ref="S19" si="13">R19+1</f>
        <v>10</v>
      </c>
      <c r="T19" s="572">
        <f t="shared" ref="T19" si="14">S19+1</f>
        <v>11</v>
      </c>
      <c r="U19" s="572">
        <f t="shared" ref="U19" si="15">T19+1</f>
        <v>12</v>
      </c>
      <c r="V19" s="572">
        <f t="shared" ref="V19" si="16">U19+1</f>
        <v>13</v>
      </c>
      <c r="W19" s="572">
        <f t="shared" ref="W19" si="17">V19+1</f>
        <v>14</v>
      </c>
      <c r="X19" s="572">
        <f t="shared" ref="X19" si="18">W19+1</f>
        <v>15</v>
      </c>
      <c r="Y19" s="572">
        <f t="shared" ref="Y19" si="19">X19+1</f>
        <v>16</v>
      </c>
      <c r="Z19" s="572">
        <f t="shared" ref="Z19" si="20">Y19+1</f>
        <v>17</v>
      </c>
      <c r="AA19" s="572">
        <f t="shared" ref="AA19" si="21">Z19+1</f>
        <v>18</v>
      </c>
      <c r="AB19" s="572">
        <f t="shared" ref="AB19" si="22">AA19+1</f>
        <v>19</v>
      </c>
      <c r="AC19" s="572">
        <f t="shared" ref="AC19" si="23">AB19+1</f>
        <v>20</v>
      </c>
      <c r="AD19" s="572">
        <f t="shared" ref="AD19" si="24">AC19+1</f>
        <v>21</v>
      </c>
      <c r="AE19" s="572">
        <f t="shared" ref="AE19" si="25">AD19+1</f>
        <v>22</v>
      </c>
      <c r="AF19" s="572">
        <f t="shared" ref="AF19" si="26">AE19+1</f>
        <v>23</v>
      </c>
      <c r="AG19" s="138"/>
      <c r="AK19" s="148">
        <f t="shared" si="0"/>
        <v>2021</v>
      </c>
      <c r="AL19" s="210">
        <v>105.42782712707324</v>
      </c>
      <c r="AM19" s="210">
        <f t="shared" si="3"/>
        <v>53.683299999998781</v>
      </c>
      <c r="AN19" s="434"/>
    </row>
    <row r="20" spans="1:40">
      <c r="C20" s="210"/>
      <c r="D20" s="167"/>
      <c r="E20" s="203"/>
      <c r="F20" s="190"/>
      <c r="I20" s="503"/>
      <c r="J20" s="548" t="s">
        <v>526</v>
      </c>
      <c r="K20" s="548" t="s">
        <v>527</v>
      </c>
      <c r="L20" s="572" t="s">
        <v>528</v>
      </c>
      <c r="M20" s="572" t="s">
        <v>529</v>
      </c>
      <c r="N20" s="757" t="s">
        <v>530</v>
      </c>
      <c r="O20" s="757" t="s">
        <v>531</v>
      </c>
      <c r="P20" s="757" t="s">
        <v>532</v>
      </c>
      <c r="Q20" s="757" t="s">
        <v>533</v>
      </c>
      <c r="R20" s="757" t="s">
        <v>534</v>
      </c>
      <c r="S20" s="572" t="s">
        <v>535</v>
      </c>
      <c r="T20" s="572" t="s">
        <v>536</v>
      </c>
      <c r="U20" s="572" t="s">
        <v>537</v>
      </c>
      <c r="V20" s="572" t="s">
        <v>538</v>
      </c>
      <c r="W20" s="572" t="s">
        <v>539</v>
      </c>
      <c r="X20" s="572" t="s">
        <v>540</v>
      </c>
      <c r="Y20" s="572" t="s">
        <v>541</v>
      </c>
      <c r="Z20" s="572" t="s">
        <v>542</v>
      </c>
      <c r="AA20" s="572" t="s">
        <v>543</v>
      </c>
      <c r="AB20" s="572" t="s">
        <v>544</v>
      </c>
      <c r="AC20" s="572" t="s">
        <v>545</v>
      </c>
      <c r="AD20" s="572" t="s">
        <v>546</v>
      </c>
      <c r="AE20" s="572" t="s">
        <v>547</v>
      </c>
      <c r="AF20" s="572" t="s">
        <v>548</v>
      </c>
      <c r="AG20" s="138"/>
      <c r="AK20" s="148">
        <f t="shared" si="0"/>
        <v>2022</v>
      </c>
      <c r="AL20" s="210">
        <v>118.02746797452336</v>
      </c>
      <c r="AM20" s="210">
        <f t="shared" si="3"/>
        <v>58.620599999998376</v>
      </c>
      <c r="AN20" s="434"/>
    </row>
    <row r="21" spans="1:40">
      <c r="C21" s="210"/>
      <c r="D21" s="167"/>
      <c r="E21" s="203"/>
      <c r="F21" s="190"/>
      <c r="I21" s="504"/>
      <c r="J21" s="456">
        <f t="shared" ref="J21:AF21" si="27">SUM(J31:J38)/$K$18+I21</f>
        <v>11.770796332056138</v>
      </c>
      <c r="K21" s="419">
        <f t="shared" si="27"/>
        <v>36.047329949343805</v>
      </c>
      <c r="L21" s="573">
        <f t="shared" si="27"/>
        <v>51.393357997798745</v>
      </c>
      <c r="M21" s="573">
        <f t="shared" si="27"/>
        <v>51.55570381261191</v>
      </c>
      <c r="N21" s="786">
        <f t="shared" si="27"/>
        <v>66.050865849501434</v>
      </c>
      <c r="O21" s="786">
        <f t="shared" si="27"/>
        <v>80.546027886390959</v>
      </c>
      <c r="P21" s="786">
        <f t="shared" si="27"/>
        <v>95.041189923280484</v>
      </c>
      <c r="Q21" s="786">
        <f t="shared" si="27"/>
        <v>109.53635196017001</v>
      </c>
      <c r="R21" s="786">
        <f t="shared" si="27"/>
        <v>124.03151399705953</v>
      </c>
      <c r="S21" s="573">
        <f t="shared" si="27"/>
        <v>137.07715983026011</v>
      </c>
      <c r="T21" s="573">
        <f t="shared" si="27"/>
        <v>150.1228056634607</v>
      </c>
      <c r="U21" s="573">
        <f t="shared" si="27"/>
        <v>163.16845149666128</v>
      </c>
      <c r="V21" s="573">
        <f t="shared" si="27"/>
        <v>176.21409732986186</v>
      </c>
      <c r="W21" s="573">
        <f t="shared" si="27"/>
        <v>189.25974316306244</v>
      </c>
      <c r="X21" s="573">
        <f t="shared" si="27"/>
        <v>202.30538899626302</v>
      </c>
      <c r="Y21" s="573">
        <f t="shared" si="27"/>
        <v>215.3510348294636</v>
      </c>
      <c r="Z21" s="573">
        <f t="shared" si="27"/>
        <v>228.39668066266418</v>
      </c>
      <c r="AA21" s="573">
        <f t="shared" si="27"/>
        <v>241.44232649586476</v>
      </c>
      <c r="AB21" s="573">
        <f t="shared" si="27"/>
        <v>254.48797232906534</v>
      </c>
      <c r="AC21" s="573">
        <f t="shared" si="27"/>
        <v>267.5336181622659</v>
      </c>
      <c r="AD21" s="573">
        <f t="shared" si="27"/>
        <v>280.57926399546648</v>
      </c>
      <c r="AE21" s="573">
        <f t="shared" si="27"/>
        <v>293.62490982866706</v>
      </c>
      <c r="AF21" s="573">
        <f t="shared" si="27"/>
        <v>306.67055566186764</v>
      </c>
      <c r="AG21" s="138"/>
      <c r="AK21" s="148">
        <f t="shared" si="0"/>
        <v>2023</v>
      </c>
      <c r="AL21" s="210">
        <v>130.62710882197348</v>
      </c>
      <c r="AM21" s="210">
        <f t="shared" si="3"/>
        <v>63.557899999997971</v>
      </c>
      <c r="AN21" s="434"/>
    </row>
    <row r="22" spans="1:40">
      <c r="C22" s="210"/>
      <c r="D22" s="167"/>
      <c r="E22" s="203"/>
      <c r="F22" s="190"/>
      <c r="I22" s="504"/>
      <c r="J22" s="456">
        <f t="shared" ref="J22:AF22" si="28">J38/$K$18+I22</f>
        <v>0</v>
      </c>
      <c r="K22" s="419">
        <f t="shared" si="28"/>
        <v>0</v>
      </c>
      <c r="L22" s="573">
        <f t="shared" si="28"/>
        <v>0.11378702198958277</v>
      </c>
      <c r="M22" s="573">
        <f t="shared" si="28"/>
        <v>0.11523653819327172</v>
      </c>
      <c r="N22" s="786">
        <f t="shared" si="28"/>
        <v>1.564752741882224</v>
      </c>
      <c r="O22" s="786">
        <f t="shared" si="28"/>
        <v>3.0142689455711764</v>
      </c>
      <c r="P22" s="786">
        <f t="shared" si="28"/>
        <v>4.4637851492601293</v>
      </c>
      <c r="Q22" s="786">
        <f t="shared" si="28"/>
        <v>5.9133013529490821</v>
      </c>
      <c r="R22" s="786">
        <f t="shared" si="28"/>
        <v>7.3628175566380349</v>
      </c>
      <c r="S22" s="573">
        <f t="shared" si="28"/>
        <v>8.8123337603269878</v>
      </c>
      <c r="T22" s="573">
        <f t="shared" si="28"/>
        <v>10.261849964015941</v>
      </c>
      <c r="U22" s="573">
        <f t="shared" si="28"/>
        <v>11.711366167704893</v>
      </c>
      <c r="V22" s="573">
        <f t="shared" si="28"/>
        <v>13.160882371393846</v>
      </c>
      <c r="W22" s="573">
        <f t="shared" si="28"/>
        <v>14.610398575082799</v>
      </c>
      <c r="X22" s="573">
        <f t="shared" si="28"/>
        <v>16.059914778771752</v>
      </c>
      <c r="Y22" s="573">
        <f t="shared" si="28"/>
        <v>17.509430982460703</v>
      </c>
      <c r="Z22" s="573">
        <f t="shared" si="28"/>
        <v>18.958947186149654</v>
      </c>
      <c r="AA22" s="573">
        <f t="shared" si="28"/>
        <v>20.408463389838605</v>
      </c>
      <c r="AB22" s="573">
        <f t="shared" si="28"/>
        <v>21.857979593527556</v>
      </c>
      <c r="AC22" s="573">
        <f t="shared" si="28"/>
        <v>23.307495797216507</v>
      </c>
      <c r="AD22" s="573">
        <f t="shared" si="28"/>
        <v>24.757012000905458</v>
      </c>
      <c r="AE22" s="573">
        <f t="shared" si="28"/>
        <v>26.206528204594409</v>
      </c>
      <c r="AF22" s="573">
        <f t="shared" si="28"/>
        <v>27.656044408283361</v>
      </c>
      <c r="AG22" s="138"/>
      <c r="AK22" s="148">
        <f t="shared" si="0"/>
        <v>2024</v>
      </c>
      <c r="AL22" s="210">
        <v>143.22674966942361</v>
      </c>
      <c r="AM22" s="210">
        <f t="shared" si="3"/>
        <v>68.495199999999386</v>
      </c>
      <c r="AN22" s="434"/>
    </row>
    <row r="23" spans="1:40">
      <c r="A23" s="415"/>
      <c r="B23" s="416"/>
      <c r="C23" s="375"/>
      <c r="D23" s="375"/>
      <c r="E23" s="375"/>
      <c r="F23" s="376"/>
      <c r="G23" s="375"/>
      <c r="H23" s="375"/>
      <c r="I23" s="506"/>
      <c r="J23" s="426">
        <f t="shared" ref="J23:AF23" si="29">SUM(J21:J22)</f>
        <v>11.770796332056138</v>
      </c>
      <c r="K23" s="426">
        <f t="shared" si="29"/>
        <v>36.047329949343805</v>
      </c>
      <c r="L23" s="574">
        <f t="shared" si="29"/>
        <v>51.507145019788325</v>
      </c>
      <c r="M23" s="574">
        <f t="shared" si="29"/>
        <v>51.670940350805182</v>
      </c>
      <c r="N23" s="809">
        <f t="shared" si="29"/>
        <v>67.615618591383665</v>
      </c>
      <c r="O23" s="809">
        <f t="shared" si="29"/>
        <v>83.560296831962134</v>
      </c>
      <c r="P23" s="809">
        <f t="shared" si="29"/>
        <v>99.504975072540617</v>
      </c>
      <c r="Q23" s="809">
        <f t="shared" si="29"/>
        <v>115.44965331311909</v>
      </c>
      <c r="R23" s="809">
        <f t="shared" si="29"/>
        <v>131.39433155369755</v>
      </c>
      <c r="S23" s="574">
        <f t="shared" si="29"/>
        <v>145.88949359058711</v>
      </c>
      <c r="T23" s="574">
        <f t="shared" si="29"/>
        <v>160.38465562747663</v>
      </c>
      <c r="U23" s="574">
        <f t="shared" si="29"/>
        <v>174.87981766436616</v>
      </c>
      <c r="V23" s="574">
        <f t="shared" si="29"/>
        <v>189.37497970125571</v>
      </c>
      <c r="W23" s="574">
        <f t="shared" si="29"/>
        <v>203.87014173814524</v>
      </c>
      <c r="X23" s="574">
        <f t="shared" si="29"/>
        <v>218.36530377503476</v>
      </c>
      <c r="Y23" s="574">
        <f t="shared" si="29"/>
        <v>232.86046581192431</v>
      </c>
      <c r="Z23" s="574">
        <f t="shared" si="29"/>
        <v>247.35562784881384</v>
      </c>
      <c r="AA23" s="574">
        <f t="shared" si="29"/>
        <v>261.85078988570336</v>
      </c>
      <c r="AB23" s="574">
        <f t="shared" si="29"/>
        <v>276.34595192259292</v>
      </c>
      <c r="AC23" s="574">
        <f t="shared" si="29"/>
        <v>290.84111395948241</v>
      </c>
      <c r="AD23" s="574">
        <f t="shared" si="29"/>
        <v>305.33627599637191</v>
      </c>
      <c r="AE23" s="574">
        <f t="shared" si="29"/>
        <v>319.83143803326146</v>
      </c>
      <c r="AF23" s="574">
        <f t="shared" si="29"/>
        <v>334.32660007015102</v>
      </c>
      <c r="AG23" s="299"/>
      <c r="AH23" s="299"/>
      <c r="AI23" s="299"/>
      <c r="AJ23" s="299"/>
      <c r="AK23" s="148">
        <f t="shared" si="0"/>
        <v>2025</v>
      </c>
      <c r="AL23" s="210">
        <v>155.82639051687374</v>
      </c>
      <c r="AM23" s="210">
        <f t="shared" si="3"/>
        <v>73.432499999998981</v>
      </c>
      <c r="AN23" s="289"/>
    </row>
    <row r="25" spans="1:40">
      <c r="D25" s="452"/>
      <c r="E25" s="452"/>
      <c r="F25" s="452"/>
      <c r="G25" s="452"/>
      <c r="H25" s="603" t="s">
        <v>829</v>
      </c>
      <c r="I25" s="604">
        <v>52604</v>
      </c>
      <c r="J25" s="559"/>
      <c r="K25" s="618" t="s">
        <v>828</v>
      </c>
      <c r="L25" s="597">
        <f>SUM(K41:K42)/SUM(K31:K34)</f>
        <v>0.21846323935876175</v>
      </c>
      <c r="M25" s="580"/>
      <c r="N25" s="580"/>
      <c r="O25" s="580"/>
      <c r="P25" s="580"/>
      <c r="Q25" s="580"/>
      <c r="R25" s="580"/>
      <c r="S25" s="580"/>
      <c r="T25" s="580"/>
      <c r="U25" s="580"/>
      <c r="V25" s="580"/>
      <c r="W25" s="580"/>
      <c r="X25" s="580"/>
      <c r="Y25" s="580"/>
      <c r="Z25" s="580"/>
      <c r="AA25" s="580"/>
      <c r="AB25" s="580"/>
      <c r="AC25" s="580"/>
      <c r="AD25" s="580"/>
      <c r="AE25" s="580"/>
      <c r="AF25" s="580"/>
      <c r="AG25" s="374"/>
    </row>
    <row r="26" spans="1:40">
      <c r="C26" s="431" t="s">
        <v>814</v>
      </c>
      <c r="D26" s="150"/>
      <c r="E26" s="373"/>
      <c r="I26" s="604" t="s">
        <v>830</v>
      </c>
      <c r="J26" s="559"/>
      <c r="K26" s="619">
        <v>0.73</v>
      </c>
      <c r="L26" s="580"/>
      <c r="M26" s="814">
        <f>SUM(M31:M46)</f>
        <v>265</v>
      </c>
      <c r="N26" s="814">
        <f>SUM(N31:N46)</f>
        <v>29000</v>
      </c>
      <c r="O26" s="814">
        <f t="shared" ref="O26:R26" si="30">SUM(O31:O46)</f>
        <v>29000</v>
      </c>
      <c r="P26" s="814">
        <f t="shared" si="30"/>
        <v>29000</v>
      </c>
      <c r="Q26" s="814">
        <f t="shared" si="30"/>
        <v>29000</v>
      </c>
      <c r="R26" s="814">
        <f t="shared" si="30"/>
        <v>29000</v>
      </c>
      <c r="S26" s="580"/>
      <c r="T26" s="580"/>
      <c r="U26" s="580"/>
      <c r="V26" s="580"/>
      <c r="W26" s="580"/>
      <c r="X26" s="580"/>
      <c r="Y26" s="580"/>
      <c r="Z26" s="580"/>
      <c r="AA26" s="580"/>
      <c r="AB26" s="580"/>
      <c r="AC26" s="580"/>
      <c r="AD26" s="580"/>
      <c r="AE26" s="580"/>
      <c r="AF26" s="580"/>
      <c r="AG26" s="374"/>
    </row>
    <row r="27" spans="1:40">
      <c r="C27" s="514" t="s">
        <v>797</v>
      </c>
      <c r="D27" s="515"/>
      <c r="E27" s="515"/>
      <c r="F27" s="516"/>
      <c r="G27" s="516"/>
      <c r="H27" s="516"/>
      <c r="I27" s="517"/>
      <c r="J27" s="518" t="s">
        <v>851</v>
      </c>
      <c r="K27" s="518"/>
      <c r="L27" s="518" t="s">
        <v>852</v>
      </c>
      <c r="M27" s="518"/>
      <c r="N27" s="832" t="s">
        <v>894</v>
      </c>
      <c r="O27" s="719"/>
      <c r="P27" s="719"/>
      <c r="Q27" s="719"/>
      <c r="R27" s="719"/>
      <c r="S27" s="156"/>
      <c r="T27" s="156"/>
      <c r="U27" s="156"/>
      <c r="V27" s="156"/>
      <c r="W27" s="156"/>
      <c r="X27" s="156"/>
      <c r="Y27" s="156"/>
      <c r="Z27" s="156"/>
      <c r="AA27" s="156"/>
      <c r="AB27" s="156"/>
      <c r="AC27" s="156"/>
      <c r="AD27" s="156"/>
      <c r="AE27" s="156"/>
      <c r="AF27" s="156"/>
      <c r="AG27" s="231"/>
    </row>
    <row r="28" spans="1:40">
      <c r="A28" s="225" t="s">
        <v>583</v>
      </c>
      <c r="C28" s="349" t="s">
        <v>728</v>
      </c>
      <c r="D28" s="348"/>
      <c r="F28" s="139"/>
      <c r="G28" s="139"/>
      <c r="H28" s="139"/>
      <c r="I28" s="459"/>
      <c r="J28" s="560"/>
      <c r="K28" s="560"/>
      <c r="L28" s="586"/>
      <c r="M28" s="655"/>
      <c r="N28" s="156"/>
      <c r="O28" s="156"/>
      <c r="P28" s="756"/>
      <c r="Q28" s="756"/>
      <c r="R28" s="655"/>
      <c r="S28" s="156"/>
      <c r="T28" s="156"/>
      <c r="U28" s="156"/>
      <c r="V28" s="156"/>
      <c r="W28" s="156"/>
      <c r="X28" s="156"/>
      <c r="Y28" s="156"/>
      <c r="Z28" s="156"/>
      <c r="AA28" s="156"/>
      <c r="AB28" s="156"/>
      <c r="AC28" s="156"/>
      <c r="AD28" s="156"/>
      <c r="AE28" s="156"/>
      <c r="AF28" s="156"/>
      <c r="AH28" s="158"/>
    </row>
    <row r="29" spans="1:40" ht="16">
      <c r="A29" s="147" t="s">
        <v>780</v>
      </c>
      <c r="C29" s="148">
        <v>2010</v>
      </c>
      <c r="D29" s="148">
        <f>C29+1</f>
        <v>2011</v>
      </c>
      <c r="E29" s="148">
        <f t="shared" ref="E29:AF29" si="31">D29+1</f>
        <v>2012</v>
      </c>
      <c r="F29" s="148">
        <f t="shared" si="31"/>
        <v>2013</v>
      </c>
      <c r="G29" s="148">
        <f t="shared" si="31"/>
        <v>2014</v>
      </c>
      <c r="H29" s="148">
        <f t="shared" si="31"/>
        <v>2015</v>
      </c>
      <c r="I29" s="437">
        <f t="shared" si="31"/>
        <v>2016</v>
      </c>
      <c r="J29" s="561">
        <f t="shared" si="31"/>
        <v>2017</v>
      </c>
      <c r="K29" s="529">
        <f t="shared" si="31"/>
        <v>2018</v>
      </c>
      <c r="L29" s="148">
        <f t="shared" si="31"/>
        <v>2019</v>
      </c>
      <c r="M29" s="656">
        <f t="shared" si="31"/>
        <v>2020</v>
      </c>
      <c r="N29" s="757">
        <f t="shared" si="31"/>
        <v>2021</v>
      </c>
      <c r="O29" s="757">
        <f t="shared" si="31"/>
        <v>2022</v>
      </c>
      <c r="P29" s="758">
        <f t="shared" si="31"/>
        <v>2023</v>
      </c>
      <c r="Q29" s="758">
        <f t="shared" si="31"/>
        <v>2024</v>
      </c>
      <c r="R29" s="759">
        <f t="shared" si="31"/>
        <v>2025</v>
      </c>
      <c r="S29" s="572">
        <f t="shared" si="31"/>
        <v>2026</v>
      </c>
      <c r="T29" s="572">
        <f t="shared" si="31"/>
        <v>2027</v>
      </c>
      <c r="U29" s="572">
        <f t="shared" si="31"/>
        <v>2028</v>
      </c>
      <c r="V29" s="572">
        <f t="shared" si="31"/>
        <v>2029</v>
      </c>
      <c r="W29" s="572">
        <f t="shared" si="31"/>
        <v>2030</v>
      </c>
      <c r="X29" s="572">
        <f t="shared" si="31"/>
        <v>2031</v>
      </c>
      <c r="Y29" s="572">
        <f t="shared" si="31"/>
        <v>2032</v>
      </c>
      <c r="Z29" s="572">
        <f t="shared" si="31"/>
        <v>2033</v>
      </c>
      <c r="AA29" s="572">
        <f t="shared" si="31"/>
        <v>2034</v>
      </c>
      <c r="AB29" s="572">
        <f t="shared" si="31"/>
        <v>2035</v>
      </c>
      <c r="AC29" s="572">
        <f t="shared" si="31"/>
        <v>2036</v>
      </c>
      <c r="AD29" s="572">
        <f t="shared" si="31"/>
        <v>2037</v>
      </c>
      <c r="AE29" s="572">
        <f t="shared" si="31"/>
        <v>2038</v>
      </c>
      <c r="AF29" s="572">
        <f t="shared" si="31"/>
        <v>2039</v>
      </c>
      <c r="AG29" s="162"/>
      <c r="AH29" s="158"/>
    </row>
    <row r="30" spans="1:40">
      <c r="A30" s="292"/>
      <c r="B30" s="147" t="s">
        <v>651</v>
      </c>
      <c r="C30" s="148" t="s">
        <v>519</v>
      </c>
      <c r="D30" s="148" t="s">
        <v>520</v>
      </c>
      <c r="E30" s="148" t="s">
        <v>521</v>
      </c>
      <c r="F30" s="148" t="s">
        <v>522</v>
      </c>
      <c r="G30" s="148" t="s">
        <v>523</v>
      </c>
      <c r="H30" s="148" t="s">
        <v>524</v>
      </c>
      <c r="I30" s="437" t="s">
        <v>525</v>
      </c>
      <c r="J30" s="561" t="s">
        <v>526</v>
      </c>
      <c r="K30" s="529" t="s">
        <v>527</v>
      </c>
      <c r="L30" s="148" t="s">
        <v>528</v>
      </c>
      <c r="M30" s="656" t="s">
        <v>529</v>
      </c>
      <c r="N30" s="757" t="s">
        <v>530</v>
      </c>
      <c r="O30" s="757" t="s">
        <v>531</v>
      </c>
      <c r="P30" s="758" t="s">
        <v>532</v>
      </c>
      <c r="Q30" s="758" t="s">
        <v>533</v>
      </c>
      <c r="R30" s="759" t="s">
        <v>534</v>
      </c>
      <c r="S30" s="572" t="s">
        <v>535</v>
      </c>
      <c r="T30" s="572" t="s">
        <v>536</v>
      </c>
      <c r="U30" s="572" t="s">
        <v>537</v>
      </c>
      <c r="V30" s="572" t="s">
        <v>538</v>
      </c>
      <c r="W30" s="572" t="s">
        <v>539</v>
      </c>
      <c r="X30" s="572" t="s">
        <v>540</v>
      </c>
      <c r="Y30" s="572" t="s">
        <v>541</v>
      </c>
      <c r="Z30" s="572" t="s">
        <v>542</v>
      </c>
      <c r="AA30" s="572" t="s">
        <v>543</v>
      </c>
      <c r="AB30" s="572" t="s">
        <v>544</v>
      </c>
      <c r="AC30" s="572" t="s">
        <v>545</v>
      </c>
      <c r="AD30" s="572" t="s">
        <v>546</v>
      </c>
      <c r="AE30" s="572" t="s">
        <v>547</v>
      </c>
      <c r="AF30" s="572" t="s">
        <v>548</v>
      </c>
      <c r="AH30" s="189" t="s">
        <v>499</v>
      </c>
      <c r="AK30" s="177"/>
      <c r="AL30" s="356"/>
      <c r="AM30" s="356"/>
    </row>
    <row r="31" spans="1:40">
      <c r="A31" s="639"/>
      <c r="B31" s="640" t="s">
        <v>121</v>
      </c>
      <c r="C31" s="149"/>
      <c r="D31" s="149"/>
      <c r="E31" s="149"/>
      <c r="F31" s="149"/>
      <c r="G31" s="149"/>
      <c r="H31" s="149"/>
      <c r="I31" s="553">
        <v>35</v>
      </c>
      <c r="J31" s="553">
        <v>50</v>
      </c>
      <c r="K31" s="534">
        <f>$K$26*4126</f>
        <v>3011.98</v>
      </c>
      <c r="L31" s="678">
        <v>536</v>
      </c>
      <c r="M31" s="679">
        <v>2</v>
      </c>
      <c r="N31" s="815">
        <v>2000</v>
      </c>
      <c r="O31" s="815">
        <v>2000</v>
      </c>
      <c r="P31" s="816">
        <v>2000</v>
      </c>
      <c r="Q31" s="816">
        <v>2000</v>
      </c>
      <c r="R31" s="605">
        <v>2000</v>
      </c>
      <c r="S31" s="587">
        <v>2000</v>
      </c>
      <c r="T31" s="587">
        <v>2000</v>
      </c>
      <c r="U31" s="587">
        <v>2000</v>
      </c>
      <c r="V31" s="587">
        <v>2000</v>
      </c>
      <c r="W31" s="587">
        <v>2000</v>
      </c>
      <c r="X31" s="587">
        <v>2000</v>
      </c>
      <c r="Y31" s="587">
        <v>2000</v>
      </c>
      <c r="Z31" s="587">
        <v>2000</v>
      </c>
      <c r="AA31" s="587">
        <v>2000</v>
      </c>
      <c r="AB31" s="587">
        <v>2000</v>
      </c>
      <c r="AC31" s="587">
        <v>2000</v>
      </c>
      <c r="AD31" s="587">
        <v>2000</v>
      </c>
      <c r="AE31" s="587">
        <v>2000</v>
      </c>
      <c r="AF31" s="587">
        <v>2000</v>
      </c>
      <c r="AH31" s="155">
        <f>SUM(C31:AF31)</f>
        <v>41634.979999999996</v>
      </c>
      <c r="AK31" s="358"/>
      <c r="AL31" s="355"/>
      <c r="AM31" s="355"/>
    </row>
    <row r="32" spans="1:40">
      <c r="A32" s="639"/>
      <c r="B32" s="640" t="s">
        <v>566</v>
      </c>
      <c r="C32" s="149"/>
      <c r="D32" s="149"/>
      <c r="E32" s="149"/>
      <c r="F32" s="149"/>
      <c r="G32" s="149"/>
      <c r="H32" s="149"/>
      <c r="I32" s="553">
        <v>0</v>
      </c>
      <c r="J32" s="553">
        <v>0</v>
      </c>
      <c r="K32" s="534">
        <f>$K$26*1320</f>
        <v>963.6</v>
      </c>
      <c r="L32" s="678">
        <v>0</v>
      </c>
      <c r="M32" s="679">
        <v>0</v>
      </c>
      <c r="N32" s="815">
        <v>2000</v>
      </c>
      <c r="O32" s="815">
        <v>2000</v>
      </c>
      <c r="P32" s="816">
        <v>2000</v>
      </c>
      <c r="Q32" s="816">
        <v>2000</v>
      </c>
      <c r="R32" s="605">
        <v>2000</v>
      </c>
      <c r="S32" s="587">
        <v>2000</v>
      </c>
      <c r="T32" s="587">
        <v>2000</v>
      </c>
      <c r="U32" s="587">
        <v>2000</v>
      </c>
      <c r="V32" s="587">
        <v>2000</v>
      </c>
      <c r="W32" s="587">
        <v>2000</v>
      </c>
      <c r="X32" s="587">
        <v>2000</v>
      </c>
      <c r="Y32" s="587">
        <v>2000</v>
      </c>
      <c r="Z32" s="587">
        <v>2000</v>
      </c>
      <c r="AA32" s="587">
        <v>2000</v>
      </c>
      <c r="AB32" s="587">
        <v>2000</v>
      </c>
      <c r="AC32" s="587">
        <v>2000</v>
      </c>
      <c r="AD32" s="587">
        <v>2000</v>
      </c>
      <c r="AE32" s="587">
        <v>2000</v>
      </c>
      <c r="AF32" s="587">
        <v>2000</v>
      </c>
      <c r="AG32" s="162"/>
      <c r="AH32" s="155">
        <f t="shared" ref="AH32:AH46" si="32">SUM(C32:AF32)</f>
        <v>38963.599999999999</v>
      </c>
      <c r="AK32" s="358"/>
      <c r="AL32" s="355"/>
      <c r="AM32" s="355"/>
    </row>
    <row r="33" spans="1:39">
      <c r="A33" s="639"/>
      <c r="B33" s="641" t="s">
        <v>217</v>
      </c>
      <c r="C33" s="149"/>
      <c r="D33" s="149"/>
      <c r="E33" s="149"/>
      <c r="F33" s="149"/>
      <c r="G33" s="149"/>
      <c r="H33" s="149"/>
      <c r="I33" s="553">
        <v>60</v>
      </c>
      <c r="J33" s="553">
        <v>1970</v>
      </c>
      <c r="K33" s="534">
        <f>$K$26*7377</f>
        <v>5385.21</v>
      </c>
      <c r="L33" s="678">
        <v>3345</v>
      </c>
      <c r="M33" s="679">
        <v>19</v>
      </c>
      <c r="N33" s="815">
        <v>5000</v>
      </c>
      <c r="O33" s="815">
        <v>5000</v>
      </c>
      <c r="P33" s="816">
        <v>5000</v>
      </c>
      <c r="Q33" s="816">
        <v>5000</v>
      </c>
      <c r="R33" s="605">
        <v>5000</v>
      </c>
      <c r="S33" s="587">
        <v>5000</v>
      </c>
      <c r="T33" s="587">
        <v>5000</v>
      </c>
      <c r="U33" s="587">
        <v>5000</v>
      </c>
      <c r="V33" s="587">
        <v>5000</v>
      </c>
      <c r="W33" s="587">
        <v>5000</v>
      </c>
      <c r="X33" s="587">
        <v>5000</v>
      </c>
      <c r="Y33" s="587">
        <v>5000</v>
      </c>
      <c r="Z33" s="587">
        <v>5000</v>
      </c>
      <c r="AA33" s="587">
        <v>5000</v>
      </c>
      <c r="AB33" s="587">
        <v>5000</v>
      </c>
      <c r="AC33" s="587">
        <v>5000</v>
      </c>
      <c r="AD33" s="587">
        <v>5000</v>
      </c>
      <c r="AE33" s="587">
        <v>5000</v>
      </c>
      <c r="AF33" s="587">
        <v>5000</v>
      </c>
      <c r="AG33" s="296"/>
      <c r="AH33" s="155">
        <f t="shared" si="32"/>
        <v>105779.20999999999</v>
      </c>
      <c r="AK33" s="358"/>
      <c r="AL33" s="355"/>
      <c r="AM33" s="355"/>
    </row>
    <row r="34" spans="1:39">
      <c r="A34" s="639" t="s">
        <v>549</v>
      </c>
      <c r="B34" s="641" t="s">
        <v>214</v>
      </c>
      <c r="C34" s="149">
        <f>(C81/C83)*4202</f>
        <v>3652.5076923076917</v>
      </c>
      <c r="D34" s="149">
        <f>(C81/C83)*2972</f>
        <v>2583.353846153846</v>
      </c>
      <c r="E34" s="149">
        <f>(C81/C83)*5210</f>
        <v>4528.6923076923076</v>
      </c>
      <c r="F34" s="149">
        <f>(C81/C83)*3643</f>
        <v>3166.6076923076921</v>
      </c>
      <c r="G34" s="149">
        <f>(C81/C83)*10877</f>
        <v>9454.6230769230751</v>
      </c>
      <c r="H34" s="149">
        <f>(C81/C83)*16965</f>
        <v>14746.499999999998</v>
      </c>
      <c r="I34" s="562">
        <f>10701+5918</f>
        <v>16619</v>
      </c>
      <c r="J34" s="562">
        <f>13877</f>
        <v>13877</v>
      </c>
      <c r="K34" s="534">
        <f>$K$26*(5700+2530+3933+11489+8030+720)</f>
        <v>23653.46</v>
      </c>
      <c r="L34" s="678">
        <v>16483</v>
      </c>
      <c r="M34" s="679">
        <v>184</v>
      </c>
      <c r="N34" s="815">
        <v>9000</v>
      </c>
      <c r="O34" s="815">
        <v>9000</v>
      </c>
      <c r="P34" s="815">
        <v>9000</v>
      </c>
      <c r="Q34" s="815">
        <v>9000</v>
      </c>
      <c r="R34" s="815">
        <v>9000</v>
      </c>
      <c r="S34" s="587">
        <v>7000</v>
      </c>
      <c r="T34" s="587">
        <v>7000</v>
      </c>
      <c r="U34" s="587">
        <v>7000</v>
      </c>
      <c r="V34" s="587">
        <v>7000</v>
      </c>
      <c r="W34" s="587">
        <v>7000</v>
      </c>
      <c r="X34" s="587">
        <v>7000</v>
      </c>
      <c r="Y34" s="587">
        <v>7000</v>
      </c>
      <c r="Z34" s="587">
        <v>7000</v>
      </c>
      <c r="AA34" s="587">
        <v>7000</v>
      </c>
      <c r="AB34" s="587">
        <v>7000</v>
      </c>
      <c r="AC34" s="587">
        <v>7000</v>
      </c>
      <c r="AD34" s="587">
        <v>7000</v>
      </c>
      <c r="AE34" s="587">
        <v>7000</v>
      </c>
      <c r="AF34" s="587">
        <v>7000</v>
      </c>
      <c r="AG34" s="162"/>
      <c r="AH34" s="155">
        <f t="shared" si="32"/>
        <v>251948.74461538461</v>
      </c>
      <c r="AK34" s="358"/>
      <c r="AL34" s="355"/>
      <c r="AM34" s="355"/>
    </row>
    <row r="35" spans="1:39">
      <c r="A35" s="639"/>
      <c r="B35" s="641" t="s">
        <v>810</v>
      </c>
      <c r="C35" s="149"/>
      <c r="D35" s="149"/>
      <c r="E35" s="149"/>
      <c r="F35" s="149"/>
      <c r="G35" s="149"/>
      <c r="H35" s="149"/>
      <c r="I35" s="562">
        <v>359</v>
      </c>
      <c r="J35" s="553">
        <v>9</v>
      </c>
      <c r="K35" s="534">
        <v>0</v>
      </c>
      <c r="L35" s="678">
        <v>176</v>
      </c>
      <c r="M35" s="679">
        <v>5</v>
      </c>
      <c r="N35" s="815"/>
      <c r="O35" s="815"/>
      <c r="P35" s="816"/>
      <c r="Q35" s="816"/>
      <c r="R35" s="605"/>
      <c r="S35" s="587"/>
      <c r="T35" s="587"/>
      <c r="U35" s="587"/>
      <c r="V35" s="587"/>
      <c r="W35" s="587"/>
      <c r="X35" s="587"/>
      <c r="Y35" s="587"/>
      <c r="Z35" s="587"/>
      <c r="AA35" s="587"/>
      <c r="AB35" s="587"/>
      <c r="AC35" s="587"/>
      <c r="AD35" s="587"/>
      <c r="AE35" s="587"/>
      <c r="AF35" s="587"/>
      <c r="AG35" s="519"/>
      <c r="AH35" s="155"/>
      <c r="AK35" s="358"/>
      <c r="AL35" s="355"/>
      <c r="AM35" s="355"/>
    </row>
    <row r="36" spans="1:39">
      <c r="A36" s="639"/>
      <c r="B36" s="641" t="s">
        <v>811</v>
      </c>
      <c r="C36" s="149"/>
      <c r="D36" s="149"/>
      <c r="E36" s="149"/>
      <c r="F36" s="149"/>
      <c r="G36" s="149"/>
      <c r="H36" s="149"/>
      <c r="I36" s="562">
        <v>1</v>
      </c>
      <c r="J36" s="553">
        <v>142</v>
      </c>
      <c r="K36" s="534">
        <f>$K$26*100</f>
        <v>73</v>
      </c>
      <c r="L36" s="678">
        <v>29</v>
      </c>
      <c r="M36" s="679"/>
      <c r="N36" s="815"/>
      <c r="O36" s="815"/>
      <c r="P36" s="816"/>
      <c r="Q36" s="816"/>
      <c r="R36" s="605"/>
      <c r="S36" s="587"/>
      <c r="T36" s="587"/>
      <c r="U36" s="587"/>
      <c r="V36" s="587"/>
      <c r="W36" s="587"/>
      <c r="X36" s="587"/>
      <c r="Y36" s="587"/>
      <c r="Z36" s="587"/>
      <c r="AA36" s="587"/>
      <c r="AB36" s="587"/>
      <c r="AC36" s="587"/>
      <c r="AD36" s="587"/>
      <c r="AE36" s="587"/>
      <c r="AF36" s="587"/>
      <c r="AG36" s="519"/>
      <c r="AH36" s="155"/>
      <c r="AK36" s="358"/>
      <c r="AL36" s="355"/>
      <c r="AM36" s="355"/>
    </row>
    <row r="37" spans="1:39">
      <c r="A37" s="639"/>
      <c r="B37" s="641" t="s">
        <v>812</v>
      </c>
      <c r="C37" s="149"/>
      <c r="D37" s="149"/>
      <c r="E37" s="149"/>
      <c r="F37" s="149"/>
      <c r="G37" s="149"/>
      <c r="H37" s="149"/>
      <c r="I37" s="562">
        <v>323</v>
      </c>
      <c r="J37" s="553">
        <v>193</v>
      </c>
      <c r="K37" s="534">
        <f>$K$26*560</f>
        <v>408.8</v>
      </c>
      <c r="L37" s="678">
        <v>448</v>
      </c>
      <c r="M37" s="679">
        <v>12</v>
      </c>
      <c r="N37" s="815"/>
      <c r="O37" s="815"/>
      <c r="P37" s="816"/>
      <c r="Q37" s="816"/>
      <c r="R37" s="605"/>
      <c r="S37" s="587"/>
      <c r="T37" s="587"/>
      <c r="U37" s="587"/>
      <c r="V37" s="587"/>
      <c r="W37" s="587"/>
      <c r="X37" s="587"/>
      <c r="Y37" s="587"/>
      <c r="Z37" s="587"/>
      <c r="AA37" s="587"/>
      <c r="AB37" s="587"/>
      <c r="AC37" s="587"/>
      <c r="AD37" s="587"/>
      <c r="AE37" s="587"/>
      <c r="AF37" s="587"/>
      <c r="AG37" s="519"/>
      <c r="AH37" s="155"/>
      <c r="AK37" s="358"/>
      <c r="AL37" s="355"/>
      <c r="AM37" s="355"/>
    </row>
    <row r="38" spans="1:39">
      <c r="A38" s="642"/>
      <c r="B38" s="643" t="s">
        <v>216</v>
      </c>
      <c r="C38" s="384"/>
      <c r="D38" s="384"/>
      <c r="E38" s="384"/>
      <c r="F38" s="384"/>
      <c r="G38" s="384"/>
      <c r="H38" s="384"/>
      <c r="I38" s="551">
        <v>0</v>
      </c>
      <c r="J38" s="551">
        <v>0</v>
      </c>
      <c r="K38" s="535">
        <v>0</v>
      </c>
      <c r="L38" s="678">
        <v>157</v>
      </c>
      <c r="M38" s="679">
        <v>2</v>
      </c>
      <c r="N38" s="817">
        <v>2000</v>
      </c>
      <c r="O38" s="817">
        <v>2000</v>
      </c>
      <c r="P38" s="817">
        <v>2000</v>
      </c>
      <c r="Q38" s="817">
        <v>2000</v>
      </c>
      <c r="R38" s="606">
        <v>2000</v>
      </c>
      <c r="S38" s="588">
        <v>2000</v>
      </c>
      <c r="T38" s="588">
        <v>2000</v>
      </c>
      <c r="U38" s="588">
        <v>2000</v>
      </c>
      <c r="V38" s="588">
        <v>2000</v>
      </c>
      <c r="W38" s="588">
        <v>2000</v>
      </c>
      <c r="X38" s="588">
        <v>2000</v>
      </c>
      <c r="Y38" s="588">
        <v>2000</v>
      </c>
      <c r="Z38" s="588">
        <v>2000</v>
      </c>
      <c r="AA38" s="588">
        <v>2000</v>
      </c>
      <c r="AB38" s="588">
        <v>2000</v>
      </c>
      <c r="AC38" s="588">
        <v>2000</v>
      </c>
      <c r="AD38" s="588">
        <v>2000</v>
      </c>
      <c r="AE38" s="588">
        <v>2000</v>
      </c>
      <c r="AF38" s="588">
        <v>2000</v>
      </c>
      <c r="AH38" s="155">
        <f t="shared" si="32"/>
        <v>38159</v>
      </c>
      <c r="AI38" s="438"/>
      <c r="AJ38" s="448"/>
      <c r="AK38" s="358"/>
      <c r="AL38" s="449"/>
      <c r="AM38" s="449"/>
    </row>
    <row r="39" spans="1:39">
      <c r="A39" s="644" t="s">
        <v>219</v>
      </c>
      <c r="B39" s="640" t="s">
        <v>121</v>
      </c>
      <c r="C39" s="533"/>
      <c r="D39" s="533"/>
      <c r="E39" s="533"/>
      <c r="F39" s="533"/>
      <c r="G39" s="533"/>
      <c r="H39" s="533"/>
      <c r="I39" s="552">
        <v>496</v>
      </c>
      <c r="J39" s="552">
        <v>386</v>
      </c>
      <c r="K39" s="607"/>
      <c r="L39" s="680">
        <v>1591</v>
      </c>
      <c r="M39" s="681">
        <v>4</v>
      </c>
      <c r="N39" s="818">
        <v>1000</v>
      </c>
      <c r="O39" s="818">
        <v>1000</v>
      </c>
      <c r="P39" s="818">
        <v>1000</v>
      </c>
      <c r="Q39" s="818">
        <v>1000</v>
      </c>
      <c r="R39" s="818">
        <v>1000</v>
      </c>
      <c r="S39" s="589"/>
      <c r="T39" s="589"/>
      <c r="U39" s="589"/>
      <c r="V39" s="589"/>
      <c r="W39" s="589"/>
      <c r="X39" s="589"/>
      <c r="Y39" s="589"/>
      <c r="Z39" s="589"/>
      <c r="AA39" s="589"/>
      <c r="AB39" s="589"/>
      <c r="AC39" s="589"/>
      <c r="AD39" s="589"/>
      <c r="AE39" s="589"/>
      <c r="AF39" s="589"/>
      <c r="AG39" s="519"/>
      <c r="AH39" s="155"/>
      <c r="AI39" s="438"/>
      <c r="AJ39" s="448"/>
      <c r="AK39" s="358"/>
      <c r="AL39" s="449"/>
      <c r="AM39" s="449"/>
    </row>
    <row r="40" spans="1:39">
      <c r="A40" s="639"/>
      <c r="B40" s="640" t="s">
        <v>566</v>
      </c>
      <c r="C40" s="460"/>
      <c r="D40" s="460"/>
      <c r="E40" s="460"/>
      <c r="F40" s="460"/>
      <c r="G40" s="460"/>
      <c r="H40" s="460"/>
      <c r="I40" s="553">
        <v>0</v>
      </c>
      <c r="J40" s="553">
        <v>0</v>
      </c>
      <c r="K40" s="605"/>
      <c r="L40" s="682">
        <v>0</v>
      </c>
      <c r="M40" s="679">
        <v>0</v>
      </c>
      <c r="N40" s="816">
        <v>1000</v>
      </c>
      <c r="O40" s="816">
        <v>1000</v>
      </c>
      <c r="P40" s="816">
        <v>1000</v>
      </c>
      <c r="Q40" s="816">
        <v>1000</v>
      </c>
      <c r="R40" s="816">
        <v>1000</v>
      </c>
      <c r="S40" s="590"/>
      <c r="T40" s="590"/>
      <c r="U40" s="590"/>
      <c r="V40" s="590"/>
      <c r="W40" s="590"/>
      <c r="X40" s="590"/>
      <c r="Y40" s="590"/>
      <c r="Z40" s="590"/>
      <c r="AA40" s="590"/>
      <c r="AB40" s="590"/>
      <c r="AC40" s="590"/>
      <c r="AD40" s="590"/>
      <c r="AE40" s="590"/>
      <c r="AF40" s="590"/>
      <c r="AG40" s="519"/>
      <c r="AH40" s="155"/>
      <c r="AI40" s="438"/>
      <c r="AJ40" s="448"/>
      <c r="AK40" s="358"/>
      <c r="AL40" s="449"/>
      <c r="AM40" s="449"/>
    </row>
    <row r="41" spans="1:39">
      <c r="A41" s="639"/>
      <c r="B41" s="641" t="s">
        <v>809</v>
      </c>
      <c r="C41" s="460"/>
      <c r="D41" s="460"/>
      <c r="E41" s="460"/>
      <c r="F41" s="460"/>
      <c r="G41" s="460"/>
      <c r="H41" s="460"/>
      <c r="I41" s="553">
        <v>482</v>
      </c>
      <c r="J41" s="553">
        <v>363</v>
      </c>
      <c r="K41" s="534">
        <f>$K$26*2000</f>
        <v>1460</v>
      </c>
      <c r="L41" s="682">
        <v>3665</v>
      </c>
      <c r="M41" s="679">
        <v>5</v>
      </c>
      <c r="N41" s="816">
        <v>2000</v>
      </c>
      <c r="O41" s="816">
        <v>2000</v>
      </c>
      <c r="P41" s="816">
        <v>2000</v>
      </c>
      <c r="Q41" s="816">
        <v>2000</v>
      </c>
      <c r="R41" s="816">
        <v>2000</v>
      </c>
      <c r="S41" s="590"/>
      <c r="T41" s="590"/>
      <c r="U41" s="590"/>
      <c r="V41" s="590"/>
      <c r="W41" s="590"/>
      <c r="X41" s="590"/>
      <c r="Y41" s="590"/>
      <c r="Z41" s="590"/>
      <c r="AA41" s="590"/>
      <c r="AB41" s="590"/>
      <c r="AC41" s="590"/>
      <c r="AD41" s="590"/>
      <c r="AE41" s="590"/>
      <c r="AF41" s="590"/>
      <c r="AG41" s="519"/>
      <c r="AH41" s="155"/>
      <c r="AI41" s="438"/>
      <c r="AJ41" s="448"/>
      <c r="AK41" s="358"/>
      <c r="AL41" s="449"/>
      <c r="AM41" s="449"/>
    </row>
    <row r="42" spans="1:39">
      <c r="A42" s="755"/>
      <c r="B42" s="641" t="s">
        <v>214</v>
      </c>
      <c r="C42" s="460">
        <f>(C82/C83)*C50</f>
        <v>549.49230769230815</v>
      </c>
      <c r="D42" s="460">
        <f t="shared" ref="D42:H42" si="33">(D82/D83)*D50</f>
        <v>385.52933646255633</v>
      </c>
      <c r="E42" s="460">
        <f t="shared" si="33"/>
        <v>854.18093922651963</v>
      </c>
      <c r="F42" s="460">
        <f t="shared" si="33"/>
        <v>545.38811564753394</v>
      </c>
      <c r="G42" s="460">
        <f t="shared" si="33"/>
        <v>1530.7184814596812</v>
      </c>
      <c r="H42" s="460">
        <f t="shared" si="33"/>
        <v>3462.7191780821922</v>
      </c>
      <c r="I42" s="562">
        <f>6713+2785</f>
        <v>9498</v>
      </c>
      <c r="J42" s="562">
        <f>7428</f>
        <v>7428</v>
      </c>
      <c r="K42" s="534">
        <f>$K$26*(1400+450+5550+480)</f>
        <v>5752.4</v>
      </c>
      <c r="L42" s="682">
        <v>8007</v>
      </c>
      <c r="M42" s="679">
        <v>30</v>
      </c>
      <c r="N42" s="816">
        <v>3000</v>
      </c>
      <c r="O42" s="816">
        <v>3000</v>
      </c>
      <c r="P42" s="816">
        <v>3000</v>
      </c>
      <c r="Q42" s="816">
        <v>3000</v>
      </c>
      <c r="R42" s="816">
        <v>3000</v>
      </c>
      <c r="S42" s="590"/>
      <c r="T42" s="590"/>
      <c r="U42" s="590"/>
      <c r="V42" s="590"/>
      <c r="W42" s="590"/>
      <c r="X42" s="590"/>
      <c r="Y42" s="590"/>
      <c r="Z42" s="590"/>
      <c r="AA42" s="590"/>
      <c r="AB42" s="590"/>
      <c r="AC42" s="590"/>
      <c r="AD42" s="590"/>
      <c r="AE42" s="590"/>
      <c r="AF42" s="590"/>
      <c r="AG42" s="519"/>
      <c r="AH42" s="155"/>
      <c r="AI42" s="438"/>
      <c r="AJ42" s="448"/>
      <c r="AK42" s="358"/>
      <c r="AL42" s="449"/>
      <c r="AM42" s="449"/>
    </row>
    <row r="43" spans="1:39">
      <c r="A43" s="755"/>
      <c r="B43" s="641" t="s">
        <v>810</v>
      </c>
      <c r="C43" s="460"/>
      <c r="D43" s="460"/>
      <c r="E43" s="460"/>
      <c r="F43" s="460"/>
      <c r="G43" s="460"/>
      <c r="H43" s="460"/>
      <c r="I43" s="553">
        <v>0</v>
      </c>
      <c r="J43" s="553">
        <v>0</v>
      </c>
      <c r="K43" s="525"/>
      <c r="L43" s="682">
        <v>3</v>
      </c>
      <c r="M43" s="679"/>
      <c r="N43" s="816"/>
      <c r="O43" s="816"/>
      <c r="P43" s="816"/>
      <c r="Q43" s="816"/>
      <c r="R43" s="605"/>
      <c r="S43" s="590"/>
      <c r="T43" s="590"/>
      <c r="U43" s="590"/>
      <c r="V43" s="590"/>
      <c r="W43" s="590"/>
      <c r="X43" s="590"/>
      <c r="Y43" s="590"/>
      <c r="Z43" s="590"/>
      <c r="AA43" s="590"/>
      <c r="AB43" s="590"/>
      <c r="AC43" s="590"/>
      <c r="AD43" s="590"/>
      <c r="AE43" s="590"/>
      <c r="AF43" s="590"/>
      <c r="AG43" s="519"/>
      <c r="AH43" s="155"/>
      <c r="AI43" s="438"/>
      <c r="AJ43" s="448"/>
      <c r="AK43" s="358"/>
      <c r="AL43" s="449"/>
      <c r="AM43" s="449"/>
    </row>
    <row r="44" spans="1:39">
      <c r="A44" s="755"/>
      <c r="B44" s="641" t="s">
        <v>811</v>
      </c>
      <c r="C44" s="460"/>
      <c r="D44" s="460"/>
      <c r="E44" s="460"/>
      <c r="F44" s="460"/>
      <c r="G44" s="460"/>
      <c r="H44" s="460"/>
      <c r="I44" s="553">
        <v>0</v>
      </c>
      <c r="J44" s="553">
        <v>237</v>
      </c>
      <c r="K44" s="605"/>
      <c r="L44" s="682">
        <v>21</v>
      </c>
      <c r="M44" s="679"/>
      <c r="N44" s="816"/>
      <c r="O44" s="816"/>
      <c r="P44" s="816"/>
      <c r="Q44" s="816"/>
      <c r="R44" s="605"/>
      <c r="S44" s="590"/>
      <c r="T44" s="590"/>
      <c r="U44" s="590"/>
      <c r="V44" s="590"/>
      <c r="W44" s="590"/>
      <c r="X44" s="590"/>
      <c r="Y44" s="590"/>
      <c r="Z44" s="590"/>
      <c r="AA44" s="590"/>
      <c r="AB44" s="590"/>
      <c r="AC44" s="590"/>
      <c r="AD44" s="590"/>
      <c r="AE44" s="590"/>
      <c r="AF44" s="590"/>
      <c r="AG44" s="519"/>
      <c r="AH44" s="155"/>
      <c r="AI44" s="438"/>
      <c r="AJ44" s="448"/>
      <c r="AK44" s="358"/>
      <c r="AL44" s="449"/>
      <c r="AM44" s="449"/>
    </row>
    <row r="45" spans="1:39">
      <c r="A45" s="755"/>
      <c r="B45" s="641" t="s">
        <v>812</v>
      </c>
      <c r="C45" s="460"/>
      <c r="D45" s="460"/>
      <c r="E45" s="460"/>
      <c r="F45" s="460"/>
      <c r="G45" s="460"/>
      <c r="H45" s="460"/>
      <c r="I45" s="553">
        <v>44</v>
      </c>
      <c r="J45" s="553">
        <v>4</v>
      </c>
      <c r="K45" s="605"/>
      <c r="L45" s="682">
        <v>50</v>
      </c>
      <c r="M45" s="679"/>
      <c r="N45" s="816"/>
      <c r="O45" s="816"/>
      <c r="P45" s="816"/>
      <c r="Q45" s="816"/>
      <c r="R45" s="605"/>
      <c r="S45" s="590"/>
      <c r="T45" s="590"/>
      <c r="U45" s="590"/>
      <c r="V45" s="590"/>
      <c r="W45" s="590"/>
      <c r="X45" s="590"/>
      <c r="Y45" s="590"/>
      <c r="Z45" s="590"/>
      <c r="AA45" s="590"/>
      <c r="AB45" s="590"/>
      <c r="AC45" s="590"/>
      <c r="AD45" s="590"/>
      <c r="AE45" s="590"/>
      <c r="AF45" s="590"/>
      <c r="AG45" s="519"/>
      <c r="AH45" s="155"/>
      <c r="AI45" s="438"/>
      <c r="AJ45" s="448"/>
      <c r="AK45" s="358"/>
      <c r="AL45" s="449"/>
      <c r="AM45" s="449"/>
    </row>
    <row r="46" spans="1:39">
      <c r="A46" s="645"/>
      <c r="B46" s="643" t="s">
        <v>216</v>
      </c>
      <c r="C46" s="384"/>
      <c r="D46" s="384"/>
      <c r="E46" s="384"/>
      <c r="F46" s="384"/>
      <c r="G46" s="384"/>
      <c r="H46" s="384"/>
      <c r="I46" s="551">
        <v>377</v>
      </c>
      <c r="J46" s="551">
        <v>100</v>
      </c>
      <c r="K46" s="606"/>
      <c r="L46" s="682">
        <v>609</v>
      </c>
      <c r="M46" s="679">
        <v>2</v>
      </c>
      <c r="N46" s="817">
        <v>2000</v>
      </c>
      <c r="O46" s="817">
        <v>2000</v>
      </c>
      <c r="P46" s="817">
        <v>2000</v>
      </c>
      <c r="Q46" s="817">
        <v>2000</v>
      </c>
      <c r="R46" s="606">
        <v>2000</v>
      </c>
      <c r="S46" s="588">
        <v>2000</v>
      </c>
      <c r="T46" s="588">
        <v>2000</v>
      </c>
      <c r="U46" s="588">
        <v>2000</v>
      </c>
      <c r="V46" s="588">
        <v>2000</v>
      </c>
      <c r="W46" s="588">
        <v>2000</v>
      </c>
      <c r="X46" s="588">
        <v>2000</v>
      </c>
      <c r="Y46" s="588">
        <v>2000</v>
      </c>
      <c r="Z46" s="588">
        <v>2000</v>
      </c>
      <c r="AA46" s="588">
        <v>2000</v>
      </c>
      <c r="AB46" s="588">
        <v>2000</v>
      </c>
      <c r="AC46" s="588">
        <v>2000</v>
      </c>
      <c r="AD46" s="588">
        <v>2000</v>
      </c>
      <c r="AE46" s="588">
        <v>2000</v>
      </c>
      <c r="AF46" s="588">
        <v>2000</v>
      </c>
      <c r="AH46" s="155">
        <f t="shared" si="32"/>
        <v>39088</v>
      </c>
      <c r="AI46" s="438"/>
      <c r="AJ46" s="438"/>
      <c r="AK46" s="450"/>
      <c r="AL46" s="449"/>
      <c r="AM46" s="449"/>
    </row>
    <row r="47" spans="1:39">
      <c r="A47" s="646"/>
      <c r="B47" s="647" t="s">
        <v>835</v>
      </c>
      <c r="C47" s="620">
        <f>SUM(C31:C46)</f>
        <v>4202</v>
      </c>
      <c r="D47" s="620">
        <f t="shared" ref="D47:H47" si="34">SUM(D31:D46)</f>
        <v>2968.8831826164023</v>
      </c>
      <c r="E47" s="620">
        <f t="shared" si="34"/>
        <v>5382.8732469188271</v>
      </c>
      <c r="F47" s="620">
        <f t="shared" si="34"/>
        <v>3711.9958079552262</v>
      </c>
      <c r="G47" s="620">
        <f t="shared" si="34"/>
        <v>10985.341558382755</v>
      </c>
      <c r="H47" s="620">
        <f t="shared" si="34"/>
        <v>18209.219178082189</v>
      </c>
      <c r="I47" s="620">
        <f t="shared" ref="I47" si="35">SUM(I31:I46)</f>
        <v>28294</v>
      </c>
      <c r="J47" s="620">
        <f>SUM(J31:J46)</f>
        <v>24759</v>
      </c>
      <c r="K47" s="620">
        <f>SUM(K31:K46)/K26</f>
        <v>55765.000000000007</v>
      </c>
      <c r="L47" s="683">
        <f>SUM(L31:L46)</f>
        <v>35120</v>
      </c>
      <c r="M47" s="683">
        <f>SUM(M31:M46)</f>
        <v>265</v>
      </c>
      <c r="N47" s="765">
        <f>7500/SUM(C47:K47)</f>
        <v>4.8613443169203678E-2</v>
      </c>
      <c r="O47" s="811" t="s">
        <v>834</v>
      </c>
      <c r="P47" s="761"/>
      <c r="Q47" s="761"/>
      <c r="R47" s="762"/>
      <c r="S47" s="587"/>
      <c r="T47" s="587"/>
      <c r="U47" s="587"/>
      <c r="V47" s="587"/>
      <c r="W47" s="587"/>
      <c r="X47" s="587"/>
      <c r="Y47" s="587"/>
      <c r="Z47" s="587"/>
      <c r="AA47" s="587"/>
      <c r="AB47" s="587"/>
      <c r="AC47" s="587"/>
      <c r="AD47" s="587"/>
      <c r="AE47" s="587"/>
      <c r="AF47" s="587"/>
      <c r="AG47" s="162"/>
      <c r="AH47" s="447">
        <f>SUM(AH31:AH46)</f>
        <v>515573.53461538459</v>
      </c>
      <c r="AI47" s="438"/>
      <c r="AJ47" s="438"/>
      <c r="AK47" s="438"/>
      <c r="AL47" s="438"/>
      <c r="AM47" s="438"/>
    </row>
    <row r="48" spans="1:39">
      <c r="A48" s="648"/>
      <c r="B48" s="649" t="s">
        <v>836</v>
      </c>
      <c r="C48" s="621">
        <f>C47</f>
        <v>4202</v>
      </c>
      <c r="D48" s="621">
        <f>SUM($C$47:D47)</f>
        <v>7170.8831826164023</v>
      </c>
      <c r="E48" s="621">
        <f>SUM($C$47:E47)</f>
        <v>12553.756429535229</v>
      </c>
      <c r="F48" s="621">
        <f>SUM($C$47:F47)</f>
        <v>16265.752237490455</v>
      </c>
      <c r="G48" s="621">
        <f>SUM($C$47:G47)</f>
        <v>27251.09379587321</v>
      </c>
      <c r="H48" s="621">
        <f>SUM($C$47:H47)</f>
        <v>45460.312973955399</v>
      </c>
      <c r="I48" s="621">
        <f>SUM($C$47:I47)</f>
        <v>73754.312973955399</v>
      </c>
      <c r="J48" s="621">
        <f>SUM($C$47:J47)</f>
        <v>98513.312973955399</v>
      </c>
      <c r="K48" s="621">
        <f>SUM($C$47:K47)</f>
        <v>154278.31297395541</v>
      </c>
      <c r="L48" s="684">
        <f>SUM($C$47:L47)</f>
        <v>189398.31297395541</v>
      </c>
      <c r="M48" s="684">
        <f>SUM($C$47:M47)</f>
        <v>189663.31297395541</v>
      </c>
      <c r="N48" s="810">
        <f>(SUM(C34:K34)+SUM(J42:K42))/SUM(C47:K47)</f>
        <v>0.6835837298349785</v>
      </c>
      <c r="O48" s="812" t="s">
        <v>833</v>
      </c>
      <c r="P48" s="763"/>
      <c r="Q48" s="763"/>
      <c r="R48" s="764"/>
      <c r="S48" s="591"/>
      <c r="T48" s="591"/>
      <c r="U48" s="591"/>
      <c r="V48" s="591"/>
      <c r="W48" s="591"/>
      <c r="X48" s="591"/>
      <c r="Y48" s="591"/>
      <c r="Z48" s="591"/>
      <c r="AA48" s="591"/>
      <c r="AB48" s="591"/>
      <c r="AC48" s="591"/>
      <c r="AD48" s="591"/>
      <c r="AE48" s="591"/>
      <c r="AF48" s="591"/>
      <c r="AG48" s="162"/>
      <c r="AH48" s="155"/>
    </row>
    <row r="49" spans="1:40">
      <c r="B49" s="239" t="s">
        <v>842</v>
      </c>
      <c r="C49" s="149"/>
      <c r="D49" s="631">
        <f>D47/C47</f>
        <v>0.70654050038467453</v>
      </c>
      <c r="E49" s="631">
        <f t="shared" ref="E49:K49" si="36">E47/D47</f>
        <v>1.813097018581592</v>
      </c>
      <c r="F49" s="631">
        <f t="shared" si="36"/>
        <v>0.6895937611163302</v>
      </c>
      <c r="G49" s="631">
        <f t="shared" si="36"/>
        <v>2.9594164774755209</v>
      </c>
      <c r="H49" s="631">
        <f t="shared" si="36"/>
        <v>1.657592445469936</v>
      </c>
      <c r="I49" s="631">
        <f t="shared" si="36"/>
        <v>1.5538282956172287</v>
      </c>
      <c r="J49" s="631">
        <f t="shared" si="36"/>
        <v>0.87506185056902519</v>
      </c>
      <c r="K49" s="631">
        <f t="shared" si="36"/>
        <v>2.2523122904802295</v>
      </c>
      <c r="L49" s="611"/>
      <c r="M49" s="657"/>
      <c r="N49" s="760"/>
      <c r="O49" s="760"/>
      <c r="P49" s="761"/>
      <c r="Q49" s="761"/>
      <c r="R49" s="762"/>
      <c r="S49" s="591"/>
      <c r="T49" s="591"/>
      <c r="U49" s="591"/>
      <c r="V49" s="591"/>
      <c r="W49" s="591"/>
      <c r="X49" s="591"/>
      <c r="Y49" s="591"/>
      <c r="Z49" s="591"/>
      <c r="AA49" s="591"/>
      <c r="AB49" s="591"/>
      <c r="AC49" s="591"/>
      <c r="AD49" s="591"/>
      <c r="AE49" s="591"/>
      <c r="AF49" s="591"/>
      <c r="AG49" s="612"/>
      <c r="AH49" s="155"/>
    </row>
    <row r="50" spans="1:40">
      <c r="B50" s="239"/>
      <c r="C50" s="754">
        <v>4202</v>
      </c>
      <c r="D50" s="754">
        <v>2972</v>
      </c>
      <c r="E50" s="754">
        <v>5210</v>
      </c>
      <c r="F50" s="754">
        <v>3643</v>
      </c>
      <c r="G50" s="754">
        <v>10877</v>
      </c>
      <c r="H50" s="754">
        <v>16965</v>
      </c>
      <c r="I50" s="149"/>
      <c r="J50" s="650"/>
      <c r="K50" s="650"/>
      <c r="L50" s="611"/>
      <c r="M50" s="657"/>
      <c r="N50" s="760"/>
      <c r="O50" s="760"/>
      <c r="P50" s="761"/>
      <c r="Q50" s="761"/>
      <c r="R50" s="762"/>
      <c r="S50" s="591"/>
      <c r="T50" s="591"/>
      <c r="U50" s="591"/>
      <c r="V50" s="591"/>
      <c r="W50" s="591"/>
      <c r="X50" s="591"/>
      <c r="Y50" s="591"/>
      <c r="Z50" s="591"/>
      <c r="AA50" s="591"/>
      <c r="AB50" s="591"/>
      <c r="AC50" s="591"/>
      <c r="AD50" s="591"/>
      <c r="AE50" s="591"/>
      <c r="AF50" s="591"/>
      <c r="AG50" s="612"/>
      <c r="AH50" s="155"/>
    </row>
    <row r="51" spans="1:40" ht="16">
      <c r="A51" s="147" t="s">
        <v>824</v>
      </c>
      <c r="B51" s="147"/>
      <c r="C51" s="148">
        <v>2010</v>
      </c>
      <c r="D51" s="148">
        <f>C51+1</f>
        <v>2011</v>
      </c>
      <c r="E51" s="148">
        <f t="shared" ref="E51" si="37">D51+1</f>
        <v>2012</v>
      </c>
      <c r="F51" s="148">
        <f t="shared" ref="F51" si="38">E51+1</f>
        <v>2013</v>
      </c>
      <c r="G51" s="148">
        <f t="shared" ref="G51" si="39">F51+1</f>
        <v>2014</v>
      </c>
      <c r="H51" s="148">
        <f t="shared" ref="H51" si="40">G51+1</f>
        <v>2015</v>
      </c>
      <c r="I51" s="437">
        <f t="shared" ref="I51" si="41">H51+1</f>
        <v>2016</v>
      </c>
      <c r="J51" s="561">
        <f t="shared" ref="J51" si="42">I51+1</f>
        <v>2017</v>
      </c>
      <c r="K51" s="529">
        <f t="shared" ref="K51" si="43">J51+1</f>
        <v>2018</v>
      </c>
      <c r="L51" s="148">
        <f t="shared" ref="L51" si="44">K51+1</f>
        <v>2019</v>
      </c>
      <c r="M51" s="656">
        <f t="shared" ref="M51" si="45">L51+1</f>
        <v>2020</v>
      </c>
      <c r="N51" s="757">
        <f t="shared" ref="N51" si="46">M51+1</f>
        <v>2021</v>
      </c>
      <c r="O51" s="757">
        <f t="shared" ref="O51" si="47">N51+1</f>
        <v>2022</v>
      </c>
      <c r="P51" s="758">
        <f t="shared" ref="P51" si="48">O51+1</f>
        <v>2023</v>
      </c>
      <c r="Q51" s="758">
        <f t="shared" ref="Q51" si="49">P51+1</f>
        <v>2024</v>
      </c>
      <c r="R51" s="759">
        <f t="shared" ref="R51" si="50">Q51+1</f>
        <v>2025</v>
      </c>
      <c r="S51" s="572">
        <f t="shared" ref="S51" si="51">R51+1</f>
        <v>2026</v>
      </c>
      <c r="T51" s="572">
        <f t="shared" ref="T51" si="52">S51+1</f>
        <v>2027</v>
      </c>
      <c r="U51" s="572">
        <f t="shared" ref="U51" si="53">T51+1</f>
        <v>2028</v>
      </c>
      <c r="V51" s="572">
        <f t="shared" ref="V51" si="54">U51+1</f>
        <v>2029</v>
      </c>
      <c r="W51" s="572">
        <f t="shared" ref="W51" si="55">V51+1</f>
        <v>2030</v>
      </c>
      <c r="X51" s="572">
        <f t="shared" ref="X51" si="56">W51+1</f>
        <v>2031</v>
      </c>
      <c r="Y51" s="572">
        <f t="shared" ref="Y51" si="57">X51+1</f>
        <v>2032</v>
      </c>
      <c r="Z51" s="572">
        <f t="shared" ref="Z51" si="58">Y51+1</f>
        <v>2033</v>
      </c>
      <c r="AA51" s="572">
        <f t="shared" ref="AA51" si="59">Z51+1</f>
        <v>2034</v>
      </c>
      <c r="AB51" s="572">
        <f t="shared" ref="AB51" si="60">AA51+1</f>
        <v>2035</v>
      </c>
      <c r="AC51" s="572">
        <f t="shared" ref="AC51" si="61">AB51+1</f>
        <v>2036</v>
      </c>
      <c r="AD51" s="572">
        <f t="shared" ref="AD51" si="62">AC51+1</f>
        <v>2037</v>
      </c>
      <c r="AE51" s="572">
        <f t="shared" ref="AE51" si="63">AD51+1</f>
        <v>2038</v>
      </c>
      <c r="AF51" s="572">
        <f t="shared" ref="AF51" si="64">AE51+1</f>
        <v>2039</v>
      </c>
    </row>
    <row r="52" spans="1:40">
      <c r="A52" s="147"/>
      <c r="B52" s="147" t="s">
        <v>648</v>
      </c>
      <c r="C52" s="148" t="s">
        <v>519</v>
      </c>
      <c r="D52" s="148" t="s">
        <v>520</v>
      </c>
      <c r="E52" s="148" t="s">
        <v>521</v>
      </c>
      <c r="F52" s="148" t="s">
        <v>522</v>
      </c>
      <c r="G52" s="148" t="s">
        <v>523</v>
      </c>
      <c r="H52" s="148" t="s">
        <v>524</v>
      </c>
      <c r="I52" s="437" t="s">
        <v>525</v>
      </c>
      <c r="J52" s="561" t="s">
        <v>526</v>
      </c>
      <c r="K52" s="529" t="s">
        <v>527</v>
      </c>
      <c r="L52" s="148" t="s">
        <v>528</v>
      </c>
      <c r="M52" s="656" t="s">
        <v>529</v>
      </c>
      <c r="N52" s="757" t="s">
        <v>530</v>
      </c>
      <c r="O52" s="757" t="s">
        <v>531</v>
      </c>
      <c r="P52" s="758" t="s">
        <v>532</v>
      </c>
      <c r="Q52" s="758" t="s">
        <v>533</v>
      </c>
      <c r="R52" s="759" t="s">
        <v>534</v>
      </c>
      <c r="S52" s="572" t="s">
        <v>535</v>
      </c>
      <c r="T52" s="572" t="s">
        <v>536</v>
      </c>
      <c r="U52" s="572" t="s">
        <v>537</v>
      </c>
      <c r="V52" s="572" t="s">
        <v>538</v>
      </c>
      <c r="W52" s="572" t="s">
        <v>539</v>
      </c>
      <c r="X52" s="572" t="s">
        <v>540</v>
      </c>
      <c r="Y52" s="572" t="s">
        <v>541</v>
      </c>
      <c r="Z52" s="572" t="s">
        <v>542</v>
      </c>
      <c r="AA52" s="572" t="s">
        <v>543</v>
      </c>
      <c r="AB52" s="572" t="s">
        <v>544</v>
      </c>
      <c r="AC52" s="572" t="s">
        <v>545</v>
      </c>
      <c r="AD52" s="572" t="s">
        <v>546</v>
      </c>
      <c r="AE52" s="572" t="s">
        <v>547</v>
      </c>
      <c r="AF52" s="572" t="s">
        <v>548</v>
      </c>
      <c r="AH52" s="189" t="s">
        <v>499</v>
      </c>
      <c r="AJ52" s="189"/>
      <c r="AN52" s="169"/>
    </row>
    <row r="53" spans="1:40">
      <c r="A53" s="142" t="s">
        <v>549</v>
      </c>
      <c r="B53" s="368" t="s">
        <v>121</v>
      </c>
      <c r="C53" s="120">
        <f>C31*(VLOOKUP($B53,$A$9:$B$13,2,FALSE))</f>
        <v>0</v>
      </c>
      <c r="D53" s="120">
        <f>SUM($C31:D31)*(VLOOKUP($B53,$A$9:$B$13,2,FALSE))</f>
        <v>0</v>
      </c>
      <c r="E53" s="120">
        <f>SUM($C31:E31)*(VLOOKUP($B53,$A$9:$B$13,2,FALSE))</f>
        <v>0</v>
      </c>
      <c r="F53" s="120">
        <f>SUM($C31:F31)*(VLOOKUP($B53,$A$9:$B$13,2,FALSE))</f>
        <v>0</v>
      </c>
      <c r="G53" s="120">
        <f>SUM($C31:G31)*(VLOOKUP($B53,$A$9:$B$13,2,FALSE))</f>
        <v>0</v>
      </c>
      <c r="H53" s="120">
        <f>SUM($C31:H31)*(VLOOKUP($B53,$A$9:$B$13,2,FALSE))</f>
        <v>0</v>
      </c>
      <c r="I53" s="637">
        <f>SUM($C31:I31)*(VLOOKUP($B53,$A$9:$B$13,2,FALSE))</f>
        <v>0.25958004710299087</v>
      </c>
      <c r="J53" s="558">
        <f>SUM($C31:J31)*(VLOOKUP($B53,$A$9:$B$16,2,FALSE))</f>
        <v>0.6304086858215493</v>
      </c>
      <c r="K53" s="530">
        <f>SUM($C31:K31)*(VLOOKUP($B53,$A$9:$B$16,2,FALSE))</f>
        <v>22.968977550772021</v>
      </c>
      <c r="L53" s="685">
        <f>SUM($C31:L31)*(VLOOKUP($B53,$A$9:$D$16,4,FALSE))</f>
        <v>88.127710560244253</v>
      </c>
      <c r="M53" s="686">
        <f>SUM($C31:M31)*(VLOOKUP($B53,$A$9:$D$16,4,FALSE))</f>
        <v>88.176225944617542</v>
      </c>
      <c r="N53" s="766">
        <f>SUM($C31:N31)*(VLOOKUP($B53,$A$9:$D$16,4,FALSE))</f>
        <v>136.69161031791123</v>
      </c>
      <c r="O53" s="766">
        <f>SUM($C31:O31)*(VLOOKUP($B53,$A$9:$D$16,4,FALSE))</f>
        <v>185.20699469120493</v>
      </c>
      <c r="P53" s="767">
        <f>SUM($C31:P31)*(VLOOKUP($B53,$A$9:$D$16,4,FALSE))</f>
        <v>233.7223790644986</v>
      </c>
      <c r="Q53" s="767">
        <f>SUM($C31:Q31)*(VLOOKUP($B53,$A$9:$D$16,4,FALSE))</f>
        <v>282.2377634377923</v>
      </c>
      <c r="R53" s="768">
        <f>SUM($C31:R31)*(VLOOKUP($B53,$A$9:$D$16,4,FALSE))</f>
        <v>330.75314781108597</v>
      </c>
      <c r="S53" s="584">
        <f>SUM($C31:S31)*(VLOOKUP($B53,$A$9:$B$13,2,FALSE))</f>
        <v>115.95796699583772</v>
      </c>
      <c r="T53" s="584">
        <f>SUM($C31:T31)*(VLOOKUP($B53,$A$9:$B$13,2,FALSE))</f>
        <v>130.79111254458007</v>
      </c>
      <c r="U53" s="584">
        <f>SUM($C31:U31)*(VLOOKUP($B53,$A$9:$B$13,2,FALSE))</f>
        <v>145.6242580933224</v>
      </c>
      <c r="V53" s="584">
        <f>SUM($C31:V31)*(VLOOKUP($B53,$A$9:$B$13,2,FALSE))</f>
        <v>160.45740364206475</v>
      </c>
      <c r="W53" s="584">
        <f>SUM($C31:W31)*(VLOOKUP($B53,$A$9:$B$13,2,FALSE))</f>
        <v>175.29054919080707</v>
      </c>
      <c r="X53" s="584">
        <f>SUM($C31:X31)*(VLOOKUP($B53,$A$9:$B$13,2,FALSE))</f>
        <v>190.12369473954942</v>
      </c>
      <c r="Y53" s="584">
        <f>SUM($C31:Y31)*(VLOOKUP($B53,$A$9:$B$13,2,FALSE))</f>
        <v>204.95684028829174</v>
      </c>
      <c r="Z53" s="584">
        <f>SUM($C31:Z31)*(VLOOKUP($B53,$A$9:$B$13,2,FALSE))</f>
        <v>219.7899858370341</v>
      </c>
      <c r="AA53" s="584">
        <f>SUM($C31:AA31)*(VLOOKUP($B53,$A$9:$B$13,2,FALSE))</f>
        <v>234.62313138577642</v>
      </c>
      <c r="AB53" s="584">
        <f>SUM($C31:AB31)*(VLOOKUP($B53,$A$9:$B$13,2,FALSE))</f>
        <v>249.45627693451874</v>
      </c>
      <c r="AC53" s="584">
        <f>SUM($C31:AC31)*(VLOOKUP($B53,$A$9:$B$13,2,FALSE))</f>
        <v>264.28942248326109</v>
      </c>
      <c r="AD53" s="584">
        <f>SUM($C31:AD31)*(VLOOKUP($B53,$A$9:$B$13,2,FALSE))</f>
        <v>279.12256803200341</v>
      </c>
      <c r="AE53" s="584">
        <f>SUM($C31:AE31)*(VLOOKUP($B53,$A$9:$B$13,2,FALSE))</f>
        <v>293.95571358074574</v>
      </c>
      <c r="AF53" s="584">
        <f>SUM($C31:AF31)*(VLOOKUP($B53,$A$9:$B$13,2,FALSE))</f>
        <v>308.78885912948806</v>
      </c>
      <c r="AH53" s="174">
        <f>SUM(C53:AF53)</f>
        <v>4342.0025809883327</v>
      </c>
      <c r="AJ53" s="226"/>
      <c r="AK53" s="358" t="s">
        <v>121</v>
      </c>
      <c r="AL53" s="355">
        <f>AH53</f>
        <v>4342.0025809883327</v>
      </c>
      <c r="AN53" s="180"/>
    </row>
    <row r="54" spans="1:40">
      <c r="A54" s="142" t="s">
        <v>549</v>
      </c>
      <c r="B54" s="368" t="s">
        <v>566</v>
      </c>
      <c r="C54" s="120">
        <f>C32*(VLOOKUP($B54,$A$9:$B$13,2,FALSE))</f>
        <v>0</v>
      </c>
      <c r="D54" s="120">
        <f>SUM($C32:D32)*(VLOOKUP($B54,$A$9:$B$13,2,FALSE))</f>
        <v>0</v>
      </c>
      <c r="E54" s="120">
        <f>SUM($C32:E32)*(VLOOKUP($B54,$A$9:$B$13,2,FALSE))</f>
        <v>0</v>
      </c>
      <c r="F54" s="120">
        <f>SUM($C32:F32)*(VLOOKUP($B54,$A$9:$B$13,2,FALSE))</f>
        <v>0</v>
      </c>
      <c r="G54" s="120">
        <f>SUM($C32:G32)*(VLOOKUP($B54,$A$9:$B$13,2,FALSE))</f>
        <v>0</v>
      </c>
      <c r="H54" s="120">
        <f>SUM($C32:H32)*(VLOOKUP($B54,$A$9:$B$13,2,FALSE))</f>
        <v>0</v>
      </c>
      <c r="I54" s="637">
        <f>SUM($C32:I32)*(VLOOKUP($B54,$A$9:$B$13,2,FALSE))</f>
        <v>0</v>
      </c>
      <c r="J54" s="558">
        <f>SUM($C32:J32)*(VLOOKUP($B54,$A$9:$B$16,2,FALSE))</f>
        <v>0</v>
      </c>
      <c r="K54" s="530">
        <f>SUM($C32:K32)*(VLOOKUP($B54,$A$9:$B$16,2,FALSE))</f>
        <v>5.7096695020744912</v>
      </c>
      <c r="L54" s="685">
        <f>SUM($C32:L32)*(VLOOKUP($B54,$A$9:$D$16,4,FALSE))</f>
        <v>5.7096695020744912</v>
      </c>
      <c r="M54" s="686">
        <f>SUM($C32:M32)*(VLOOKUP($B54,$A$9:$D$16,4,FALSE))</f>
        <v>5.7096695020744912</v>
      </c>
      <c r="N54" s="766">
        <f>SUM($C32:N32)*(VLOOKUP($B54,$A$9:$D$16,4,FALSE))</f>
        <v>17.560374155612248</v>
      </c>
      <c r="O54" s="766">
        <f>SUM($C32:O32)*(VLOOKUP($B54,$A$9:$D$16,4,FALSE))</f>
        <v>29.411078809150009</v>
      </c>
      <c r="P54" s="767">
        <f>SUM($C32:P32)*(VLOOKUP($B54,$A$9:$D$16,4,FALSE))</f>
        <v>41.261783462687767</v>
      </c>
      <c r="Q54" s="767">
        <f>SUM($C32:Q32)*(VLOOKUP($B54,$A$9:$D$16,4,FALSE))</f>
        <v>53.112488116225521</v>
      </c>
      <c r="R54" s="768">
        <f>SUM($C32:R32)*(VLOOKUP($B54,$A$9:$D$16,4,FALSE))</f>
        <v>64.963192769763282</v>
      </c>
      <c r="S54" s="584">
        <f>SUM($C32:S32)*(VLOOKUP($B54,$A$9:$B$13,2,FALSE))</f>
        <v>76.813897423301029</v>
      </c>
      <c r="T54" s="584">
        <f>SUM($C32:T32)*(VLOOKUP($B54,$A$9:$B$13,2,FALSE))</f>
        <v>88.66460207683879</v>
      </c>
      <c r="U54" s="584">
        <f>SUM($C32:U32)*(VLOOKUP($B54,$A$9:$B$13,2,FALSE))</f>
        <v>100.51530673037654</v>
      </c>
      <c r="V54" s="584">
        <f>SUM($C32:V32)*(VLOOKUP($B54,$A$9:$B$13,2,FALSE))</f>
        <v>112.3660113839143</v>
      </c>
      <c r="W54" s="584">
        <f>SUM($C32:W32)*(VLOOKUP($B54,$A$9:$B$13,2,FALSE))</f>
        <v>124.21671603745206</v>
      </c>
      <c r="X54" s="584">
        <f>SUM($C32:X32)*(VLOOKUP($B54,$A$9:$B$13,2,FALSE))</f>
        <v>136.06742069098982</v>
      </c>
      <c r="Y54" s="584">
        <f>SUM($C32:Y32)*(VLOOKUP($B54,$A$9:$B$13,2,FALSE))</f>
        <v>147.91812534452757</v>
      </c>
      <c r="Z54" s="584">
        <f>SUM($C32:Z32)*(VLOOKUP($B54,$A$9:$B$13,2,FALSE))</f>
        <v>159.76882999806531</v>
      </c>
      <c r="AA54" s="584">
        <f>SUM($C32:AA32)*(VLOOKUP($B54,$A$9:$B$13,2,FALSE))</f>
        <v>171.61953465160309</v>
      </c>
      <c r="AB54" s="584">
        <f>SUM($C32:AB32)*(VLOOKUP($B54,$A$9:$B$13,2,FALSE))</f>
        <v>183.47023930514084</v>
      </c>
      <c r="AC54" s="584">
        <f>SUM($C32:AC32)*(VLOOKUP($B54,$A$9:$B$13,2,FALSE))</f>
        <v>195.32094395867858</v>
      </c>
      <c r="AD54" s="584">
        <f>SUM($C32:AD32)*(VLOOKUP($B54,$A$9:$B$13,2,FALSE))</f>
        <v>207.17164861221636</v>
      </c>
      <c r="AE54" s="584">
        <f>SUM($C32:AE32)*(VLOOKUP($B54,$A$9:$B$13,2,FALSE))</f>
        <v>219.02235326575411</v>
      </c>
      <c r="AF54" s="584">
        <f>SUM($C32:AF32)*(VLOOKUP($B54,$A$9:$B$13,2,FALSE))</f>
        <v>230.87305791929185</v>
      </c>
      <c r="AG54" s="162"/>
      <c r="AH54" s="174">
        <f t="shared" ref="AH54:AH68" si="65">SUM(C54:AF54)</f>
        <v>2377.2466132178129</v>
      </c>
      <c r="AJ54" s="226"/>
      <c r="AK54" s="358" t="s">
        <v>566</v>
      </c>
      <c r="AL54" s="355">
        <f>AH54</f>
        <v>2377.2466132178129</v>
      </c>
      <c r="AN54" s="180"/>
    </row>
    <row r="55" spans="1:40">
      <c r="A55" s="142" t="s">
        <v>549</v>
      </c>
      <c r="B55" s="305" t="s">
        <v>217</v>
      </c>
      <c r="C55" s="120">
        <f>C33*(VLOOKUP($B55,$A$9:$B$13,2,FALSE))</f>
        <v>0</v>
      </c>
      <c r="D55" s="120">
        <f>SUM($C33:D33)*(VLOOKUP($B55,$A$9:$B$13,2,FALSE))</f>
        <v>0</v>
      </c>
      <c r="E55" s="120">
        <f>SUM($C33:E33)*(VLOOKUP($B55,$A$9:$B$13,2,FALSE))</f>
        <v>0</v>
      </c>
      <c r="F55" s="120">
        <f>SUM($C33:F33)*(VLOOKUP($B55,$A$9:$B$13,2,FALSE))</f>
        <v>0</v>
      </c>
      <c r="G55" s="120">
        <f>SUM($C33:G33)*(VLOOKUP($B55,$A$9:$B$13,2,FALSE))</f>
        <v>0</v>
      </c>
      <c r="H55" s="120">
        <f>SUM($C33:H33)*(VLOOKUP($B55,$A$9:$B$13,2,FALSE))</f>
        <v>0</v>
      </c>
      <c r="I55" s="636">
        <f>SUM($C33:I33)*(VLOOKUP($B55,$A$9:$B$13,2,FALSE))</f>
        <v>3.2002650407961397</v>
      </c>
      <c r="J55" s="558">
        <f>SUM($C33:J33)*(VLOOKUP($B55,$A$9:$B$16,2,FALSE))</f>
        <v>108.2756338802694</v>
      </c>
      <c r="K55" s="530">
        <f>SUM($C33:K33)*(VLOOKUP($B55,$A$9:$B$16,2,FALSE))</f>
        <v>395.5106222193657</v>
      </c>
      <c r="L55" s="685">
        <f>SUM($C33:L33)*(VLOOKUP($B55,$A$9:$D$16,4,FALSE))</f>
        <v>462.39242833038236</v>
      </c>
      <c r="M55" s="686">
        <f>SUM($C33:M33)*(VLOOKUP($B55,$A$9:$D$16,4,FALSE))</f>
        <v>463.20890460159615</v>
      </c>
      <c r="N55" s="766">
        <f>SUM($C33:N33)*(VLOOKUP($B55,$A$9:$D$16,4,FALSE))</f>
        <v>678.07108123680234</v>
      </c>
      <c r="O55" s="766">
        <f>SUM($C33:O33)*(VLOOKUP($B55,$A$9:$D$16,4,FALSE))</f>
        <v>892.93325787200854</v>
      </c>
      <c r="P55" s="767">
        <f>SUM($C33:P33)*(VLOOKUP($B55,$A$9:$D$16,4,FALSE))</f>
        <v>1107.7954345072146</v>
      </c>
      <c r="Q55" s="767">
        <f>SUM($C33:Q33)*(VLOOKUP($B55,$A$9:$D$16,4,FALSE))</f>
        <v>1322.6576111424208</v>
      </c>
      <c r="R55" s="768">
        <f>SUM($C33:R33)*(VLOOKUP($B55,$A$9:$D$16,4,FALSE))</f>
        <v>1537.519787777627</v>
      </c>
      <c r="S55" s="584">
        <f>SUM($C33:S33)*(VLOOKUP($B55,$A$9:$B$13,2,FALSE))</f>
        <v>2175.071335904739</v>
      </c>
      <c r="T55" s="584">
        <f>SUM($C33:T33)*(VLOOKUP($B55,$A$9:$B$13,2,FALSE))</f>
        <v>2441.7600893044173</v>
      </c>
      <c r="U55" s="584">
        <f>SUM($C33:U33)*(VLOOKUP($B55,$A$9:$B$13,2,FALSE))</f>
        <v>2708.4488427040956</v>
      </c>
      <c r="V55" s="584">
        <f>SUM($C33:V33)*(VLOOKUP($B55,$A$9:$B$13,2,FALSE))</f>
        <v>2975.1375961037738</v>
      </c>
      <c r="W55" s="584">
        <f>SUM($C33:W33)*(VLOOKUP($B55,$A$9:$B$13,2,FALSE))</f>
        <v>3241.8263495034521</v>
      </c>
      <c r="X55" s="584">
        <f>SUM($C33:X33)*(VLOOKUP($B55,$A$9:$B$13,2,FALSE))</f>
        <v>3508.5151029031299</v>
      </c>
      <c r="Y55" s="584">
        <f>SUM($C33:Y33)*(VLOOKUP($B55,$A$9:$B$13,2,FALSE))</f>
        <v>3775.2038563028086</v>
      </c>
      <c r="Z55" s="584">
        <f>SUM($C33:Z33)*(VLOOKUP($B55,$A$9:$B$13,2,FALSE))</f>
        <v>4041.8926097024869</v>
      </c>
      <c r="AA55" s="584">
        <f>SUM($C33:AA33)*(VLOOKUP($B55,$A$9:$B$13,2,FALSE))</f>
        <v>4308.5813631021647</v>
      </c>
      <c r="AB55" s="584">
        <f>SUM($C33:AB33)*(VLOOKUP($B55,$A$9:$B$13,2,FALSE))</f>
        <v>4575.2701165018434</v>
      </c>
      <c r="AC55" s="584">
        <f>SUM($C33:AC33)*(VLOOKUP($B55,$A$9:$B$13,2,FALSE))</f>
        <v>4841.9588699015212</v>
      </c>
      <c r="AD55" s="584">
        <f>SUM($C33:AD33)*(VLOOKUP($B55,$A$9:$B$13,2,FALSE))</f>
        <v>5108.6476233011999</v>
      </c>
      <c r="AE55" s="584">
        <f>SUM($C33:AE33)*(VLOOKUP($B55,$A$9:$B$13,2,FALSE))</f>
        <v>5375.3363767008786</v>
      </c>
      <c r="AF55" s="584">
        <f>SUM($C33:AF33)*(VLOOKUP($B55,$A$9:$B$13,2,FALSE))</f>
        <v>5642.0251301005565</v>
      </c>
      <c r="AG55" s="162"/>
      <c r="AH55" s="174">
        <f t="shared" si="65"/>
        <v>61691.240288645553</v>
      </c>
      <c r="AJ55" s="226"/>
      <c r="AK55" s="358" t="s">
        <v>214</v>
      </c>
      <c r="AL55" s="355">
        <f>AH56</f>
        <v>470720.50378105394</v>
      </c>
      <c r="AN55" s="180"/>
    </row>
    <row r="56" spans="1:40">
      <c r="A56" s="142" t="s">
        <v>549</v>
      </c>
      <c r="B56" s="305" t="s">
        <v>752</v>
      </c>
      <c r="C56" s="120">
        <f>C34*(VLOOKUP($B56,$A$9:$B$13,2,FALSE))</f>
        <v>440.37081046591504</v>
      </c>
      <c r="D56" s="120">
        <f>SUM($C34:D34)*(VLOOKUP($B56,$A$9:$B$13,2,FALSE))</f>
        <v>751.83726660696675</v>
      </c>
      <c r="E56" s="120">
        <f>SUM($C34:E34)*(VLOOKUP($B56,$A$9:$B$13,2,FALSE))</f>
        <v>1297.8467674464284</v>
      </c>
      <c r="F56" s="120">
        <f>SUM($C34:F34)*(VLOOKUP($B56,$A$9:$B$13,2,FALSE))</f>
        <v>1679.6342168817755</v>
      </c>
      <c r="G56" s="120">
        <f>SUM($C34:G34)*(VLOOKUP($B56,$A$9:$B$13,2,FALSE))</f>
        <v>2819.5469502082287</v>
      </c>
      <c r="H56" s="120">
        <f>SUM($C34:H34)*(VLOOKUP($B56,$A$9:$B$13,2,FALSE))</f>
        <v>4597.4838372987215</v>
      </c>
      <c r="I56" s="120">
        <f>SUM($C34:I34)*(VLOOKUP($B56,$A$9:$B$13,2,FALSE))</f>
        <v>6601.1818759219132</v>
      </c>
      <c r="J56" s="558">
        <f>SUM($C34:J34)*$C$11</f>
        <v>7904.3394284169153</v>
      </c>
      <c r="K56" s="530">
        <f>SUM($C34:K34)*C11</f>
        <v>10628.653135867062</v>
      </c>
      <c r="L56" s="685">
        <f>SUM($C34:L34)*(VLOOKUP($B56,$A$9:$D$16,4,FALSE))</f>
        <v>10365.294005537762</v>
      </c>
      <c r="M56" s="686">
        <f>SUM($C34:M34)*(VLOOKUP($B56,$A$9:$D$16,4,FALSE))</f>
        <v>10382.829228957477</v>
      </c>
      <c r="N56" s="766">
        <f>SUM($C34:N34)*(VLOOKUP($B56,$A$9:$D$16,4,FALSE))</f>
        <v>11240.530374486985</v>
      </c>
      <c r="O56" s="766">
        <f>SUM($C34:O34)*(VLOOKUP($B56,$A$9:$D$16,4,FALSE))</f>
        <v>12098.231520016494</v>
      </c>
      <c r="P56" s="767">
        <f>SUM($C34:P34)*(VLOOKUP($B56,$A$9:$D$16,4,FALSE))</f>
        <v>12955.932665546003</v>
      </c>
      <c r="Q56" s="767">
        <f>SUM($C34:Q34)*(VLOOKUP($B56,$A$9:$D$16,4,FALSE))</f>
        <v>13813.633811075511</v>
      </c>
      <c r="R56" s="768">
        <f>SUM($C34:R34)*(VLOOKUP($B56,$A$9:$D$16,4,FALSE))</f>
        <v>14671.33495660502</v>
      </c>
      <c r="S56" s="584">
        <f>SUM($C34:S34)*(VLOOKUP($B56,$A$9:$B$13,2,FALSE))</f>
        <v>19405.059504465436</v>
      </c>
      <c r="T56" s="584">
        <f>SUM($C34:T34)*(VLOOKUP($B56,$A$9:$B$13,2,FALSE))</f>
        <v>20249.026426083004</v>
      </c>
      <c r="U56" s="584">
        <f>SUM($C34:U34)*(VLOOKUP($B56,$A$9:$B$13,2,FALSE))</f>
        <v>21092.993347700572</v>
      </c>
      <c r="V56" s="584">
        <f>SUM($C34:V34)*(VLOOKUP($B56,$A$9:$B$13,2,FALSE))</f>
        <v>21936.960269318137</v>
      </c>
      <c r="W56" s="584">
        <f>SUM($C34:W34)*(VLOOKUP($B56,$A$9:$B$13,2,FALSE))</f>
        <v>22780.927190935705</v>
      </c>
      <c r="X56" s="584">
        <f>SUM($C34:X34)*(VLOOKUP($B56,$A$9:$B$13,2,FALSE))</f>
        <v>23624.894112553273</v>
      </c>
      <c r="Y56" s="584">
        <f>SUM($C34:Y34)*(VLOOKUP($B56,$A$9:$B$13,2,FALSE))</f>
        <v>24468.861034170837</v>
      </c>
      <c r="Z56" s="584">
        <f>SUM($C34:Z34)*(VLOOKUP($B56,$A$9:$B$13,2,FALSE))</f>
        <v>25312.827955788405</v>
      </c>
      <c r="AA56" s="584">
        <f>SUM($C34:AA34)*(VLOOKUP($B56,$A$9:$B$13,2,FALSE))</f>
        <v>26156.79487740597</v>
      </c>
      <c r="AB56" s="584">
        <f>SUM($C34:AB34)*(VLOOKUP($B56,$A$9:$B$13,2,FALSE))</f>
        <v>27000.761799023538</v>
      </c>
      <c r="AC56" s="584">
        <f>SUM($C34:AC34)*(VLOOKUP($B56,$A$9:$B$13,2,FALSE))</f>
        <v>27844.728720641106</v>
      </c>
      <c r="AD56" s="584">
        <f>SUM($C34:AD34)*(VLOOKUP($B56,$A$9:$B$13,2,FALSE))</f>
        <v>28688.69564225867</v>
      </c>
      <c r="AE56" s="584">
        <f>SUM($C34:AE34)*(VLOOKUP($B56,$A$9:$B$13,2,FALSE))</f>
        <v>29532.662563876238</v>
      </c>
      <c r="AF56" s="584">
        <f>SUM($C34:AF34)*(VLOOKUP($B56,$A$9:$B$13,2,FALSE))</f>
        <v>30376.629485493806</v>
      </c>
      <c r="AG56" s="296"/>
      <c r="AH56" s="174">
        <f t="shared" si="65"/>
        <v>470720.50378105394</v>
      </c>
      <c r="AJ56" s="226"/>
      <c r="AK56" s="358" t="s">
        <v>217</v>
      </c>
      <c r="AL56" s="355">
        <f>AH55</f>
        <v>61691.240288645553</v>
      </c>
      <c r="AN56" s="180"/>
    </row>
    <row r="57" spans="1:40">
      <c r="A57" s="142" t="s">
        <v>549</v>
      </c>
      <c r="B57" s="305" t="s">
        <v>810</v>
      </c>
      <c r="C57" s="120"/>
      <c r="D57" s="120"/>
      <c r="E57" s="120"/>
      <c r="F57" s="120"/>
      <c r="G57" s="120"/>
      <c r="H57" s="120"/>
      <c r="I57" s="558">
        <f>SUM($C35:I35)*(VLOOKUP($B57,$A$9:$B$16,2,FALSE))</f>
        <v>0</v>
      </c>
      <c r="J57" s="558">
        <f>SUM($C35:J35)*(VLOOKUP($B57,$A$9:$B$16,2,FALSE))</f>
        <v>0</v>
      </c>
      <c r="K57" s="530">
        <f>SUM($C35:K35)*(VLOOKUP($B57,$A$9:$B$16,2,FALSE))</f>
        <v>0</v>
      </c>
      <c r="L57" s="685">
        <f>SUM($C35:L35)*(VLOOKUP($B57,$A$9:$D$16,4,FALSE))</f>
        <v>0</v>
      </c>
      <c r="M57" s="686">
        <f>SUM($C35:M35)*(VLOOKUP($B57,$A$9:$D$16,4,FALSE))</f>
        <v>0</v>
      </c>
      <c r="N57" s="766">
        <f>SUM($C35:N35)*(VLOOKUP($B57,$A$9:$D$16,4,FALSE))</f>
        <v>0</v>
      </c>
      <c r="O57" s="766">
        <f>SUM($C35:O35)*(VLOOKUP($B57,$A$9:$D$16,4,FALSE))</f>
        <v>0</v>
      </c>
      <c r="P57" s="767">
        <f>SUM($C35:P35)*(VLOOKUP($B57,$A$9:$D$16,4,FALSE))</f>
        <v>0</v>
      </c>
      <c r="Q57" s="767">
        <f>SUM($C35:Q35)*(VLOOKUP($B57,$A$9:$D$16,4,FALSE))</f>
        <v>0</v>
      </c>
      <c r="R57" s="768">
        <f>SUM($C35:R35)*(VLOOKUP($B57,$A$9:$D$16,4,FALSE))</f>
        <v>0</v>
      </c>
      <c r="S57" s="584"/>
      <c r="T57" s="584"/>
      <c r="U57" s="584"/>
      <c r="V57" s="584"/>
      <c r="W57" s="584"/>
      <c r="X57" s="584"/>
      <c r="Y57" s="584"/>
      <c r="Z57" s="584"/>
      <c r="AA57" s="584"/>
      <c r="AB57" s="584"/>
      <c r="AC57" s="584"/>
      <c r="AD57" s="584"/>
      <c r="AE57" s="584"/>
      <c r="AF57" s="584"/>
      <c r="AG57" s="519"/>
      <c r="AH57" s="174"/>
      <c r="AJ57" s="226"/>
      <c r="AK57" s="358"/>
      <c r="AL57" s="355"/>
      <c r="AN57" s="180"/>
    </row>
    <row r="58" spans="1:40">
      <c r="A58" s="142" t="s">
        <v>549</v>
      </c>
      <c r="B58" s="305" t="s">
        <v>811</v>
      </c>
      <c r="C58" s="120"/>
      <c r="D58" s="120"/>
      <c r="E58" s="120"/>
      <c r="F58" s="120"/>
      <c r="G58" s="120"/>
      <c r="H58" s="120"/>
      <c r="I58" s="558">
        <f>SUM($C36:I36)*(VLOOKUP($B58,$A$9:$B$16,2,FALSE))</f>
        <v>0</v>
      </c>
      <c r="J58" s="558">
        <f>SUM($C36:J36)*(VLOOKUP($B58,$A$9:$B$16,2,FALSE))</f>
        <v>0</v>
      </c>
      <c r="K58" s="530">
        <f>SUM($C36:K36)*(VLOOKUP($B58,$A$9:$B$16,2,FALSE))</f>
        <v>0</v>
      </c>
      <c r="L58" s="685">
        <f>SUM($C36:L36)*(VLOOKUP($B58,$A$9:$D$16,4,FALSE))</f>
        <v>0</v>
      </c>
      <c r="M58" s="686">
        <f>SUM($C36:M36)*(VLOOKUP($B58,$A$9:$D$16,4,FALSE))</f>
        <v>0</v>
      </c>
      <c r="N58" s="766">
        <f>SUM($C36:N36)*(VLOOKUP($B58,$A$9:$D$16,4,FALSE))</f>
        <v>0</v>
      </c>
      <c r="O58" s="766">
        <f>SUM($C36:O36)*(VLOOKUP($B58,$A$9:$D$16,4,FALSE))</f>
        <v>0</v>
      </c>
      <c r="P58" s="767">
        <f>SUM($C36:P36)*(VLOOKUP($B58,$A$9:$D$16,4,FALSE))</f>
        <v>0</v>
      </c>
      <c r="Q58" s="767">
        <f>SUM($C36:Q36)*(VLOOKUP($B58,$A$9:$D$16,4,FALSE))</f>
        <v>0</v>
      </c>
      <c r="R58" s="768">
        <f>SUM($C36:R36)*(VLOOKUP($B58,$A$9:$D$16,4,FALSE))</f>
        <v>0</v>
      </c>
      <c r="S58" s="584"/>
      <c r="T58" s="584"/>
      <c r="U58" s="584"/>
      <c r="V58" s="584"/>
      <c r="W58" s="584"/>
      <c r="X58" s="584"/>
      <c r="Y58" s="584"/>
      <c r="Z58" s="584"/>
      <c r="AA58" s="584"/>
      <c r="AB58" s="584"/>
      <c r="AC58" s="584"/>
      <c r="AD58" s="584"/>
      <c r="AE58" s="584"/>
      <c r="AF58" s="584"/>
      <c r="AG58" s="519"/>
      <c r="AH58" s="174"/>
      <c r="AJ58" s="226"/>
      <c r="AK58" s="358"/>
      <c r="AL58" s="355"/>
      <c r="AN58" s="180"/>
    </row>
    <row r="59" spans="1:40">
      <c r="A59" s="142" t="s">
        <v>549</v>
      </c>
      <c r="B59" s="305" t="s">
        <v>812</v>
      </c>
      <c r="C59" s="120"/>
      <c r="D59" s="120"/>
      <c r="E59" s="120"/>
      <c r="F59" s="120"/>
      <c r="G59" s="120"/>
      <c r="H59" s="120"/>
      <c r="I59" s="558">
        <f>SUM($C37:I37)*(VLOOKUP($B59,$A$9:$B$16,2,FALSE))</f>
        <v>0</v>
      </c>
      <c r="J59" s="558">
        <f>SUM($C37:J37)*(VLOOKUP($B59,$A$9:$B$16,2,FALSE))</f>
        <v>0</v>
      </c>
      <c r="K59" s="530">
        <f>SUM($C37:K37)*(VLOOKUP($B59,$A$9:$B$16,2,FALSE))</f>
        <v>0</v>
      </c>
      <c r="L59" s="685">
        <f>SUM($C37:L37)*(VLOOKUP($B59,$A$9:$D$16,4,FALSE))</f>
        <v>0</v>
      </c>
      <c r="M59" s="686">
        <f>SUM($C37:M37)*(VLOOKUP($B59,$A$9:$D$16,4,FALSE))</f>
        <v>0</v>
      </c>
      <c r="N59" s="766">
        <f>SUM($C37:N37)*(VLOOKUP($B59,$A$9:$D$16,4,FALSE))</f>
        <v>0</v>
      </c>
      <c r="O59" s="766">
        <f>SUM($C37:O37)*(VLOOKUP($B59,$A$9:$D$16,4,FALSE))</f>
        <v>0</v>
      </c>
      <c r="P59" s="767">
        <f>SUM($C37:P37)*(VLOOKUP($B59,$A$9:$D$16,4,FALSE))</f>
        <v>0</v>
      </c>
      <c r="Q59" s="767">
        <f>SUM($C37:Q37)*(VLOOKUP($B59,$A$9:$D$16,4,FALSE))</f>
        <v>0</v>
      </c>
      <c r="R59" s="768">
        <f>SUM($C37:R37)*(VLOOKUP($B59,$A$9:$D$16,4,FALSE))</f>
        <v>0</v>
      </c>
      <c r="S59" s="584"/>
      <c r="T59" s="584"/>
      <c r="U59" s="584"/>
      <c r="V59" s="584"/>
      <c r="W59" s="584"/>
      <c r="X59" s="584"/>
      <c r="Y59" s="584"/>
      <c r="Z59" s="584"/>
      <c r="AA59" s="584"/>
      <c r="AB59" s="584"/>
      <c r="AC59" s="584"/>
      <c r="AD59" s="584"/>
      <c r="AE59" s="584"/>
      <c r="AF59" s="584"/>
      <c r="AG59" s="519"/>
      <c r="AH59" s="174"/>
      <c r="AJ59" s="226"/>
      <c r="AK59" s="358"/>
      <c r="AL59" s="355"/>
      <c r="AN59" s="180"/>
    </row>
    <row r="60" spans="1:40">
      <c r="A60" s="386" t="s">
        <v>549</v>
      </c>
      <c r="B60" s="493" t="s">
        <v>216</v>
      </c>
      <c r="C60" s="387">
        <f>C38*(VLOOKUP($B60,$A$9:$B$13,2,FALSE))</f>
        <v>0</v>
      </c>
      <c r="D60" s="387">
        <f>SUM($C38:D38)*(VLOOKUP($B60,$A$9:$B$13,2,FALSE))</f>
        <v>0</v>
      </c>
      <c r="E60" s="387">
        <f>SUM($C38:E38)*(VLOOKUP($B60,$A$9:$B$13,2,FALSE))</f>
        <v>0</v>
      </c>
      <c r="F60" s="387">
        <f>SUM($C38:F38)*(VLOOKUP($B60,$A$9:$B$13,2,FALSE))</f>
        <v>0</v>
      </c>
      <c r="G60" s="387">
        <f>SUM($C38:G38)*(VLOOKUP($B60,$A$9:$B$13,2,FALSE))</f>
        <v>0</v>
      </c>
      <c r="H60" s="387">
        <f>SUM($C38:H38)*(VLOOKUP($B60,$A$9:$B$13,2,FALSE))</f>
        <v>0</v>
      </c>
      <c r="I60" s="387">
        <f>SUM($C38:I38)*(VLOOKUP($B60,$A$9:$B$13,2,FALSE))</f>
        <v>0</v>
      </c>
      <c r="J60" s="558">
        <f>SUM($C38:J38)*(VLOOKUP($B60,$A$9:$B$16,2,FALSE))</f>
        <v>0</v>
      </c>
      <c r="K60" s="537">
        <f>SUM($C38:K38)*(VLOOKUP($B60,$A$9:$B$16,2,FALSE))</f>
        <v>0</v>
      </c>
      <c r="L60" s="685">
        <f>SUM($C38:L38)*(VLOOKUP($B60,$A$9:$D$16,4,FALSE))</f>
        <v>12.965117324906501</v>
      </c>
      <c r="M60" s="686">
        <f>SUM($C38:M38)*(VLOOKUP($B60,$A$9:$D$16,4,FALSE))</f>
        <v>13.130278055160087</v>
      </c>
      <c r="N60" s="769">
        <f>SUM($C38:N38)*(VLOOKUP($B60,$A$9:$D$16,4,FALSE))</f>
        <v>178.29100830874609</v>
      </c>
      <c r="O60" s="770">
        <f>SUM($C38:O38)*(VLOOKUP($B60,$A$9:$D$16,4,FALSE))</f>
        <v>343.45173856233208</v>
      </c>
      <c r="P60" s="770">
        <f>SUM($C38:P38)*(VLOOKUP($B60,$A$9:$D$16,4,FALSE))</f>
        <v>508.61246881591808</v>
      </c>
      <c r="Q60" s="770">
        <f>SUM($C38:Q38)*(VLOOKUP($B60,$A$9:$D$16,4,FALSE))</f>
        <v>673.77319906950402</v>
      </c>
      <c r="R60" s="771">
        <f>SUM($C38:R38)*(VLOOKUP($B60,$A$9:$D$16,4,FALSE))</f>
        <v>838.93392932309007</v>
      </c>
      <c r="S60" s="592">
        <f>SUM($C38:S38)*(VLOOKUP($B60,$A$9:$B$13,2,FALSE))</f>
        <v>104.82051851422594</v>
      </c>
      <c r="T60" s="592">
        <f>SUM($C38:T38)*(VLOOKUP($B60,$A$9:$B$13,2,FALSE))</f>
        <v>122.06215327271363</v>
      </c>
      <c r="U60" s="592">
        <f>SUM($C38:U38)*(VLOOKUP($B60,$A$9:$B$13,2,FALSE))</f>
        <v>139.30378803120132</v>
      </c>
      <c r="V60" s="592">
        <f>SUM($C38:V38)*(VLOOKUP($B60,$A$9:$B$13,2,FALSE))</f>
        <v>156.54542278968901</v>
      </c>
      <c r="W60" s="592">
        <f>SUM($C38:W38)*(VLOOKUP($B60,$A$9:$B$13,2,FALSE))</f>
        <v>173.78705754817673</v>
      </c>
      <c r="X60" s="592">
        <f>SUM($C38:X38)*(VLOOKUP($B60,$A$9:$B$13,2,FALSE))</f>
        <v>191.02869230666442</v>
      </c>
      <c r="Y60" s="592">
        <f>SUM($C38:Y38)*(VLOOKUP($B60,$A$9:$B$13,2,FALSE))</f>
        <v>208.27032706515212</v>
      </c>
      <c r="Z60" s="592">
        <f>SUM($C38:Z38)*(VLOOKUP($B60,$A$9:$B$13,2,FALSE))</f>
        <v>225.51196182363981</v>
      </c>
      <c r="AA60" s="592">
        <f>SUM($C38:AA38)*(VLOOKUP($B60,$A$9:$B$13,2,FALSE))</f>
        <v>242.7535965821275</v>
      </c>
      <c r="AB60" s="592">
        <f>SUM($C38:AB38)*(VLOOKUP($B60,$A$9:$B$13,2,FALSE))</f>
        <v>259.99523134061519</v>
      </c>
      <c r="AC60" s="592">
        <f>SUM($C38:AC38)*(VLOOKUP($B60,$A$9:$B$13,2,FALSE))</f>
        <v>277.23686609910288</v>
      </c>
      <c r="AD60" s="592">
        <f>SUM($C38:AD38)*(VLOOKUP($B60,$A$9:$B$13,2,FALSE))</f>
        <v>294.47850085759057</v>
      </c>
      <c r="AE60" s="592">
        <f>SUM($C38:AE38)*(VLOOKUP($B60,$A$9:$B$13,2,FALSE))</f>
        <v>311.72013561607827</v>
      </c>
      <c r="AF60" s="592">
        <f>SUM($C38:AF38)*(VLOOKUP($B60,$A$9:$B$13,2,FALSE))</f>
        <v>328.96177037456596</v>
      </c>
      <c r="AH60" s="174">
        <f t="shared" si="65"/>
        <v>5605.6337616812016</v>
      </c>
      <c r="AJ60" s="226"/>
      <c r="AK60" s="358" t="s">
        <v>216</v>
      </c>
      <c r="AL60" s="355">
        <f>SUM(AH60:AH68)</f>
        <v>11871.884296548154</v>
      </c>
      <c r="AN60" s="180"/>
    </row>
    <row r="61" spans="1:40">
      <c r="A61" s="142" t="s">
        <v>219</v>
      </c>
      <c r="B61" s="368" t="s">
        <v>121</v>
      </c>
      <c r="C61" s="138"/>
      <c r="D61" s="138"/>
      <c r="E61" s="138"/>
      <c r="I61" s="638">
        <f>SUM($C39:I39)*(VLOOKUP($B61,$A$9:$B$13,2,FALSE))</f>
        <v>3.6786200960880997</v>
      </c>
      <c r="J61" s="563">
        <f>SUM($C39:J39)*(VLOOKUP($B61,$A$9:$B$16,2,FALSE))</f>
        <v>6.5414171869953703</v>
      </c>
      <c r="K61" s="530">
        <f>SUM($C39:K39)*(VLOOKUP($B61,$A$9:$B$16,2,FALSE))</f>
        <v>6.5414171869953703</v>
      </c>
      <c r="L61" s="699">
        <f>SUM($C39:L39)*(VLOOKUP($B61,$A$9:$D$16,4,FALSE))</f>
        <v>59.989272777577646</v>
      </c>
      <c r="M61" s="700">
        <f>SUM($C39:M39)*(VLOOKUP($B61,$A$9:$D$16,4,FALSE))</f>
        <v>60.086303546324231</v>
      </c>
      <c r="N61" s="767">
        <f>SUM($C39:N39)*(VLOOKUP($B61,$A$9:$D$16,4,FALSE))</f>
        <v>84.343995732971081</v>
      </c>
      <c r="O61" s="767">
        <f>SUM($C39:O39)*(VLOOKUP($B61,$A$9:$D$16,4,FALSE))</f>
        <v>108.60168791961793</v>
      </c>
      <c r="P61" s="767">
        <f>SUM($C39:P39)*(VLOOKUP($B61,$A$9:$D$16,4,FALSE))</f>
        <v>132.85938010626478</v>
      </c>
      <c r="Q61" s="767">
        <f>SUM($C39:Q39)*(VLOOKUP($B61,$A$9:$D$16,4,FALSE))</f>
        <v>157.11707229291162</v>
      </c>
      <c r="R61" s="768">
        <f>SUM($C39:R39)*(VLOOKUP($B61,$A$9:$D$16,4,FALSE))</f>
        <v>181.37476447955845</v>
      </c>
      <c r="S61" s="579">
        <f>(S22/S23)*SUM($C34:S34)*(VLOOKUP($B56,$A$9:$B$13,2,FALSE))</f>
        <v>1172.1465116072495</v>
      </c>
      <c r="T61" s="579">
        <f>(T22/T23)*SUM($C34:T34)*(VLOOKUP($B56,$A$9:$B$13,2,FALSE))</f>
        <v>1295.5882237543635</v>
      </c>
      <c r="U61" s="579">
        <f>(U22/U23)*SUM($C34:U34)*(VLOOKUP($B56,$A$9:$B$13,2,FALSE))</f>
        <v>1412.5573320415219</v>
      </c>
      <c r="V61" s="579">
        <f>(V22/V23)*SUM($C34:V34)*(VLOOKUP($B56,$A$9:$B$13,2,FALSE))</f>
        <v>1524.5401168933929</v>
      </c>
      <c r="W61" s="579">
        <f>(W22/W23)*SUM($C34:W34)*(VLOOKUP($B56,$A$9:$B$13,2,FALSE))</f>
        <v>1632.6001607288631</v>
      </c>
      <c r="X61" s="579">
        <f>(X22/X23)*SUM($C34:X34)*(VLOOKUP($B56,$A$9:$B$13,2,FALSE))</f>
        <v>1737.5186421373669</v>
      </c>
      <c r="Y61" s="579">
        <f>(Y22/Y23)*SUM($C34:Y34)*(VLOOKUP($B56,$A$9:$B$13,2,FALSE))</f>
        <v>1839.8822316333997</v>
      </c>
      <c r="Z61" s="579">
        <f>(Z22/Z23)*SUM($C34:Z34)*(VLOOKUP($B56,$A$9:$B$13,2,FALSE))</f>
        <v>1940.1400830031132</v>
      </c>
      <c r="AA61" s="579">
        <f>(AA22/AA23)*SUM($C34:AA34)*(VLOOKUP($B56,$A$9:$B$13,2,FALSE))</f>
        <v>2038.6418955775066</v>
      </c>
      <c r="AB61" s="579">
        <f>(AB22/AB23)*SUM($C34:AB34)*(VLOOKUP($B56,$A$9:$B$13,2,FALSE))</f>
        <v>2135.663997633193</v>
      </c>
      <c r="AC61" s="579">
        <f>(AC22/AC23)*SUM($C34:AC34)*(VLOOKUP($B56,$A$9:$B$13,2,FALSE))</f>
        <v>2231.4276300062179</v>
      </c>
      <c r="AD61" s="579">
        <f>(AD22/AD23)*SUM($C34:AD34)*(VLOOKUP($B56,$A$9:$B$13,2,FALSE))</f>
        <v>2326.1120218619594</v>
      </c>
      <c r="AE61" s="579">
        <f>(AE22/AE23)*SUM($C34:AE34)*(VLOOKUP($B56,$A$9:$B$13,2,FALSE))</f>
        <v>2419.8639108032398</v>
      </c>
      <c r="AF61" s="579">
        <f>(AF22/AF23)*SUM($C34:AF34)*(VLOOKUP($B56,$A$9:$B$13,2,FALSE))</f>
        <v>2512.8045864388614</v>
      </c>
      <c r="AG61" s="381"/>
      <c r="AH61" s="174"/>
      <c r="AJ61" s="226"/>
      <c r="AK61" s="358"/>
      <c r="AL61" s="355"/>
      <c r="AN61" s="180"/>
    </row>
    <row r="62" spans="1:40">
      <c r="A62" s="142" t="s">
        <v>219</v>
      </c>
      <c r="B62" s="368" t="s">
        <v>566</v>
      </c>
      <c r="C62" s="385"/>
      <c r="D62" s="385"/>
      <c r="E62" s="385"/>
      <c r="F62" s="385"/>
      <c r="G62" s="385"/>
      <c r="H62" s="385"/>
      <c r="I62" s="638">
        <f>SUM($C40:I40)*(VLOOKUP($B62,$A$9:$B$13,2,FALSE))</f>
        <v>0</v>
      </c>
      <c r="J62" s="558">
        <f>SUM($C40:J40)*(VLOOKUP($B62,$A$9:$B$16,2,FALSE))</f>
        <v>0</v>
      </c>
      <c r="K62" s="530">
        <f>SUM($C40:K40)*(VLOOKUP($B62,$A$9:$B$16,2,FALSE))</f>
        <v>0</v>
      </c>
      <c r="L62" s="687">
        <f>SUM($C40:L40)*(VLOOKUP($B62,$A$9:$D$16,4,FALSE))</f>
        <v>0</v>
      </c>
      <c r="M62" s="686">
        <f>SUM($C40:M40)*(VLOOKUP($B62,$A$9:$D$16,4,FALSE))</f>
        <v>0</v>
      </c>
      <c r="N62" s="767">
        <f>SUM($C40:N40)*(VLOOKUP($B62,$A$9:$D$16,4,FALSE))</f>
        <v>5.9253523267688788</v>
      </c>
      <c r="O62" s="767">
        <f>SUM($C40:O40)*(VLOOKUP($B62,$A$9:$D$16,4,FALSE))</f>
        <v>11.850704653537758</v>
      </c>
      <c r="P62" s="767">
        <f>SUM($C40:P40)*(VLOOKUP($B62,$A$9:$D$16,4,FALSE))</f>
        <v>17.776056980306635</v>
      </c>
      <c r="Q62" s="767">
        <f>SUM($C40:Q40)*(VLOOKUP($B62,$A$9:$D$16,4,FALSE))</f>
        <v>23.701409307075515</v>
      </c>
      <c r="R62" s="768">
        <f>SUM($C40:R40)*(VLOOKUP($B62,$A$9:$D$16,4,FALSE))</f>
        <v>29.626761633844392</v>
      </c>
      <c r="S62" s="579"/>
      <c r="T62" s="579"/>
      <c r="U62" s="579"/>
      <c r="V62" s="579"/>
      <c r="W62" s="579"/>
      <c r="X62" s="579"/>
      <c r="Y62" s="579"/>
      <c r="Z62" s="579"/>
      <c r="AA62" s="579"/>
      <c r="AB62" s="579"/>
      <c r="AC62" s="579"/>
      <c r="AD62" s="579"/>
      <c r="AE62" s="579"/>
      <c r="AF62" s="579"/>
      <c r="AG62" s="519"/>
      <c r="AH62" s="174"/>
      <c r="AJ62" s="226"/>
      <c r="AK62" s="358"/>
      <c r="AL62" s="355"/>
      <c r="AN62" s="180"/>
    </row>
    <row r="63" spans="1:40">
      <c r="A63" s="142" t="s">
        <v>219</v>
      </c>
      <c r="B63" s="305" t="s">
        <v>217</v>
      </c>
      <c r="C63" s="385"/>
      <c r="D63" s="385"/>
      <c r="E63" s="385"/>
      <c r="F63" s="385"/>
      <c r="G63" s="385"/>
      <c r="H63" s="385"/>
      <c r="I63" s="638">
        <f>SUM($C41:I41)*(VLOOKUP($B63,$A$9:$B$13,2,FALSE))</f>
        <v>25.708795827728988</v>
      </c>
      <c r="J63" s="558">
        <f>SUM($C41:J41)*(VLOOKUP($B63,$A$9:$B$16,2,FALSE))</f>
        <v>45.070399324545633</v>
      </c>
      <c r="K63" s="530">
        <f>SUM($C41:K41)*(VLOOKUP($B63,$A$9:$B$16,2,FALSE))</f>
        <v>122.94351531725169</v>
      </c>
      <c r="L63" s="687">
        <f>SUM($C41:L41)*(VLOOKUP($B63,$A$9:$D$16,4,FALSE))</f>
        <v>256.54543890243616</v>
      </c>
      <c r="M63" s="686">
        <f>SUM($C41:M41)*(VLOOKUP($B63,$A$9:$D$16,4,FALSE))</f>
        <v>256.76030107907138</v>
      </c>
      <c r="N63" s="767">
        <f>SUM($C41:N41)*(VLOOKUP($B63,$A$9:$D$16,4,FALSE))</f>
        <v>342.70517173315386</v>
      </c>
      <c r="O63" s="767">
        <f>SUM($C41:O41)*(VLOOKUP($B63,$A$9:$D$16,4,FALSE))</f>
        <v>428.65004238723634</v>
      </c>
      <c r="P63" s="767">
        <f>SUM($C41:P41)*(VLOOKUP($B63,$A$9:$D$16,4,FALSE))</f>
        <v>514.59491304131882</v>
      </c>
      <c r="Q63" s="767">
        <f>SUM($C41:Q41)*(VLOOKUP($B63,$A$9:$D$16,4,FALSE))</f>
        <v>600.5397836954013</v>
      </c>
      <c r="R63" s="768">
        <f>SUM($C41:R41)*(VLOOKUP($B63,$A$9:$D$16,4,FALSE))</f>
        <v>686.48465434948378</v>
      </c>
      <c r="S63" s="579"/>
      <c r="T63" s="579"/>
      <c r="U63" s="579"/>
      <c r="V63" s="579"/>
      <c r="W63" s="579"/>
      <c r="X63" s="579"/>
      <c r="Y63" s="579"/>
      <c r="Z63" s="579"/>
      <c r="AA63" s="579"/>
      <c r="AB63" s="579"/>
      <c r="AC63" s="579"/>
      <c r="AD63" s="579"/>
      <c r="AE63" s="579"/>
      <c r="AF63" s="579"/>
      <c r="AG63" s="519"/>
      <c r="AH63" s="174"/>
      <c r="AJ63" s="226"/>
      <c r="AK63" s="358"/>
      <c r="AL63" s="355"/>
      <c r="AN63" s="180"/>
    </row>
    <row r="64" spans="1:40">
      <c r="A64" s="142" t="s">
        <v>219</v>
      </c>
      <c r="B64" s="305" t="s">
        <v>752</v>
      </c>
      <c r="C64" s="385">
        <f>(C34*C82/C83)*(VLOOKUP($B56,$A$9:$B$13,2,FALSE))</f>
        <v>57.586952137850474</v>
      </c>
      <c r="D64" s="385">
        <f>SUM($C42:D42)*(VLOOKUP($B56,$A$9:$B$13,2,FALSE))</f>
        <v>112.7324769518824</v>
      </c>
      <c r="E64" s="385">
        <f>SUM($C42:E42)*(VLOOKUP($B56,$A$9:$B$13,2,FALSE))</f>
        <v>215.71825663522634</v>
      </c>
      <c r="F64" s="385">
        <f>SUM($C42:F42)*(VLOOKUP($B56,$A$9:$B$13,2,FALSE))</f>
        <v>281.47390364234843</v>
      </c>
      <c r="G64" s="385">
        <f>SUM($C42:G42)*(VLOOKUP($B56,$A$9:$B$13,2,FALSE))</f>
        <v>466.0275843081547</v>
      </c>
      <c r="H64" s="385">
        <f>SUM($C42:H42)*(VLOOKUP($B56,$A$9:$B$13,2,FALSE))</f>
        <v>883.51621932988871</v>
      </c>
      <c r="I64" s="385">
        <f>SUM($C42:I42)*(VLOOKUP($B56,$A$9:$B$13,2,FALSE))</f>
        <v>2028.6587652618384</v>
      </c>
      <c r="J64" s="558">
        <f>SUM($C42:J42)*$C$11</f>
        <v>2793.4848397713909</v>
      </c>
      <c r="K64" s="530">
        <f>SUM($C42:K42)*C11</f>
        <v>3456.0239427498227</v>
      </c>
      <c r="L64" s="687">
        <f>SUM($C42:L42)*(VLOOKUP($B64,$A$9:$D$16,4,FALSE))</f>
        <v>3622.6845609611205</v>
      </c>
      <c r="M64" s="686">
        <f>SUM($C42:M42)*(VLOOKUP($B64,$A$9:$D$16,4,FALSE))</f>
        <v>3625.5435647795521</v>
      </c>
      <c r="N64" s="767">
        <f>SUM($C42:N42)*(VLOOKUP($B64,$A$9:$D$16,4,FALSE))</f>
        <v>3911.4439466227218</v>
      </c>
      <c r="O64" s="767">
        <f>SUM($C42:O42)*(VLOOKUP($B64,$A$9:$D$16,4,FALSE))</f>
        <v>4197.3443284658915</v>
      </c>
      <c r="P64" s="767">
        <f>SUM($C42:P42)*(VLOOKUP($B64,$A$9:$D$16,4,FALSE))</f>
        <v>4483.2447103090608</v>
      </c>
      <c r="Q64" s="767">
        <f>SUM($C42:Q42)*(VLOOKUP($B64,$A$9:$D$16,4,FALSE))</f>
        <v>4769.1450921522301</v>
      </c>
      <c r="R64" s="768">
        <f>SUM($C42:R42)*(VLOOKUP($B64,$A$9:$D$16,4,FALSE))</f>
        <v>5055.0454739954002</v>
      </c>
      <c r="S64" s="579"/>
      <c r="T64" s="579"/>
      <c r="U64" s="579"/>
      <c r="V64" s="579"/>
      <c r="W64" s="579"/>
      <c r="X64" s="579"/>
      <c r="Y64" s="579"/>
      <c r="Z64" s="579"/>
      <c r="AA64" s="579"/>
      <c r="AB64" s="579"/>
      <c r="AC64" s="579"/>
      <c r="AD64" s="579"/>
      <c r="AE64" s="579"/>
      <c r="AF64" s="579"/>
      <c r="AG64" s="519"/>
      <c r="AH64" s="174"/>
      <c r="AJ64" s="226"/>
      <c r="AK64" s="358"/>
      <c r="AL64" s="355"/>
      <c r="AN64" s="180"/>
    </row>
    <row r="65" spans="1:40">
      <c r="A65" s="142" t="s">
        <v>219</v>
      </c>
      <c r="B65" s="305" t="s">
        <v>810</v>
      </c>
      <c r="C65" s="385"/>
      <c r="D65" s="385"/>
      <c r="E65" s="385"/>
      <c r="F65" s="385"/>
      <c r="G65" s="385"/>
      <c r="H65" s="385"/>
      <c r="I65" s="558">
        <f>SUM($C43:I43)*(VLOOKUP($B65,$A$9:$B$16,2,FALSE))</f>
        <v>0</v>
      </c>
      <c r="J65" s="558">
        <f>SUM($C43:J43)*(VLOOKUP($B65,$A$9:$B$16,2,FALSE))</f>
        <v>0</v>
      </c>
      <c r="K65" s="530">
        <f>SUM($C43:K43)*C11</f>
        <v>0</v>
      </c>
      <c r="L65" s="687">
        <f>SUM($C43:L43)*(VLOOKUP($B65,$A$9:$D$16,4,FALSE))</f>
        <v>0</v>
      </c>
      <c r="M65" s="686">
        <f>SUM($C43:M43)*(VLOOKUP($B65,$A$9:$D$16,4,FALSE))</f>
        <v>0</v>
      </c>
      <c r="N65" s="767">
        <f>SUM($C43:N43)*(VLOOKUP($B65,$A$9:$D$16,4,FALSE))</f>
        <v>0</v>
      </c>
      <c r="O65" s="767">
        <f>SUM($C43:O43)*(VLOOKUP($B65,$A$9:$D$16,4,FALSE))</f>
        <v>0</v>
      </c>
      <c r="P65" s="767">
        <f>SUM($C43:P43)*(VLOOKUP($B65,$A$9:$D$16,4,FALSE))</f>
        <v>0</v>
      </c>
      <c r="Q65" s="767">
        <f>SUM($C43:Q43)*(VLOOKUP($B65,$A$9:$D$16,4,FALSE))</f>
        <v>0</v>
      </c>
      <c r="R65" s="768">
        <f>SUM($C43:R43)*(VLOOKUP($B65,$A$9:$D$16,4,FALSE))</f>
        <v>0</v>
      </c>
      <c r="S65" s="579"/>
      <c r="T65" s="579"/>
      <c r="U65" s="579"/>
      <c r="V65" s="579"/>
      <c r="W65" s="579"/>
      <c r="X65" s="579"/>
      <c r="Y65" s="579"/>
      <c r="Z65" s="579"/>
      <c r="AA65" s="579"/>
      <c r="AB65" s="579"/>
      <c r="AC65" s="579"/>
      <c r="AD65" s="579"/>
      <c r="AE65" s="579"/>
      <c r="AF65" s="579"/>
      <c r="AG65" s="519"/>
      <c r="AH65" s="174"/>
      <c r="AJ65" s="226"/>
      <c r="AK65" s="358"/>
      <c r="AL65" s="355"/>
      <c r="AN65" s="180"/>
    </row>
    <row r="66" spans="1:40">
      <c r="A66" s="142" t="s">
        <v>219</v>
      </c>
      <c r="B66" s="305" t="s">
        <v>811</v>
      </c>
      <c r="C66" s="385"/>
      <c r="D66" s="385"/>
      <c r="E66" s="385"/>
      <c r="F66" s="385"/>
      <c r="G66" s="385"/>
      <c r="H66" s="385"/>
      <c r="I66" s="558">
        <f>SUM($C44:I44)*(VLOOKUP($B66,$A$9:$B$16,2,FALSE))</f>
        <v>0</v>
      </c>
      <c r="J66" s="558">
        <f>SUM($C44:J44)*(VLOOKUP($B66,$A$9:$B$16,2,FALSE))</f>
        <v>0</v>
      </c>
      <c r="K66" s="530">
        <f>SUM($C44:K44)*(VLOOKUP($B66,$A$9:$B$16,2,FALSE))</f>
        <v>0</v>
      </c>
      <c r="L66" s="687">
        <f>SUM($C44:L44)*(VLOOKUP($B66,$A$9:$D$16,4,FALSE))</f>
        <v>0</v>
      </c>
      <c r="M66" s="686">
        <f>SUM($C44:M44)*(VLOOKUP($B66,$A$9:$D$16,4,FALSE))</f>
        <v>0</v>
      </c>
      <c r="N66" s="767">
        <f>SUM($C44:N44)*(VLOOKUP($B66,$A$9:$D$16,4,FALSE))</f>
        <v>0</v>
      </c>
      <c r="O66" s="767">
        <f>SUM($C44:O44)*(VLOOKUP($B66,$A$9:$D$16,4,FALSE))</f>
        <v>0</v>
      </c>
      <c r="P66" s="767">
        <f>SUM($C44:P44)*(VLOOKUP($B66,$A$9:$D$16,4,FALSE))</f>
        <v>0</v>
      </c>
      <c r="Q66" s="767">
        <f>SUM($C44:Q44)*(VLOOKUP($B66,$A$9:$D$16,4,FALSE))</f>
        <v>0</v>
      </c>
      <c r="R66" s="768">
        <f>SUM($C44:R44)*(VLOOKUP($B66,$A$9:$D$16,4,FALSE))</f>
        <v>0</v>
      </c>
      <c r="S66" s="579"/>
      <c r="T66" s="579"/>
      <c r="U66" s="579"/>
      <c r="V66" s="579"/>
      <c r="W66" s="579"/>
      <c r="X66" s="579"/>
      <c r="Y66" s="579"/>
      <c r="Z66" s="579"/>
      <c r="AA66" s="579"/>
      <c r="AB66" s="579"/>
      <c r="AC66" s="579"/>
      <c r="AD66" s="579"/>
      <c r="AE66" s="579"/>
      <c r="AF66" s="579"/>
      <c r="AG66" s="519"/>
      <c r="AH66" s="174"/>
      <c r="AJ66" s="226"/>
      <c r="AK66" s="358"/>
      <c r="AL66" s="355"/>
      <c r="AN66" s="180"/>
    </row>
    <row r="67" spans="1:40">
      <c r="A67" s="142" t="s">
        <v>219</v>
      </c>
      <c r="B67" s="305" t="s">
        <v>812</v>
      </c>
      <c r="C67" s="385"/>
      <c r="D67" s="385"/>
      <c r="E67" s="385"/>
      <c r="F67" s="385"/>
      <c r="G67" s="385"/>
      <c r="H67" s="385"/>
      <c r="I67" s="558">
        <f>SUM($C45:I45)*(VLOOKUP($B67,$A$9:$B$16,2,FALSE))</f>
        <v>0</v>
      </c>
      <c r="J67" s="558">
        <f>SUM($C45:J45)*(VLOOKUP($B67,$A$9:$B$16,2,FALSE))</f>
        <v>0</v>
      </c>
      <c r="K67" s="530">
        <f>SUM($C45:K45)*(VLOOKUP($B67,$A$9:$B$16,2,FALSE))</f>
        <v>0</v>
      </c>
      <c r="L67" s="687">
        <f>SUM($C45:L45)*(VLOOKUP($B67,$A$9:$D$16,4,FALSE))</f>
        <v>0</v>
      </c>
      <c r="M67" s="686">
        <f>SUM($C45:M45)*(VLOOKUP($B67,$A$9:$D$16,4,FALSE))</f>
        <v>0</v>
      </c>
      <c r="N67" s="767">
        <f>SUM($C45:N45)*(VLOOKUP($B67,$A$9:$D$16,4,FALSE))</f>
        <v>0</v>
      </c>
      <c r="O67" s="767">
        <f>SUM($C45:O45)*(VLOOKUP($B67,$A$9:$D$16,4,FALSE))</f>
        <v>0</v>
      </c>
      <c r="P67" s="767">
        <f>SUM($C45:P45)*(VLOOKUP($B67,$A$9:$D$16,4,FALSE))</f>
        <v>0</v>
      </c>
      <c r="Q67" s="767">
        <f>SUM($C45:Q45)*(VLOOKUP($B67,$A$9:$D$16,4,FALSE))</f>
        <v>0</v>
      </c>
      <c r="R67" s="768">
        <f>SUM($C45:R45)*(VLOOKUP($B67,$A$9:$D$16,4,FALSE))</f>
        <v>0</v>
      </c>
      <c r="S67" s="579"/>
      <c r="T67" s="579"/>
      <c r="U67" s="579"/>
      <c r="V67" s="579"/>
      <c r="W67" s="579"/>
      <c r="X67" s="579"/>
      <c r="Y67" s="579"/>
      <c r="Z67" s="579"/>
      <c r="AA67" s="579"/>
      <c r="AB67" s="579"/>
      <c r="AC67" s="579"/>
      <c r="AD67" s="579"/>
      <c r="AE67" s="579"/>
      <c r="AF67" s="579"/>
      <c r="AG67" s="519"/>
      <c r="AH67" s="174"/>
      <c r="AJ67" s="226"/>
      <c r="AK67" s="358"/>
      <c r="AL67" s="355"/>
      <c r="AN67" s="180"/>
    </row>
    <row r="68" spans="1:40">
      <c r="A68" s="386" t="s">
        <v>219</v>
      </c>
      <c r="B68" s="493" t="s">
        <v>216</v>
      </c>
      <c r="C68" s="387">
        <f>C46*(VLOOKUP($B68,$A$9:$B$13,2,FALSE))</f>
        <v>0</v>
      </c>
      <c r="D68" s="387">
        <f>SUM($C46:D46)*(VLOOKUP($B68,$A$9:$B$13,2,FALSE))</f>
        <v>0</v>
      </c>
      <c r="E68" s="387">
        <f>SUM($C46:E46)*(VLOOKUP($B68,$A$9:$B$13,2,FALSE))</f>
        <v>0</v>
      </c>
      <c r="F68" s="387">
        <f>SUM($C46:F46)*(VLOOKUP($B68,$A$9:$B$13,2,FALSE))</f>
        <v>0</v>
      </c>
      <c r="G68" s="387">
        <f>SUM($C46:G46)*(VLOOKUP($B68,$A$9:$B$13,2,FALSE))</f>
        <v>0</v>
      </c>
      <c r="H68" s="387">
        <f>SUM($C46:H46)*(VLOOKUP($B68,$A$9:$B$13,2,FALSE))</f>
        <v>0</v>
      </c>
      <c r="I68" s="387">
        <f>SUM($C46:I46)*(VLOOKUP($B68,$A$9:$B$13,2,FALSE))</f>
        <v>3.2500481519749305</v>
      </c>
      <c r="J68" s="557">
        <f>SUM($C46:J46)*(VLOOKUP($B68,$A$9:$B$16,2,FALSE))</f>
        <v>4.1121298898993155</v>
      </c>
      <c r="K68" s="537">
        <f>SUM($C46:K46)*(VLOOKUP($B68,$A$9:$B$16,2,FALSE))</f>
        <v>4.1121298898993155</v>
      </c>
      <c r="L68" s="720">
        <f>SUM($C46:L46)*(VLOOKUP($B68,$A$9:$D$16,4,FALSE))</f>
        <v>89.682276527697198</v>
      </c>
      <c r="M68" s="721">
        <f>SUM($C46:M46)*(VLOOKUP($B68,$A$9:$D$16,4,FALSE))</f>
        <v>89.847437257950773</v>
      </c>
      <c r="N68" s="769">
        <f>SUM($C46:N46)*(VLOOKUP($B68,$A$9:$D$16,4,FALSE))</f>
        <v>255.00816751153678</v>
      </c>
      <c r="O68" s="770">
        <f>SUM($C46:O46)*(VLOOKUP($B68,$A$9:$D$16,4,FALSE))</f>
        <v>420.16889776512278</v>
      </c>
      <c r="P68" s="770">
        <f>SUM($C46:P46)*(VLOOKUP($B68,$A$9:$D$16,4,FALSE))</f>
        <v>585.32962801870872</v>
      </c>
      <c r="Q68" s="770">
        <f>SUM($C46:Q46)*(VLOOKUP($B68,$A$9:$D$16,4,FALSE))</f>
        <v>750.49035827229477</v>
      </c>
      <c r="R68" s="770">
        <f>SUM($C46:R46)*(VLOOKUP($B68,$A$9:$D$16,4,FALSE))</f>
        <v>915.65108852588071</v>
      </c>
      <c r="S68" s="592">
        <f>SUM($C46:S46)*(VLOOKUP($B68,$A$9:$B$13,2,FALSE))</f>
        <v>112.82925785954347</v>
      </c>
      <c r="T68" s="592">
        <f>SUM($C46:T46)*(VLOOKUP($B68,$A$9:$B$13,2,FALSE))</f>
        <v>130.07089261803117</v>
      </c>
      <c r="U68" s="592">
        <f>SUM($C46:U46)*(VLOOKUP($B68,$A$9:$B$13,2,FALSE))</f>
        <v>147.31252737651886</v>
      </c>
      <c r="V68" s="592">
        <f>SUM($C46:V46)*(VLOOKUP($B68,$A$9:$B$13,2,FALSE))</f>
        <v>164.55416213500655</v>
      </c>
      <c r="W68" s="592">
        <f>SUM($C46:W46)*(VLOOKUP($B68,$A$9:$B$13,2,FALSE))</f>
        <v>181.79579689349427</v>
      </c>
      <c r="X68" s="592">
        <f>SUM($C46:X46)*(VLOOKUP($B68,$A$9:$B$13,2,FALSE))</f>
        <v>199.03743165198196</v>
      </c>
      <c r="Y68" s="592">
        <f>SUM($C46:Y46)*(VLOOKUP($B68,$A$9:$B$13,2,FALSE))</f>
        <v>216.27906641046965</v>
      </c>
      <c r="Z68" s="592">
        <f>SUM($C46:Z46)*(VLOOKUP($B68,$A$9:$B$13,2,FALSE))</f>
        <v>233.52070116895734</v>
      </c>
      <c r="AA68" s="592">
        <f>SUM($C46:AA46)*(VLOOKUP($B68,$A$9:$B$13,2,FALSE))</f>
        <v>250.76233592744504</v>
      </c>
      <c r="AB68" s="592">
        <f>SUM($C46:AB46)*(VLOOKUP($B68,$A$9:$B$13,2,FALSE))</f>
        <v>268.00397068593276</v>
      </c>
      <c r="AC68" s="592">
        <f>SUM($C46:AC46)*(VLOOKUP($B68,$A$9:$B$13,2,FALSE))</f>
        <v>285.24560544442045</v>
      </c>
      <c r="AD68" s="592">
        <f>SUM($C46:AD46)*(VLOOKUP($B68,$A$9:$B$13,2,FALSE))</f>
        <v>302.48724020290814</v>
      </c>
      <c r="AE68" s="592">
        <f>SUM($C46:AE46)*(VLOOKUP($B68,$A$9:$B$13,2,FALSE))</f>
        <v>319.72887496139583</v>
      </c>
      <c r="AF68" s="592">
        <f>SUM($C46:AF46)*(VLOOKUP($B68,$A$9:$B$13,2,FALSE))</f>
        <v>336.97050971988352</v>
      </c>
      <c r="AH68" s="174">
        <f t="shared" si="65"/>
        <v>6266.2505348669529</v>
      </c>
      <c r="AJ68" s="226"/>
      <c r="AL68" s="357">
        <f>SUM(AL53:AL60)</f>
        <v>551002.87756045384</v>
      </c>
      <c r="AN68" s="180"/>
    </row>
    <row r="69" spans="1:40">
      <c r="B69" s="239"/>
      <c r="C69" s="132"/>
      <c r="D69" s="132"/>
      <c r="E69" s="132"/>
      <c r="F69" s="132"/>
      <c r="G69" s="132"/>
      <c r="H69" s="182"/>
      <c r="I69" s="199"/>
      <c r="J69" s="564"/>
      <c r="K69" s="531"/>
      <c r="L69" s="157"/>
      <c r="M69" s="659"/>
      <c r="N69" s="772"/>
      <c r="O69" s="772"/>
      <c r="P69" s="773"/>
      <c r="Q69" s="773"/>
      <c r="R69" s="774"/>
      <c r="S69" s="586"/>
      <c r="T69" s="157"/>
      <c r="U69" s="157"/>
      <c r="V69" s="157"/>
      <c r="W69" s="157"/>
      <c r="X69" s="157"/>
      <c r="Y69" s="157"/>
      <c r="Z69" s="157"/>
      <c r="AA69" s="157"/>
      <c r="AB69" s="157"/>
      <c r="AC69" s="157"/>
      <c r="AD69" s="157"/>
      <c r="AE69" s="157"/>
      <c r="AF69" s="157"/>
      <c r="AG69" s="162"/>
      <c r="AH69" s="174"/>
      <c r="AJ69" s="226"/>
      <c r="AK69" s="227"/>
      <c r="AN69" s="180"/>
    </row>
    <row r="70" spans="1:40" s="156" customFormat="1">
      <c r="A70" s="292"/>
      <c r="B70" s="494"/>
      <c r="C70" s="546"/>
      <c r="D70" s="547"/>
      <c r="E70" s="547"/>
      <c r="F70" s="547"/>
      <c r="G70" s="547"/>
      <c r="H70" s="157"/>
      <c r="I70" s="199"/>
      <c r="J70" s="564"/>
      <c r="K70" s="531"/>
      <c r="L70" s="157"/>
      <c r="M70" s="157"/>
      <c r="N70" s="772"/>
      <c r="O70" s="772"/>
      <c r="P70" s="773"/>
      <c r="Q70" s="773"/>
      <c r="R70" s="774"/>
      <c r="S70" s="157"/>
      <c r="T70" s="157"/>
      <c r="U70" s="157"/>
      <c r="V70" s="157"/>
      <c r="W70" s="157"/>
      <c r="X70" s="157"/>
      <c r="Y70" s="157"/>
      <c r="Z70" s="157"/>
      <c r="AA70" s="157"/>
      <c r="AB70" s="157"/>
      <c r="AC70" s="157"/>
      <c r="AD70" s="157"/>
      <c r="AE70" s="157"/>
      <c r="AF70" s="157"/>
      <c r="AG70"/>
      <c r="AH70" s="154"/>
      <c r="AI70" s="171"/>
      <c r="AJ70" s="226"/>
      <c r="AN70" s="123"/>
    </row>
    <row r="71" spans="1:40" ht="16">
      <c r="A71" s="147" t="s">
        <v>823</v>
      </c>
      <c r="B71" s="147"/>
      <c r="C71" s="148">
        <v>2010</v>
      </c>
      <c r="D71" s="148">
        <f>C71+1</f>
        <v>2011</v>
      </c>
      <c r="E71" s="148">
        <f t="shared" ref="E71" si="66">D71+1</f>
        <v>2012</v>
      </c>
      <c r="F71" s="148">
        <f t="shared" ref="F71" si="67">E71+1</f>
        <v>2013</v>
      </c>
      <c r="G71" s="148">
        <f t="shared" ref="G71" si="68">F71+1</f>
        <v>2014</v>
      </c>
      <c r="H71" s="148">
        <f t="shared" ref="H71" si="69">G71+1</f>
        <v>2015</v>
      </c>
      <c r="I71" s="437">
        <f t="shared" ref="I71" si="70">H71+1</f>
        <v>2016</v>
      </c>
      <c r="J71" s="561">
        <f t="shared" ref="J71" si="71">I71+1</f>
        <v>2017</v>
      </c>
      <c r="K71" s="529">
        <f t="shared" ref="K71" si="72">J71+1</f>
        <v>2018</v>
      </c>
      <c r="L71" s="148">
        <f t="shared" ref="L71" si="73">K71+1</f>
        <v>2019</v>
      </c>
      <c r="M71" s="656">
        <f t="shared" ref="M71" si="74">L71+1</f>
        <v>2020</v>
      </c>
      <c r="N71" s="757">
        <f t="shared" ref="N71" si="75">M71+1</f>
        <v>2021</v>
      </c>
      <c r="O71" s="757">
        <f t="shared" ref="O71" si="76">N71+1</f>
        <v>2022</v>
      </c>
      <c r="P71" s="758">
        <f t="shared" ref="P71" si="77">O71+1</f>
        <v>2023</v>
      </c>
      <c r="Q71" s="758">
        <f t="shared" ref="Q71" si="78">P71+1</f>
        <v>2024</v>
      </c>
      <c r="R71" s="759">
        <f t="shared" ref="R71" si="79">Q71+1</f>
        <v>2025</v>
      </c>
      <c r="S71" s="572">
        <f t="shared" ref="S71" si="80">R71+1</f>
        <v>2026</v>
      </c>
      <c r="T71" s="572">
        <f t="shared" ref="T71" si="81">S71+1</f>
        <v>2027</v>
      </c>
      <c r="U71" s="572">
        <f t="shared" ref="U71" si="82">T71+1</f>
        <v>2028</v>
      </c>
      <c r="V71" s="572">
        <f t="shared" ref="V71" si="83">U71+1</f>
        <v>2029</v>
      </c>
      <c r="W71" s="572">
        <f t="shared" ref="W71" si="84">V71+1</f>
        <v>2030</v>
      </c>
      <c r="X71" s="572">
        <f t="shared" ref="X71" si="85">W71+1</f>
        <v>2031</v>
      </c>
      <c r="Y71" s="572">
        <f t="shared" ref="Y71" si="86">X71+1</f>
        <v>2032</v>
      </c>
      <c r="Z71" s="572">
        <f t="shared" ref="Z71" si="87">Y71+1</f>
        <v>2033</v>
      </c>
      <c r="AA71" s="572">
        <f t="shared" ref="AA71" si="88">Z71+1</f>
        <v>2034</v>
      </c>
      <c r="AB71" s="572">
        <f t="shared" ref="AB71" si="89">AA71+1</f>
        <v>2035</v>
      </c>
      <c r="AC71" s="572">
        <f t="shared" ref="AC71" si="90">AB71+1</f>
        <v>2036</v>
      </c>
      <c r="AD71" s="572">
        <f t="shared" ref="AD71" si="91">AC71+1</f>
        <v>2037</v>
      </c>
      <c r="AE71" s="572">
        <f t="shared" ref="AE71" si="92">AD71+1</f>
        <v>2038</v>
      </c>
      <c r="AF71" s="572">
        <f t="shared" ref="AF71" si="93">AE71+1</f>
        <v>2039</v>
      </c>
    </row>
    <row r="72" spans="1:40">
      <c r="A72" s="147"/>
      <c r="B72" s="147" t="s">
        <v>649</v>
      </c>
      <c r="C72" s="148" t="s">
        <v>519</v>
      </c>
      <c r="D72" s="148" t="s">
        <v>520</v>
      </c>
      <c r="E72" s="148" t="s">
        <v>521</v>
      </c>
      <c r="F72" s="148" t="s">
        <v>522</v>
      </c>
      <c r="G72" s="148" t="s">
        <v>523</v>
      </c>
      <c r="H72" s="148" t="s">
        <v>524</v>
      </c>
      <c r="I72" s="437" t="s">
        <v>525</v>
      </c>
      <c r="J72" s="561" t="s">
        <v>526</v>
      </c>
      <c r="K72" s="529" t="s">
        <v>527</v>
      </c>
      <c r="L72" s="148" t="s">
        <v>528</v>
      </c>
      <c r="M72" s="656" t="s">
        <v>529</v>
      </c>
      <c r="N72" s="757" t="s">
        <v>530</v>
      </c>
      <c r="O72" s="757" t="s">
        <v>531</v>
      </c>
      <c r="P72" s="758" t="s">
        <v>532</v>
      </c>
      <c r="Q72" s="758" t="s">
        <v>533</v>
      </c>
      <c r="R72" s="759" t="s">
        <v>534</v>
      </c>
      <c r="S72" s="572" t="s">
        <v>535</v>
      </c>
      <c r="T72" s="572" t="s">
        <v>536</v>
      </c>
      <c r="U72" s="572" t="s">
        <v>537</v>
      </c>
      <c r="V72" s="572" t="s">
        <v>538</v>
      </c>
      <c r="W72" s="572" t="s">
        <v>539</v>
      </c>
      <c r="X72" s="572" t="s">
        <v>540</v>
      </c>
      <c r="Y72" s="572" t="s">
        <v>541</v>
      </c>
      <c r="Z72" s="572" t="s">
        <v>542</v>
      </c>
      <c r="AA72" s="572" t="s">
        <v>543</v>
      </c>
      <c r="AB72" s="572" t="s">
        <v>544</v>
      </c>
      <c r="AC72" s="572" t="s">
        <v>545</v>
      </c>
      <c r="AD72" s="572" t="s">
        <v>546</v>
      </c>
      <c r="AE72" s="572" t="s">
        <v>547</v>
      </c>
      <c r="AF72" s="572" t="s">
        <v>548</v>
      </c>
      <c r="AG72" s="231"/>
      <c r="AH72" s="189" t="s">
        <v>499</v>
      </c>
    </row>
    <row r="73" spans="1:40">
      <c r="A73" s="302" t="s">
        <v>549</v>
      </c>
      <c r="B73" s="495" t="s">
        <v>813</v>
      </c>
      <c r="C73" s="120">
        <f>SUM(C53:C60)</f>
        <v>440.37081046591504</v>
      </c>
      <c r="D73" s="120">
        <f t="shared" ref="D73:K73" si="94">SUM(D53:D60)</f>
        <v>751.83726660696675</v>
      </c>
      <c r="E73" s="120">
        <f t="shared" si="94"/>
        <v>1297.8467674464284</v>
      </c>
      <c r="F73" s="120">
        <f t="shared" si="94"/>
        <v>1679.6342168817755</v>
      </c>
      <c r="G73" s="120">
        <f t="shared" si="94"/>
        <v>2819.5469502082287</v>
      </c>
      <c r="H73" s="120">
        <f t="shared" si="94"/>
        <v>4597.4838372987215</v>
      </c>
      <c r="I73" s="120">
        <f t="shared" si="94"/>
        <v>6604.6417210098125</v>
      </c>
      <c r="J73" s="120">
        <f t="shared" si="94"/>
        <v>8013.2454709830063</v>
      </c>
      <c r="K73" s="120">
        <f t="shared" si="94"/>
        <v>11052.842405139274</v>
      </c>
      <c r="L73" s="685">
        <f t="shared" ref="L73:AF73" si="95">SUMIF($A$53:$A$68,"=MU01",L$53:L$68)</f>
        <v>10934.48893125537</v>
      </c>
      <c r="M73" s="686">
        <f t="shared" si="95"/>
        <v>10953.054307060924</v>
      </c>
      <c r="N73" s="766">
        <f t="shared" si="95"/>
        <v>12251.144448506058</v>
      </c>
      <c r="O73" s="766">
        <f t="shared" si="95"/>
        <v>13549.234589951189</v>
      </c>
      <c r="P73" s="767">
        <f t="shared" si="95"/>
        <v>14847.324731396322</v>
      </c>
      <c r="Q73" s="767">
        <f t="shared" si="95"/>
        <v>16145.414872841455</v>
      </c>
      <c r="R73" s="768">
        <f t="shared" si="95"/>
        <v>17443.505014286588</v>
      </c>
      <c r="S73" s="584">
        <f t="shared" si="95"/>
        <v>21877.723223303539</v>
      </c>
      <c r="T73" s="584">
        <f t="shared" si="95"/>
        <v>23032.304383281553</v>
      </c>
      <c r="U73" s="584">
        <f t="shared" si="95"/>
        <v>24186.885543259566</v>
      </c>
      <c r="V73" s="584">
        <f t="shared" si="95"/>
        <v>25341.466703237576</v>
      </c>
      <c r="W73" s="584">
        <f t="shared" si="95"/>
        <v>26496.04786321559</v>
      </c>
      <c r="X73" s="584">
        <f t="shared" si="95"/>
        <v>27650.629023193604</v>
      </c>
      <c r="Y73" s="584">
        <f t="shared" si="95"/>
        <v>28805.210183171617</v>
      </c>
      <c r="Z73" s="584">
        <f t="shared" si="95"/>
        <v>29959.791343149631</v>
      </c>
      <c r="AA73" s="584">
        <f t="shared" si="95"/>
        <v>31114.372503127641</v>
      </c>
      <c r="AB73" s="584">
        <f t="shared" si="95"/>
        <v>32268.953663105654</v>
      </c>
      <c r="AC73" s="584">
        <f t="shared" si="95"/>
        <v>33423.534823083668</v>
      </c>
      <c r="AD73" s="584">
        <f t="shared" si="95"/>
        <v>34578.115983061682</v>
      </c>
      <c r="AE73" s="584">
        <f t="shared" si="95"/>
        <v>35732.697143039695</v>
      </c>
      <c r="AF73" s="584">
        <f t="shared" si="95"/>
        <v>36887.278303017709</v>
      </c>
      <c r="AH73" s="154">
        <f>SUM(C73:AF73)</f>
        <v>544736.62702558667</v>
      </c>
      <c r="AI73" s="178" t="s">
        <v>549</v>
      </c>
      <c r="AK73" s="152"/>
    </row>
    <row r="74" spans="1:40">
      <c r="A74" s="303" t="s">
        <v>219</v>
      </c>
      <c r="B74" s="496" t="s">
        <v>813</v>
      </c>
      <c r="C74" s="183">
        <f>SUM(C61:C68)</f>
        <v>57.586952137850474</v>
      </c>
      <c r="D74" s="183">
        <f t="shared" ref="D74:K74" si="96">SUM(D61:D68)</f>
        <v>112.7324769518824</v>
      </c>
      <c r="E74" s="183">
        <f t="shared" si="96"/>
        <v>215.71825663522634</v>
      </c>
      <c r="F74" s="183">
        <f t="shared" si="96"/>
        <v>281.47390364234843</v>
      </c>
      <c r="G74" s="183">
        <f t="shared" si="96"/>
        <v>466.0275843081547</v>
      </c>
      <c r="H74" s="183">
        <f t="shared" si="96"/>
        <v>883.51621932988871</v>
      </c>
      <c r="I74" s="183">
        <f t="shared" si="96"/>
        <v>2061.2962293376304</v>
      </c>
      <c r="J74" s="183">
        <f t="shared" si="96"/>
        <v>2849.208786172831</v>
      </c>
      <c r="K74" s="183">
        <f t="shared" si="96"/>
        <v>3589.6210051439689</v>
      </c>
      <c r="L74" s="688">
        <f t="shared" ref="L74:AF74" si="97">SUMIF($A$53:$A$68,"=MU02",L$53:L$68)</f>
        <v>4028.9015491688315</v>
      </c>
      <c r="M74" s="689">
        <f t="shared" si="97"/>
        <v>4032.2376066628985</v>
      </c>
      <c r="N74" s="775">
        <f t="shared" si="97"/>
        <v>4599.4266339271526</v>
      </c>
      <c r="O74" s="775">
        <f t="shared" si="97"/>
        <v>5166.6156611914066</v>
      </c>
      <c r="P74" s="775">
        <f t="shared" si="97"/>
        <v>5733.8046884556597</v>
      </c>
      <c r="Q74" s="775">
        <f t="shared" si="97"/>
        <v>6300.9937157199129</v>
      </c>
      <c r="R74" s="776">
        <f t="shared" si="97"/>
        <v>6868.1827429841669</v>
      </c>
      <c r="S74" s="585">
        <f t="shared" si="97"/>
        <v>1284.9757694667931</v>
      </c>
      <c r="T74" s="585">
        <f t="shared" si="97"/>
        <v>1425.6591163723947</v>
      </c>
      <c r="U74" s="585">
        <f t="shared" si="97"/>
        <v>1559.8698594180407</v>
      </c>
      <c r="V74" s="585">
        <f t="shared" si="97"/>
        <v>1689.0942790283993</v>
      </c>
      <c r="W74" s="585">
        <f t="shared" si="97"/>
        <v>1814.3959576223574</v>
      </c>
      <c r="X74" s="585">
        <f t="shared" si="97"/>
        <v>1936.5560737893488</v>
      </c>
      <c r="Y74" s="585">
        <f t="shared" si="97"/>
        <v>2056.1612980438695</v>
      </c>
      <c r="Z74" s="585">
        <f t="shared" si="97"/>
        <v>2173.6607841720706</v>
      </c>
      <c r="AA74" s="585">
        <f t="shared" si="97"/>
        <v>2289.4042315049514</v>
      </c>
      <c r="AB74" s="585">
        <f t="shared" si="97"/>
        <v>2403.667968319126</v>
      </c>
      <c r="AC74" s="585">
        <f t="shared" si="97"/>
        <v>2516.6732354506385</v>
      </c>
      <c r="AD74" s="585">
        <f t="shared" si="97"/>
        <v>2628.5992620648676</v>
      </c>
      <c r="AE74" s="585">
        <f t="shared" si="97"/>
        <v>2739.5927857646357</v>
      </c>
      <c r="AF74" s="585">
        <f t="shared" si="97"/>
        <v>2849.7750961587449</v>
      </c>
      <c r="AH74" s="154">
        <f t="shared" ref="AH74:AH75" si="98">SUM(C74:AF74)</f>
        <v>76615.429728946023</v>
      </c>
      <c r="AI74" s="178" t="s">
        <v>219</v>
      </c>
    </row>
    <row r="75" spans="1:40">
      <c r="A75" s="383"/>
      <c r="B75" s="239"/>
      <c r="C75" s="311">
        <f>SUM(C73:C74)</f>
        <v>497.9577626037655</v>
      </c>
      <c r="D75" s="311">
        <f t="shared" ref="D75:K75" si="99">SUM(D73:D74)</f>
        <v>864.56974355884915</v>
      </c>
      <c r="E75" s="311">
        <f t="shared" si="99"/>
        <v>1513.5650240816549</v>
      </c>
      <c r="F75" s="311">
        <f t="shared" si="99"/>
        <v>1961.1081205241239</v>
      </c>
      <c r="G75" s="311">
        <f t="shared" si="99"/>
        <v>3285.5745345163832</v>
      </c>
      <c r="H75" s="311">
        <f>SUM(H73:H74)</f>
        <v>5481.0000566286099</v>
      </c>
      <c r="I75" s="311">
        <f t="shared" si="99"/>
        <v>8665.9379503474429</v>
      </c>
      <c r="J75" s="311">
        <f t="shared" si="99"/>
        <v>10862.454257155838</v>
      </c>
      <c r="K75" s="311">
        <f t="shared" si="99"/>
        <v>14642.463410283242</v>
      </c>
      <c r="L75" s="584"/>
      <c r="M75" s="658"/>
      <c r="N75" s="766"/>
      <c r="O75" s="766"/>
      <c r="P75" s="767"/>
      <c r="Q75" s="767"/>
      <c r="R75" s="768"/>
      <c r="S75" s="584"/>
      <c r="T75" s="584"/>
      <c r="U75" s="584"/>
      <c r="V75" s="584"/>
      <c r="W75" s="584"/>
      <c r="X75" s="584"/>
      <c r="Y75" s="584"/>
      <c r="Z75" s="584"/>
      <c r="AA75" s="584"/>
      <c r="AB75" s="584"/>
      <c r="AC75" s="584"/>
      <c r="AD75" s="584"/>
      <c r="AE75" s="584"/>
      <c r="AF75" s="584"/>
      <c r="AH75" s="154">
        <f t="shared" si="98"/>
        <v>47774.630859699908</v>
      </c>
      <c r="AI75" s="178" t="s">
        <v>220</v>
      </c>
    </row>
    <row r="76" spans="1:40">
      <c r="A76" s="176"/>
      <c r="B76" s="239"/>
      <c r="C76" s="120"/>
      <c r="D76" s="120"/>
      <c r="E76" s="120"/>
      <c r="F76" s="120"/>
      <c r="G76" s="120"/>
      <c r="H76" s="819"/>
      <c r="I76" s="819"/>
      <c r="J76" s="819"/>
      <c r="K76" s="819"/>
      <c r="L76" s="819"/>
      <c r="M76" s="819"/>
      <c r="N76" s="766"/>
      <c r="O76" s="766"/>
      <c r="P76" s="767"/>
      <c r="Q76" s="767"/>
      <c r="R76" s="768"/>
      <c r="S76" s="584"/>
      <c r="T76" s="584"/>
      <c r="U76" s="584"/>
      <c r="V76" s="584"/>
      <c r="W76" s="584"/>
      <c r="X76" s="584"/>
      <c r="Y76" s="584"/>
      <c r="Z76" s="584"/>
      <c r="AA76" s="584"/>
      <c r="AB76" s="584"/>
      <c r="AC76" s="584"/>
      <c r="AD76" s="584"/>
      <c r="AE76" s="584"/>
      <c r="AF76" s="584"/>
      <c r="AG76" s="612"/>
      <c r="AH76" s="154"/>
      <c r="AI76" s="178"/>
    </row>
    <row r="77" spans="1:40">
      <c r="A77" s="415"/>
      <c r="B77" s="417"/>
      <c r="C77" s="844" t="s">
        <v>790</v>
      </c>
      <c r="D77" s="844"/>
      <c r="E77" s="844"/>
      <c r="F77" s="844"/>
      <c r="G77" s="844"/>
      <c r="H77" s="844"/>
      <c r="I77" s="845"/>
      <c r="J77" s="518" t="s">
        <v>826</v>
      </c>
      <c r="K77" s="518"/>
      <c r="L77" s="575"/>
      <c r="M77" s="660"/>
      <c r="N77" s="777"/>
      <c r="O77" s="777"/>
      <c r="P77" s="778"/>
      <c r="Q77" s="778"/>
      <c r="R77" s="779"/>
      <c r="S77" s="575"/>
      <c r="T77" s="575"/>
      <c r="U77" s="575"/>
      <c r="V77" s="575"/>
      <c r="W77" s="575"/>
      <c r="X77" s="575"/>
      <c r="Y77" s="575"/>
      <c r="Z77" s="575"/>
      <c r="AA77" s="575"/>
      <c r="AB77" s="575"/>
      <c r="AC77" s="575"/>
      <c r="AD77" s="575"/>
      <c r="AE77" s="575"/>
      <c r="AF77" s="575"/>
      <c r="AG77" s="289"/>
      <c r="AK77" s="148">
        <f>AK23+1</f>
        <v>2026</v>
      </c>
      <c r="AL77" s="210">
        <v>168.42603136432388</v>
      </c>
      <c r="AM77" s="210">
        <f t="shared" ref="AM77:AM90" si="100">4.9373*AK77-9924.6</f>
        <v>78.369799999998577</v>
      </c>
    </row>
    <row r="78" spans="1:40">
      <c r="A78" s="507" t="s">
        <v>792</v>
      </c>
      <c r="B78" s="508"/>
      <c r="C78" s="436" t="s">
        <v>765</v>
      </c>
      <c r="D78" s="150"/>
      <c r="E78" s="230"/>
      <c r="I78" s="457"/>
      <c r="J78" s="623"/>
      <c r="K78" s="624" t="s">
        <v>832</v>
      </c>
      <c r="L78" s="576" t="s">
        <v>791</v>
      </c>
      <c r="M78" s="655"/>
      <c r="N78" s="780"/>
      <c r="O78" s="780"/>
      <c r="P78" s="781"/>
      <c r="Q78" s="781"/>
      <c r="R78" s="782"/>
      <c r="S78" s="156"/>
      <c r="T78" s="156"/>
      <c r="U78" s="156"/>
      <c r="V78" s="156"/>
      <c r="W78" s="156"/>
      <c r="X78" s="156"/>
      <c r="Y78" s="156"/>
      <c r="Z78" s="156"/>
      <c r="AA78" s="156"/>
      <c r="AB78" s="156"/>
      <c r="AC78" s="156"/>
      <c r="AD78" s="156"/>
      <c r="AE78" s="156"/>
      <c r="AF78" s="156"/>
      <c r="AG78" s="231"/>
      <c r="AK78" s="148">
        <f t="shared" ref="AK78:AK90" si="101">AK77+1</f>
        <v>2027</v>
      </c>
      <c r="AL78" s="210">
        <v>181.02567221177401</v>
      </c>
      <c r="AM78" s="210">
        <f t="shared" si="100"/>
        <v>83.307099999998172</v>
      </c>
    </row>
    <row r="79" spans="1:40">
      <c r="C79" s="148">
        <v>2010</v>
      </c>
      <c r="D79" s="148">
        <f>C79+1</f>
        <v>2011</v>
      </c>
      <c r="E79" s="148">
        <f>D79+1</f>
        <v>2012</v>
      </c>
      <c r="F79" s="148">
        <f>E79+1</f>
        <v>2013</v>
      </c>
      <c r="G79" s="148">
        <f>F79+1</f>
        <v>2014</v>
      </c>
      <c r="H79" s="148">
        <f>G79+1</f>
        <v>2015</v>
      </c>
      <c r="I79" s="437">
        <v>2016</v>
      </c>
      <c r="J79" s="437">
        <f t="shared" ref="J79" si="102">I79+1</f>
        <v>2017</v>
      </c>
      <c r="K79" s="529">
        <f t="shared" ref="K79" si="103">J79+1</f>
        <v>2018</v>
      </c>
      <c r="L79" s="148">
        <f t="shared" ref="L79" si="104">K79+1</f>
        <v>2019</v>
      </c>
      <c r="M79" s="656">
        <f t="shared" ref="M79" si="105">L79+1</f>
        <v>2020</v>
      </c>
      <c r="N79" s="757">
        <f t="shared" ref="N79" si="106">M79+1</f>
        <v>2021</v>
      </c>
      <c r="O79" s="757">
        <f t="shared" ref="O79" si="107">N79+1</f>
        <v>2022</v>
      </c>
      <c r="P79" s="758">
        <f t="shared" ref="P79" si="108">O79+1</f>
        <v>2023</v>
      </c>
      <c r="Q79" s="758">
        <f t="shared" ref="Q79" si="109">P79+1</f>
        <v>2024</v>
      </c>
      <c r="R79" s="759">
        <f t="shared" ref="R79" si="110">Q79+1</f>
        <v>2025</v>
      </c>
      <c r="S79" s="572">
        <f t="shared" ref="S79" si="111">R79+1</f>
        <v>2026</v>
      </c>
      <c r="T79" s="572">
        <f t="shared" ref="T79" si="112">S79+1</f>
        <v>2027</v>
      </c>
      <c r="U79" s="572">
        <f t="shared" ref="U79" si="113">T79+1</f>
        <v>2028</v>
      </c>
      <c r="V79" s="572">
        <f t="shared" ref="V79" si="114">U79+1</f>
        <v>2029</v>
      </c>
      <c r="W79" s="572">
        <f t="shared" ref="W79" si="115">V79+1</f>
        <v>2030</v>
      </c>
      <c r="X79" s="572">
        <f t="shared" ref="X79" si="116">W79+1</f>
        <v>2031</v>
      </c>
      <c r="Y79" s="572">
        <f t="shared" ref="Y79" si="117">X79+1</f>
        <v>2032</v>
      </c>
      <c r="Z79" s="572">
        <f t="shared" ref="Z79" si="118">Y79+1</f>
        <v>2033</v>
      </c>
      <c r="AA79" s="572">
        <f t="shared" ref="AA79" si="119">Z79+1</f>
        <v>2034</v>
      </c>
      <c r="AB79" s="572">
        <f t="shared" ref="AB79" si="120">AA79+1</f>
        <v>2035</v>
      </c>
      <c r="AC79" s="572">
        <f t="shared" ref="AC79" si="121">AB79+1</f>
        <v>2036</v>
      </c>
      <c r="AD79" s="572">
        <f t="shared" ref="AD79" si="122">AC79+1</f>
        <v>2037</v>
      </c>
      <c r="AE79" s="572">
        <f t="shared" ref="AE79" si="123">AD79+1</f>
        <v>2038</v>
      </c>
      <c r="AF79" s="572">
        <f t="shared" ref="AF79" si="124">AE79+1</f>
        <v>2039</v>
      </c>
      <c r="AG79" s="231"/>
      <c r="AH79" s="158"/>
      <c r="AK79" s="148">
        <f t="shared" si="101"/>
        <v>2028</v>
      </c>
      <c r="AL79" s="210">
        <v>193.62531305922417</v>
      </c>
      <c r="AM79" s="210">
        <f t="shared" si="100"/>
        <v>88.244399999999587</v>
      </c>
    </row>
    <row r="80" spans="1:40" ht="16">
      <c r="A80" s="147" t="s">
        <v>779</v>
      </c>
      <c r="B80" s="147"/>
      <c r="C80" s="148" t="s">
        <v>519</v>
      </c>
      <c r="D80" s="148" t="s">
        <v>520</v>
      </c>
      <c r="E80" s="148" t="s">
        <v>521</v>
      </c>
      <c r="F80" s="148" t="s">
        <v>522</v>
      </c>
      <c r="G80" s="148" t="s">
        <v>523</v>
      </c>
      <c r="H80" s="148" t="s">
        <v>524</v>
      </c>
      <c r="I80" s="437" t="s">
        <v>525</v>
      </c>
      <c r="J80" s="437" t="s">
        <v>526</v>
      </c>
      <c r="K80" s="529" t="s">
        <v>527</v>
      </c>
      <c r="L80" s="148" t="s">
        <v>528</v>
      </c>
      <c r="M80" s="656" t="s">
        <v>529</v>
      </c>
      <c r="N80" s="757" t="s">
        <v>530</v>
      </c>
      <c r="O80" s="757" t="s">
        <v>531</v>
      </c>
      <c r="P80" s="758" t="s">
        <v>532</v>
      </c>
      <c r="Q80" s="758" t="s">
        <v>533</v>
      </c>
      <c r="R80" s="759" t="s">
        <v>534</v>
      </c>
      <c r="S80" s="572" t="s">
        <v>535</v>
      </c>
      <c r="T80" s="572" t="s">
        <v>536</v>
      </c>
      <c r="U80" s="572" t="s">
        <v>537</v>
      </c>
      <c r="V80" s="572" t="s">
        <v>538</v>
      </c>
      <c r="W80" s="572" t="s">
        <v>539</v>
      </c>
      <c r="X80" s="572" t="s">
        <v>540</v>
      </c>
      <c r="Y80" s="572" t="s">
        <v>541</v>
      </c>
      <c r="Z80" s="572" t="s">
        <v>542</v>
      </c>
      <c r="AA80" s="572" t="s">
        <v>543</v>
      </c>
      <c r="AB80" s="572" t="s">
        <v>544</v>
      </c>
      <c r="AC80" s="572" t="s">
        <v>545</v>
      </c>
      <c r="AD80" s="572" t="s">
        <v>546</v>
      </c>
      <c r="AE80" s="572" t="s">
        <v>547</v>
      </c>
      <c r="AF80" s="572" t="s">
        <v>548</v>
      </c>
      <c r="AG80" s="231"/>
      <c r="AH80" s="189"/>
      <c r="AK80" s="148">
        <f t="shared" si="101"/>
        <v>2029</v>
      </c>
      <c r="AL80" s="210">
        <v>206.2249539066743</v>
      </c>
      <c r="AM80" s="210">
        <f t="shared" si="100"/>
        <v>93.181699999999182</v>
      </c>
    </row>
    <row r="81" spans="1:41" ht="16">
      <c r="A81" s="710" t="s">
        <v>798</v>
      </c>
      <c r="B81" s="486" t="s">
        <v>645</v>
      </c>
      <c r="C81" s="380">
        <f>'GIS Area Results'!$D6</f>
        <v>2.2599999999999998</v>
      </c>
      <c r="D81" s="380">
        <f>'GIS Area Results'!$D7</f>
        <v>4.0789999999999997</v>
      </c>
      <c r="E81" s="380">
        <f>'GIS Area Results'!$D8</f>
        <v>6.0529999999999999</v>
      </c>
      <c r="F81" s="380">
        <f>'GIS Area Results'!$D9</f>
        <v>8.6199999999999992</v>
      </c>
      <c r="G81" s="380">
        <f>'GIS Area Results'!$D10</f>
        <v>14.599</v>
      </c>
      <c r="H81" s="380">
        <f>'GIS Area Results'!$D11</f>
        <v>23.24</v>
      </c>
      <c r="I81" s="458">
        <v>37.869999999999997</v>
      </c>
      <c r="J81" s="458">
        <f>'GIS Area Results'!D13</f>
        <v>95.92</v>
      </c>
      <c r="K81" s="691">
        <v>109.96</v>
      </c>
      <c r="L81" s="690">
        <f>'GIS Area Results'!D15</f>
        <v>117.25</v>
      </c>
      <c r="M81" s="691">
        <f>'GIS Area Results'!D16</f>
        <v>117.3</v>
      </c>
      <c r="N81" s="783">
        <f>M81+10</f>
        <v>127.3</v>
      </c>
      <c r="O81" s="783">
        <f t="shared" ref="O81:R81" si="125">N81+10</f>
        <v>137.30000000000001</v>
      </c>
      <c r="P81" s="783">
        <f t="shared" si="125"/>
        <v>147.30000000000001</v>
      </c>
      <c r="Q81" s="783">
        <f t="shared" si="125"/>
        <v>157.30000000000001</v>
      </c>
      <c r="R81" s="783">
        <f t="shared" si="125"/>
        <v>167.3</v>
      </c>
      <c r="S81" s="577">
        <f t="shared" ref="S81:AF81" si="126">(S21/S23)*S83</f>
        <v>73.635937284235325</v>
      </c>
      <c r="T81" s="577">
        <f t="shared" si="126"/>
        <v>77.976883354318034</v>
      </c>
      <c r="U81" s="577">
        <f t="shared" si="126"/>
        <v>82.334841684740709</v>
      </c>
      <c r="V81" s="577">
        <f t="shared" si="126"/>
        <v>86.705905812186685</v>
      </c>
      <c r="W81" s="577">
        <f t="shared" si="126"/>
        <v>91.087280271124399</v>
      </c>
      <c r="X81" s="577">
        <f t="shared" si="126"/>
        <v>95.476911851775853</v>
      </c>
      <c r="Y81" s="577">
        <f t="shared" si="126"/>
        <v>99.87325857942092</v>
      </c>
      <c r="Z81" s="577">
        <f t="shared" si="126"/>
        <v>104.2751399212638</v>
      </c>
      <c r="AA81" s="577">
        <f t="shared" si="126"/>
        <v>108.68163674549764</v>
      </c>
      <c r="AB81" s="577">
        <f t="shared" si="126"/>
        <v>113.09202276504053</v>
      </c>
      <c r="AC81" s="577">
        <f t="shared" si="126"/>
        <v>117.50571648181507</v>
      </c>
      <c r="AD81" s="577">
        <f t="shared" si="126"/>
        <v>121.92224681906816</v>
      </c>
      <c r="AE81" s="577">
        <f t="shared" si="126"/>
        <v>126.34122809919977</v>
      </c>
      <c r="AF81" s="577">
        <f t="shared" si="126"/>
        <v>130.76234153081853</v>
      </c>
      <c r="AG81" s="122"/>
      <c r="AH81" s="152"/>
      <c r="AK81" s="148">
        <f t="shared" si="101"/>
        <v>2030</v>
      </c>
      <c r="AL81" s="210">
        <v>218.82459475412443</v>
      </c>
      <c r="AM81" s="210">
        <f t="shared" si="100"/>
        <v>98.118999999998778</v>
      </c>
    </row>
    <row r="82" spans="1:41" ht="16">
      <c r="A82" s="306" t="s">
        <v>746</v>
      </c>
      <c r="B82" s="487" t="s">
        <v>645</v>
      </c>
      <c r="C82" s="380">
        <f>'GIS Area Results'!$E6</f>
        <v>0.3400000000000003</v>
      </c>
      <c r="D82" s="380">
        <f>'GIS Area Results'!$E7</f>
        <v>0.60800000000000054</v>
      </c>
      <c r="E82" s="380">
        <f>'GIS Area Results'!$E8</f>
        <v>1.1870000000000003</v>
      </c>
      <c r="F82" s="380">
        <f>'GIS Area Results'!$E9</f>
        <v>1.5177000000000014</v>
      </c>
      <c r="G82" s="380">
        <f>'GIS Area Results'!$E10</f>
        <v>2.3909999999999982</v>
      </c>
      <c r="H82" s="380">
        <f>'GIS Area Results'!$E11</f>
        <v>5.9600000000000009</v>
      </c>
      <c r="I82" s="458">
        <f>I83-I81</f>
        <v>19.370000000000005</v>
      </c>
      <c r="J82" s="458">
        <f>'GIS Area Results'!E13</f>
        <v>51.010000000000005</v>
      </c>
      <c r="K82" s="691">
        <v>51.75</v>
      </c>
      <c r="L82" s="690">
        <f>'GIS Area Results'!E15</f>
        <v>57.850300000000004</v>
      </c>
      <c r="M82" s="691">
        <f>'GIS Area Results'!E16</f>
        <v>57.860300000000009</v>
      </c>
      <c r="N82" s="783">
        <f>M82+10</f>
        <v>67.860300000000009</v>
      </c>
      <c r="O82" s="783">
        <f t="shared" ref="O82:R82" si="127">N82+10</f>
        <v>77.860300000000009</v>
      </c>
      <c r="P82" s="783">
        <f t="shared" si="127"/>
        <v>87.860300000000009</v>
      </c>
      <c r="Q82" s="783">
        <f t="shared" si="127"/>
        <v>97.860300000000009</v>
      </c>
      <c r="R82" s="783">
        <f t="shared" si="127"/>
        <v>107.86030000000001</v>
      </c>
      <c r="S82" s="577">
        <f t="shared" ref="S82:AF82" si="128">(S22/S23)*S83</f>
        <v>4.7338627157632462</v>
      </c>
      <c r="T82" s="577">
        <f t="shared" si="128"/>
        <v>5.330216645680145</v>
      </c>
      <c r="U82" s="577">
        <f t="shared" si="128"/>
        <v>5.9095583152588871</v>
      </c>
      <c r="V82" s="577">
        <f t="shared" si="128"/>
        <v>6.4757941878124861</v>
      </c>
      <c r="W82" s="577">
        <f t="shared" si="128"/>
        <v>7.0317197288743767</v>
      </c>
      <c r="X82" s="577">
        <f t="shared" si="128"/>
        <v>7.5793881482225212</v>
      </c>
      <c r="Y82" s="577">
        <f t="shared" si="128"/>
        <v>8.1203414205770397</v>
      </c>
      <c r="Z82" s="577">
        <f t="shared" si="128"/>
        <v>8.6557600787355735</v>
      </c>
      <c r="AA82" s="577">
        <f t="shared" si="128"/>
        <v>9.1865632545013405</v>
      </c>
      <c r="AB82" s="577">
        <f t="shared" si="128"/>
        <v>9.7134772349580469</v>
      </c>
      <c r="AC82" s="577">
        <f t="shared" si="128"/>
        <v>10.237083518183086</v>
      </c>
      <c r="AD82" s="577">
        <f t="shared" si="128"/>
        <v>10.757853180931429</v>
      </c>
      <c r="AE82" s="577">
        <f t="shared" si="128"/>
        <v>11.276171900799405</v>
      </c>
      <c r="AF82" s="577">
        <f t="shared" si="128"/>
        <v>11.792358469180234</v>
      </c>
      <c r="AG82" s="122"/>
      <c r="AH82" s="152"/>
      <c r="AK82" s="148">
        <f t="shared" si="101"/>
        <v>2031</v>
      </c>
      <c r="AL82" s="210">
        <v>231.42423560157457</v>
      </c>
      <c r="AM82" s="210">
        <f t="shared" si="100"/>
        <v>103.05629999999837</v>
      </c>
      <c r="AN82" s="148"/>
      <c r="AO82" s="373"/>
    </row>
    <row r="83" spans="1:41" ht="16">
      <c r="A83" s="423"/>
      <c r="B83" s="488" t="s">
        <v>744</v>
      </c>
      <c r="C83" s="425">
        <f>'GIS Area Results'!$C6</f>
        <v>2.6</v>
      </c>
      <c r="D83" s="425">
        <f>'GIS Area Results'!$C7</f>
        <v>4.6870000000000003</v>
      </c>
      <c r="E83" s="425">
        <f>'GIS Area Results'!$C8</f>
        <v>7.24</v>
      </c>
      <c r="F83" s="425">
        <f>'GIS Area Results'!$C9</f>
        <v>10.137700000000001</v>
      </c>
      <c r="G83" s="425">
        <f>'GIS Area Results'!$C10</f>
        <v>16.989999999999998</v>
      </c>
      <c r="H83" s="425">
        <f>'GIS Area Results'!$C11</f>
        <v>29.2</v>
      </c>
      <c r="I83" s="454">
        <f>'GIS Area Results'!C12</f>
        <v>57.24</v>
      </c>
      <c r="J83" s="556">
        <f>'GIS Area Results'!C13</f>
        <v>146.93</v>
      </c>
      <c r="K83" s="718">
        <f>SUM(K81:K82)</f>
        <v>161.70999999999998</v>
      </c>
      <c r="L83" s="692">
        <f>+SUM(L81:L82)</f>
        <v>175.1003</v>
      </c>
      <c r="M83" s="692">
        <f>+SUM(M81:M82)</f>
        <v>175.16030000000001</v>
      </c>
      <c r="N83" s="784">
        <f>SUM(N81:N82)</f>
        <v>195.16030000000001</v>
      </c>
      <c r="O83" s="784">
        <f>SUM(O81:O82)</f>
        <v>215.16030000000001</v>
      </c>
      <c r="P83" s="784">
        <f>SUM(P81:P82)</f>
        <v>235.16030000000001</v>
      </c>
      <c r="Q83" s="784">
        <f t="shared" ref="Q83:R83" si="129">SUM(Q81:Q82)</f>
        <v>255.16030000000001</v>
      </c>
      <c r="R83" s="785">
        <f t="shared" si="129"/>
        <v>275.16030000000001</v>
      </c>
      <c r="S83" s="578">
        <v>78.369799999998577</v>
      </c>
      <c r="T83" s="578">
        <v>83.307099999998172</v>
      </c>
      <c r="U83" s="578">
        <v>88.244399999999587</v>
      </c>
      <c r="V83" s="578">
        <v>93.181699999999182</v>
      </c>
      <c r="W83" s="578">
        <v>98.118999999998778</v>
      </c>
      <c r="X83" s="578">
        <v>103.05629999999837</v>
      </c>
      <c r="Y83" s="578">
        <v>107.99359999999797</v>
      </c>
      <c r="Z83" s="578">
        <v>112.93089999999938</v>
      </c>
      <c r="AA83" s="578">
        <v>117.86819999999898</v>
      </c>
      <c r="AB83" s="578">
        <v>122.80549999999857</v>
      </c>
      <c r="AC83" s="578">
        <v>127.74279999999817</v>
      </c>
      <c r="AD83" s="578">
        <v>132.68009999999958</v>
      </c>
      <c r="AE83" s="578">
        <v>137.61739999999918</v>
      </c>
      <c r="AF83" s="578">
        <v>142.55469999999877</v>
      </c>
      <c r="AG83" s="122"/>
      <c r="AH83" s="152"/>
      <c r="AK83" s="148">
        <f t="shared" si="101"/>
        <v>2032</v>
      </c>
      <c r="AL83" s="210">
        <v>244.0238764490247</v>
      </c>
      <c r="AM83" s="210">
        <f t="shared" si="100"/>
        <v>107.99359999999797</v>
      </c>
      <c r="AN83" s="148">
        <v>2010</v>
      </c>
      <c r="AO83" s="210">
        <v>2.6</v>
      </c>
    </row>
    <row r="84" spans="1:41">
      <c r="A84" s="383"/>
      <c r="B84" s="138" t="s">
        <v>841</v>
      </c>
      <c r="D84" s="711">
        <f>D83/C83</f>
        <v>1.8026923076923078</v>
      </c>
      <c r="E84" s="711">
        <f t="shared" ref="E84" si="130">E83/D83</f>
        <v>1.5446981011307872</v>
      </c>
      <c r="F84" s="711">
        <f>F83-E83</f>
        <v>2.8977000000000004</v>
      </c>
      <c r="G84" s="711">
        <f t="shared" ref="G84:R84" si="131">G83-F83</f>
        <v>6.8522999999999978</v>
      </c>
      <c r="H84" s="711">
        <f t="shared" si="131"/>
        <v>12.21</v>
      </c>
      <c r="I84" s="711">
        <f t="shared" si="131"/>
        <v>28.040000000000003</v>
      </c>
      <c r="J84" s="711">
        <f t="shared" si="131"/>
        <v>89.69</v>
      </c>
      <c r="K84" s="711">
        <f t="shared" si="131"/>
        <v>14.779999999999973</v>
      </c>
      <c r="L84" s="711">
        <f t="shared" si="131"/>
        <v>13.390300000000025</v>
      </c>
      <c r="M84" s="711">
        <f t="shared" si="131"/>
        <v>6.0000000000002274E-2</v>
      </c>
      <c r="N84" s="820">
        <f t="shared" si="131"/>
        <v>20</v>
      </c>
      <c r="O84" s="820">
        <f t="shared" si="131"/>
        <v>20</v>
      </c>
      <c r="P84" s="820">
        <f t="shared" si="131"/>
        <v>20</v>
      </c>
      <c r="Q84" s="820">
        <f t="shared" si="131"/>
        <v>20</v>
      </c>
      <c r="R84" s="820">
        <f t="shared" si="131"/>
        <v>20</v>
      </c>
      <c r="S84" s="579"/>
      <c r="T84" s="573"/>
      <c r="U84" s="573"/>
      <c r="V84" s="573"/>
      <c r="W84" s="573"/>
      <c r="X84" s="573"/>
      <c r="Y84" s="573"/>
      <c r="Z84" s="573"/>
      <c r="AA84" s="573"/>
      <c r="AB84" s="573"/>
      <c r="AC84" s="573"/>
      <c r="AD84" s="573"/>
      <c r="AE84" s="573"/>
      <c r="AF84" s="573"/>
      <c r="AG84" s="122"/>
      <c r="AH84" s="152"/>
      <c r="AK84" s="148">
        <f t="shared" si="101"/>
        <v>2033</v>
      </c>
      <c r="AL84" s="210">
        <v>256.62351729647486</v>
      </c>
      <c r="AM84" s="210">
        <f t="shared" si="100"/>
        <v>112.93089999999938</v>
      </c>
      <c r="AN84" s="148">
        <f>AN83+1</f>
        <v>2011</v>
      </c>
      <c r="AO84" s="210">
        <v>4.6870000000000003</v>
      </c>
    </row>
    <row r="85" spans="1:41">
      <c r="A85" s="507" t="s">
        <v>793</v>
      </c>
      <c r="B85" s="508"/>
      <c r="C85" s="160"/>
      <c r="D85" s="150"/>
      <c r="E85" s="288"/>
      <c r="I85" s="438"/>
      <c r="J85" s="448"/>
      <c r="K85" s="526"/>
      <c r="L85" s="580"/>
      <c r="M85" s="661"/>
      <c r="N85" s="787"/>
      <c r="O85" s="787"/>
      <c r="P85" s="788"/>
      <c r="Q85" s="788"/>
      <c r="R85" s="789"/>
      <c r="S85" s="580"/>
      <c r="T85" s="580"/>
      <c r="U85" s="580"/>
      <c r="V85" s="580"/>
      <c r="W85" s="581" t="s">
        <v>758</v>
      </c>
      <c r="X85" s="580"/>
      <c r="Y85" s="580"/>
      <c r="Z85" s="580"/>
      <c r="AA85" s="580"/>
      <c r="AB85" s="580"/>
      <c r="AC85" s="580"/>
      <c r="AD85" s="580"/>
      <c r="AE85" s="580"/>
      <c r="AF85" s="580"/>
      <c r="AG85" s="289"/>
      <c r="AK85" s="148">
        <f t="shared" si="101"/>
        <v>2034</v>
      </c>
      <c r="AL85" s="210">
        <v>269.22315814392499</v>
      </c>
      <c r="AM85" s="210">
        <f t="shared" si="100"/>
        <v>117.86819999999898</v>
      </c>
      <c r="AN85" s="148">
        <f>AN84+1</f>
        <v>2012</v>
      </c>
      <c r="AO85" s="210">
        <v>7.24</v>
      </c>
    </row>
    <row r="86" spans="1:41" ht="16">
      <c r="A86" s="147" t="s">
        <v>778</v>
      </c>
      <c r="B86" s="147"/>
      <c r="C86" s="148" t="s">
        <v>519</v>
      </c>
      <c r="D86" s="148" t="s">
        <v>520</v>
      </c>
      <c r="E86" s="148" t="s">
        <v>521</v>
      </c>
      <c r="F86" s="148" t="s">
        <v>522</v>
      </c>
      <c r="G86" s="148" t="s">
        <v>523</v>
      </c>
      <c r="H86" s="148" t="s">
        <v>524</v>
      </c>
      <c r="I86" s="437" t="s">
        <v>525</v>
      </c>
      <c r="J86" s="437" t="s">
        <v>526</v>
      </c>
      <c r="K86" s="529" t="s">
        <v>527</v>
      </c>
      <c r="L86" s="148" t="s">
        <v>528</v>
      </c>
      <c r="M86" s="656" t="s">
        <v>529</v>
      </c>
      <c r="N86" s="757" t="s">
        <v>530</v>
      </c>
      <c r="O86" s="757" t="s">
        <v>531</v>
      </c>
      <c r="P86" s="758" t="s">
        <v>532</v>
      </c>
      <c r="Q86" s="758" t="s">
        <v>533</v>
      </c>
      <c r="R86" s="759" t="s">
        <v>534</v>
      </c>
      <c r="S86" s="572" t="s">
        <v>535</v>
      </c>
      <c r="T86" s="572" t="s">
        <v>536</v>
      </c>
      <c r="U86" s="572" t="s">
        <v>537</v>
      </c>
      <c r="V86" s="572" t="s">
        <v>538</v>
      </c>
      <c r="W86" s="572" t="s">
        <v>539</v>
      </c>
      <c r="X86" s="572" t="s">
        <v>540</v>
      </c>
      <c r="Y86" s="572" t="s">
        <v>541</v>
      </c>
      <c r="Z86" s="572" t="s">
        <v>542</v>
      </c>
      <c r="AA86" s="572" t="s">
        <v>543</v>
      </c>
      <c r="AB86" s="572" t="s">
        <v>544</v>
      </c>
      <c r="AC86" s="572" t="s">
        <v>545</v>
      </c>
      <c r="AD86" s="572" t="s">
        <v>546</v>
      </c>
      <c r="AE86" s="572" t="s">
        <v>547</v>
      </c>
      <c r="AF86" s="572" t="s">
        <v>548</v>
      </c>
      <c r="AH86" s="152"/>
      <c r="AK86" s="148">
        <f t="shared" si="101"/>
        <v>2035</v>
      </c>
      <c r="AL86" s="210">
        <v>281.82279899137512</v>
      </c>
      <c r="AM86" s="210">
        <f t="shared" si="100"/>
        <v>122.80549999999857</v>
      </c>
      <c r="AN86" s="148">
        <f>AN85+1</f>
        <v>2013</v>
      </c>
      <c r="AO86" s="210">
        <v>10.137700000000001</v>
      </c>
    </row>
    <row r="87" spans="1:41" ht="16">
      <c r="A87" s="363" t="s">
        <v>745</v>
      </c>
      <c r="B87" s="489" t="s">
        <v>646</v>
      </c>
      <c r="C87" s="165">
        <f t="shared" ref="C87:V87" si="132">$I$9*C81</f>
        <v>2.1469999999999998</v>
      </c>
      <c r="D87" s="165">
        <f t="shared" si="132"/>
        <v>3.8750499999999994</v>
      </c>
      <c r="E87" s="165">
        <f t="shared" si="132"/>
        <v>5.7503500000000001</v>
      </c>
      <c r="F87" s="165">
        <f t="shared" si="132"/>
        <v>8.1889999999999983</v>
      </c>
      <c r="G87" s="165">
        <f t="shared" si="132"/>
        <v>13.86905</v>
      </c>
      <c r="H87" s="165">
        <f t="shared" si="132"/>
        <v>22.077999999999996</v>
      </c>
      <c r="I87" s="420">
        <f t="shared" si="132"/>
        <v>35.976499999999994</v>
      </c>
      <c r="J87" s="568">
        <f t="shared" si="132"/>
        <v>91.123999999999995</v>
      </c>
      <c r="K87" s="712">
        <f t="shared" si="132"/>
        <v>104.46199999999999</v>
      </c>
      <c r="L87" s="693">
        <f t="shared" si="132"/>
        <v>111.38749999999999</v>
      </c>
      <c r="M87" s="694">
        <f t="shared" si="132"/>
        <v>111.43499999999999</v>
      </c>
      <c r="N87" s="790">
        <f t="shared" si="132"/>
        <v>120.93499999999999</v>
      </c>
      <c r="O87" s="790">
        <f t="shared" si="132"/>
        <v>130.435</v>
      </c>
      <c r="P87" s="791">
        <f t="shared" si="132"/>
        <v>139.935</v>
      </c>
      <c r="Q87" s="791">
        <f t="shared" si="132"/>
        <v>149.435</v>
      </c>
      <c r="R87" s="792">
        <f t="shared" si="132"/>
        <v>158.935</v>
      </c>
      <c r="S87" s="547">
        <f t="shared" si="132"/>
        <v>69.954140420023549</v>
      </c>
      <c r="T87" s="547">
        <f t="shared" si="132"/>
        <v>74.078039186602126</v>
      </c>
      <c r="U87" s="547">
        <f t="shared" si="132"/>
        <v>78.218099600503663</v>
      </c>
      <c r="V87" s="547">
        <f t="shared" si="132"/>
        <v>82.370610521577348</v>
      </c>
      <c r="W87" s="547">
        <f t="shared" ref="W87:AF87" si="133">$I$9*(W81-C81)</f>
        <v>84.385916257568169</v>
      </c>
      <c r="X87" s="547">
        <f t="shared" si="133"/>
        <v>86.828016259187066</v>
      </c>
      <c r="Y87" s="547">
        <f t="shared" si="133"/>
        <v>89.129245650449874</v>
      </c>
      <c r="Z87" s="547">
        <f t="shared" si="133"/>
        <v>90.872382925200597</v>
      </c>
      <c r="AA87" s="547">
        <f t="shared" si="133"/>
        <v>89.378504908222752</v>
      </c>
      <c r="AB87" s="547">
        <f t="shared" si="133"/>
        <v>85.359421626788503</v>
      </c>
      <c r="AC87" s="547">
        <f t="shared" si="133"/>
        <v>75.653930657724317</v>
      </c>
      <c r="AD87" s="547">
        <f t="shared" si="133"/>
        <v>24.702134478114754</v>
      </c>
      <c r="AE87" s="547">
        <f t="shared" si="133"/>
        <v>15.562166694239785</v>
      </c>
      <c r="AF87" s="547">
        <f t="shared" si="133"/>
        <v>12.836724454277604</v>
      </c>
      <c r="AH87" s="154"/>
      <c r="AI87" s="154"/>
      <c r="AK87" s="148">
        <f t="shared" si="101"/>
        <v>2036</v>
      </c>
      <c r="AL87" s="210">
        <v>294.4224398388252</v>
      </c>
      <c r="AM87" s="210">
        <f t="shared" si="100"/>
        <v>127.74279999999817</v>
      </c>
      <c r="AN87" s="148">
        <f>AN86+1</f>
        <v>2014</v>
      </c>
      <c r="AO87" s="210">
        <v>16.989999999999998</v>
      </c>
    </row>
    <row r="88" spans="1:41" ht="16">
      <c r="A88" s="364" t="s">
        <v>746</v>
      </c>
      <c r="B88" s="490" t="s">
        <v>646</v>
      </c>
      <c r="C88" s="298">
        <f t="shared" ref="C88:V88" si="134">$I$10*C82</f>
        <v>0.99620000000000097</v>
      </c>
      <c r="D88" s="298">
        <f t="shared" si="134"/>
        <v>1.7814400000000017</v>
      </c>
      <c r="E88" s="298">
        <f t="shared" si="134"/>
        <v>3.4779100000000009</v>
      </c>
      <c r="F88" s="298">
        <f t="shared" si="134"/>
        <v>4.4468610000000046</v>
      </c>
      <c r="G88" s="298">
        <f t="shared" si="134"/>
        <v>7.0056299999999956</v>
      </c>
      <c r="H88" s="298">
        <f t="shared" si="134"/>
        <v>17.462800000000005</v>
      </c>
      <c r="I88" s="298">
        <f t="shared" si="134"/>
        <v>56.754100000000015</v>
      </c>
      <c r="J88" s="554">
        <f t="shared" si="134"/>
        <v>149.45930000000001</v>
      </c>
      <c r="K88" s="713">
        <f t="shared" si="134"/>
        <v>151.6275</v>
      </c>
      <c r="L88" s="695">
        <f t="shared" si="134"/>
        <v>169.50137900000001</v>
      </c>
      <c r="M88" s="696">
        <f t="shared" si="134"/>
        <v>169.53067900000005</v>
      </c>
      <c r="N88" s="793">
        <f t="shared" si="134"/>
        <v>198.83067900000003</v>
      </c>
      <c r="O88" s="793">
        <f t="shared" si="134"/>
        <v>228.13067900000004</v>
      </c>
      <c r="P88" s="793">
        <f t="shared" si="134"/>
        <v>257.43067900000005</v>
      </c>
      <c r="Q88" s="793">
        <f t="shared" si="134"/>
        <v>286.73067900000007</v>
      </c>
      <c r="R88" s="794">
        <f t="shared" si="134"/>
        <v>316.03067900000002</v>
      </c>
      <c r="S88" s="582">
        <f t="shared" si="134"/>
        <v>13.870217757186312</v>
      </c>
      <c r="T88" s="582">
        <f t="shared" si="134"/>
        <v>15.617534771842825</v>
      </c>
      <c r="U88" s="582">
        <f t="shared" si="134"/>
        <v>17.315005863708539</v>
      </c>
      <c r="V88" s="582">
        <f t="shared" si="134"/>
        <v>18.974076970290586</v>
      </c>
      <c r="W88" s="582">
        <f t="shared" ref="W88:AF88" si="135">$I$10*(W82-C82)</f>
        <v>19.606738805601925</v>
      </c>
      <c r="X88" s="582">
        <f t="shared" si="135"/>
        <v>20.426167274291988</v>
      </c>
      <c r="Y88" s="582">
        <f t="shared" si="135"/>
        <v>20.314690362290726</v>
      </c>
      <c r="Z88" s="582">
        <f t="shared" si="135"/>
        <v>20.914516030695228</v>
      </c>
      <c r="AA88" s="582">
        <f t="shared" si="135"/>
        <v>19.911000335688932</v>
      </c>
      <c r="AB88" s="582">
        <f t="shared" si="135"/>
        <v>10.997688298427075</v>
      </c>
      <c r="AC88" s="582">
        <f t="shared" si="135"/>
        <v>-26.759445291723573</v>
      </c>
      <c r="AD88" s="582">
        <f t="shared" si="135"/>
        <v>-117.93879017987094</v>
      </c>
      <c r="AE88" s="582">
        <f t="shared" si="135"/>
        <v>-118.58831633065775</v>
      </c>
      <c r="AF88" s="582">
        <f t="shared" si="135"/>
        <v>-134.94976868530193</v>
      </c>
      <c r="AK88" s="148">
        <f t="shared" si="101"/>
        <v>2037</v>
      </c>
      <c r="AL88" s="210">
        <v>307.02208068627533</v>
      </c>
      <c r="AM88" s="210">
        <f t="shared" si="100"/>
        <v>132.68009999999958</v>
      </c>
      <c r="AN88" s="148">
        <f>AN87+1</f>
        <v>2015</v>
      </c>
      <c r="AO88" s="210">
        <v>29.2</v>
      </c>
    </row>
    <row r="89" spans="1:41">
      <c r="A89" s="383"/>
      <c r="B89" s="239"/>
      <c r="C89" s="165"/>
      <c r="D89" s="297"/>
      <c r="E89" s="297"/>
      <c r="F89" s="297"/>
      <c r="G89" s="297"/>
      <c r="H89" s="297"/>
      <c r="I89" s="420"/>
      <c r="J89" s="569"/>
      <c r="K89" s="527"/>
      <c r="L89" s="547"/>
      <c r="M89" s="662"/>
      <c r="N89" s="790"/>
      <c r="O89" s="790"/>
      <c r="P89" s="791"/>
      <c r="Q89" s="791"/>
      <c r="R89" s="792"/>
      <c r="S89" s="547"/>
      <c r="T89" s="547"/>
      <c r="U89" s="547"/>
      <c r="V89" s="547"/>
      <c r="W89" s="547"/>
      <c r="X89" s="547"/>
      <c r="Y89" s="547"/>
      <c r="Z89" s="547"/>
      <c r="AA89" s="547"/>
      <c r="AB89" s="547"/>
      <c r="AC89" s="547"/>
      <c r="AD89" s="547"/>
      <c r="AE89" s="547"/>
      <c r="AF89" s="547"/>
      <c r="AK89" s="148">
        <f t="shared" si="101"/>
        <v>2038</v>
      </c>
      <c r="AL89" s="210">
        <v>319.62172153372546</v>
      </c>
      <c r="AM89" s="210">
        <f t="shared" si="100"/>
        <v>137.61739999999918</v>
      </c>
    </row>
    <row r="90" spans="1:41">
      <c r="A90" s="507" t="s">
        <v>794</v>
      </c>
      <c r="B90" s="508"/>
      <c r="D90" s="150"/>
      <c r="E90" s="150"/>
      <c r="F90" s="151"/>
      <c r="G90" s="151"/>
      <c r="H90" s="151"/>
      <c r="I90" s="200"/>
      <c r="J90" s="570"/>
      <c r="K90" s="528"/>
      <c r="L90" s="583"/>
      <c r="M90" s="663"/>
      <c r="N90" s="795"/>
      <c r="O90" s="795"/>
      <c r="P90" s="796"/>
      <c r="Q90" s="796"/>
      <c r="R90" s="797"/>
      <c r="S90" s="583"/>
      <c r="T90" s="583"/>
      <c r="U90" s="583"/>
      <c r="V90" s="583"/>
      <c r="W90" s="583"/>
      <c r="X90" s="583"/>
      <c r="Y90" s="583"/>
      <c r="Z90" s="583"/>
      <c r="AA90" s="583"/>
      <c r="AB90" s="583"/>
      <c r="AC90" s="583"/>
      <c r="AD90" s="583"/>
      <c r="AE90" s="583"/>
      <c r="AF90" s="583"/>
      <c r="AH90" s="151"/>
      <c r="AI90" s="151"/>
      <c r="AJ90" s="151"/>
      <c r="AK90" s="148">
        <f t="shared" si="101"/>
        <v>2039</v>
      </c>
      <c r="AL90" s="210">
        <v>332.22136238117554</v>
      </c>
      <c r="AM90" s="210">
        <f t="shared" si="100"/>
        <v>142.55469999999877</v>
      </c>
      <c r="AN90" s="151"/>
      <c r="AO90" s="151"/>
    </row>
    <row r="91" spans="1:41" ht="16">
      <c r="A91" s="147" t="s">
        <v>822</v>
      </c>
      <c r="B91" s="147"/>
      <c r="C91" s="148" t="s">
        <v>519</v>
      </c>
      <c r="D91" s="148" t="s">
        <v>520</v>
      </c>
      <c r="E91" s="148" t="s">
        <v>521</v>
      </c>
      <c r="F91" s="148" t="s">
        <v>522</v>
      </c>
      <c r="G91" s="148" t="s">
        <v>523</v>
      </c>
      <c r="H91" s="148" t="s">
        <v>524</v>
      </c>
      <c r="I91" s="437" t="s">
        <v>525</v>
      </c>
      <c r="J91" s="561" t="s">
        <v>526</v>
      </c>
      <c r="K91" s="529" t="s">
        <v>527</v>
      </c>
      <c r="L91" s="148" t="s">
        <v>528</v>
      </c>
      <c r="M91" s="656" t="s">
        <v>529</v>
      </c>
      <c r="N91" s="757" t="s">
        <v>530</v>
      </c>
      <c r="O91" s="757" t="s">
        <v>531</v>
      </c>
      <c r="P91" s="758" t="s">
        <v>532</v>
      </c>
      <c r="Q91" s="758" t="s">
        <v>533</v>
      </c>
      <c r="R91" s="759" t="s">
        <v>534</v>
      </c>
      <c r="S91" s="572" t="s">
        <v>535</v>
      </c>
      <c r="T91" s="572" t="s">
        <v>536</v>
      </c>
      <c r="U91" s="572" t="s">
        <v>537</v>
      </c>
      <c r="V91" s="572" t="s">
        <v>538</v>
      </c>
      <c r="W91" s="572" t="s">
        <v>539</v>
      </c>
      <c r="X91" s="572" t="s">
        <v>540</v>
      </c>
      <c r="Y91" s="572" t="s">
        <v>541</v>
      </c>
      <c r="Z91" s="572" t="s">
        <v>542</v>
      </c>
      <c r="AA91" s="572" t="s">
        <v>543</v>
      </c>
      <c r="AB91" s="572" t="s">
        <v>544</v>
      </c>
      <c r="AC91" s="572" t="s">
        <v>545</v>
      </c>
      <c r="AD91" s="572" t="s">
        <v>546</v>
      </c>
      <c r="AE91" s="572" t="s">
        <v>547</v>
      </c>
      <c r="AF91" s="572" t="s">
        <v>548</v>
      </c>
      <c r="AH91" s="151"/>
      <c r="AI91" s="151"/>
      <c r="AJ91" s="151"/>
      <c r="AN91" s="151"/>
      <c r="AO91" s="151"/>
    </row>
    <row r="92" spans="1:41" ht="16">
      <c r="A92" s="300" t="s">
        <v>737</v>
      </c>
      <c r="B92" s="491" t="s">
        <v>641</v>
      </c>
      <c r="C92" s="120">
        <f>$H$9*C81</f>
        <v>0</v>
      </c>
      <c r="D92" s="120">
        <f t="shared" ref="D92:J92" si="136">$H$9*(D81-C81)</f>
        <v>0</v>
      </c>
      <c r="E92" s="120">
        <f t="shared" si="136"/>
        <v>0</v>
      </c>
      <c r="F92" s="120">
        <f t="shared" si="136"/>
        <v>0</v>
      </c>
      <c r="G92" s="120">
        <f t="shared" si="136"/>
        <v>0</v>
      </c>
      <c r="H92" s="120">
        <f t="shared" si="136"/>
        <v>0</v>
      </c>
      <c r="I92" s="223">
        <f t="shared" si="136"/>
        <v>0</v>
      </c>
      <c r="J92" s="223">
        <f t="shared" si="136"/>
        <v>0</v>
      </c>
      <c r="K92" s="714">
        <f t="shared" ref="K92:AF92" si="137">J92</f>
        <v>0</v>
      </c>
      <c r="L92" s="749">
        <f t="shared" si="137"/>
        <v>0</v>
      </c>
      <c r="M92" s="750">
        <f t="shared" si="137"/>
        <v>0</v>
      </c>
      <c r="N92" s="766">
        <f t="shared" si="137"/>
        <v>0</v>
      </c>
      <c r="O92" s="766">
        <f t="shared" si="137"/>
        <v>0</v>
      </c>
      <c r="P92" s="767">
        <f t="shared" si="137"/>
        <v>0</v>
      </c>
      <c r="Q92" s="767">
        <f t="shared" si="137"/>
        <v>0</v>
      </c>
      <c r="R92" s="768">
        <f t="shared" si="137"/>
        <v>0</v>
      </c>
      <c r="S92" s="584">
        <f t="shared" si="137"/>
        <v>0</v>
      </c>
      <c r="T92" s="584">
        <f t="shared" si="137"/>
        <v>0</v>
      </c>
      <c r="U92" s="584">
        <f t="shared" si="137"/>
        <v>0</v>
      </c>
      <c r="V92" s="584">
        <f t="shared" si="137"/>
        <v>0</v>
      </c>
      <c r="W92" s="584">
        <f t="shared" si="137"/>
        <v>0</v>
      </c>
      <c r="X92" s="584">
        <f t="shared" si="137"/>
        <v>0</v>
      </c>
      <c r="Y92" s="584">
        <f t="shared" si="137"/>
        <v>0</v>
      </c>
      <c r="Z92" s="584">
        <f t="shared" si="137"/>
        <v>0</v>
      </c>
      <c r="AA92" s="584">
        <f t="shared" si="137"/>
        <v>0</v>
      </c>
      <c r="AB92" s="584">
        <f t="shared" si="137"/>
        <v>0</v>
      </c>
      <c r="AC92" s="584">
        <f t="shared" si="137"/>
        <v>0</v>
      </c>
      <c r="AD92" s="584">
        <f t="shared" si="137"/>
        <v>0</v>
      </c>
      <c r="AE92" s="584">
        <f t="shared" si="137"/>
        <v>0</v>
      </c>
      <c r="AF92" s="584">
        <f t="shared" si="137"/>
        <v>0</v>
      </c>
      <c r="AH92" s="154"/>
      <c r="AI92" s="154"/>
      <c r="AJ92" s="154"/>
    </row>
    <row r="93" spans="1:41" ht="16">
      <c r="A93" s="301" t="s">
        <v>738</v>
      </c>
      <c r="B93" s="492" t="s">
        <v>641</v>
      </c>
      <c r="C93" s="183">
        <f>$H$10*C82</f>
        <v>5.0564800000000059</v>
      </c>
      <c r="D93" s="183">
        <f t="shared" ref="D93:AF93" si="138">$H$10*(D82-C82)</f>
        <v>3.9856960000000043</v>
      </c>
      <c r="E93" s="183">
        <f t="shared" si="138"/>
        <v>8.6108879999999974</v>
      </c>
      <c r="F93" s="183">
        <f t="shared" si="138"/>
        <v>4.9181704000000179</v>
      </c>
      <c r="G93" s="183">
        <f t="shared" si="138"/>
        <v>12.987717599999955</v>
      </c>
      <c r="H93" s="183">
        <f t="shared" si="138"/>
        <v>53.078168000000048</v>
      </c>
      <c r="I93" s="473">
        <f t="shared" si="138"/>
        <v>199.4335200000001</v>
      </c>
      <c r="J93" s="555">
        <f t="shared" si="138"/>
        <v>470.55008000000009</v>
      </c>
      <c r="K93" s="715">
        <f t="shared" si="138"/>
        <v>11.005279999999926</v>
      </c>
      <c r="L93" s="751">
        <f t="shared" si="138"/>
        <v>90.723661600000085</v>
      </c>
      <c r="M93" s="752">
        <f t="shared" si="138"/>
        <v>0.14872000000007612</v>
      </c>
      <c r="N93" s="775">
        <f t="shared" si="138"/>
        <v>148.72000000000003</v>
      </c>
      <c r="O93" s="775">
        <f t="shared" si="138"/>
        <v>148.72000000000003</v>
      </c>
      <c r="P93" s="775">
        <f t="shared" si="138"/>
        <v>148.72000000000003</v>
      </c>
      <c r="Q93" s="775">
        <f t="shared" si="138"/>
        <v>148.72000000000003</v>
      </c>
      <c r="R93" s="776">
        <f t="shared" si="138"/>
        <v>148.72000000000003</v>
      </c>
      <c r="S93" s="585">
        <f t="shared" si="138"/>
        <v>-1533.6963752911695</v>
      </c>
      <c r="T93" s="585">
        <f t="shared" si="138"/>
        <v>8.8689756457241202</v>
      </c>
      <c r="U93" s="585">
        <f t="shared" si="138"/>
        <v>8.6159693099750552</v>
      </c>
      <c r="V93" s="585">
        <f t="shared" si="138"/>
        <v>8.4210598966171251</v>
      </c>
      <c r="W93" s="585">
        <f t="shared" si="138"/>
        <v>8.2677246466724394</v>
      </c>
      <c r="X93" s="585">
        <f t="shared" si="138"/>
        <v>8.144924732545606</v>
      </c>
      <c r="Y93" s="585">
        <f t="shared" si="138"/>
        <v>8.0450570664564012</v>
      </c>
      <c r="Z93" s="585">
        <f t="shared" si="138"/>
        <v>7.9627462841337175</v>
      </c>
      <c r="AA93" s="585">
        <f t="shared" si="138"/>
        <v>7.8941048299884882</v>
      </c>
      <c r="AB93" s="585">
        <f t="shared" si="138"/>
        <v>7.8362647173521403</v>
      </c>
      <c r="AC93" s="585">
        <f t="shared" si="138"/>
        <v>7.787072644122782</v>
      </c>
      <c r="AD93" s="585">
        <f t="shared" si="138"/>
        <v>7.7448864243933579</v>
      </c>
      <c r="AE93" s="585">
        <f t="shared" si="138"/>
        <v>7.708436001876537</v>
      </c>
      <c r="AF93" s="585">
        <f t="shared" si="138"/>
        <v>7.676726644959702</v>
      </c>
    </row>
    <row r="94" spans="1:41">
      <c r="A94" s="432" t="s">
        <v>755</v>
      </c>
      <c r="B94" s="239"/>
      <c r="C94" s="120"/>
      <c r="D94" s="311"/>
      <c r="E94" s="311"/>
      <c r="F94" s="120"/>
      <c r="G94" s="311"/>
      <c r="H94" s="120"/>
      <c r="I94" s="385"/>
      <c r="J94" s="474"/>
      <c r="K94" s="571"/>
      <c r="L94" s="584"/>
      <c r="M94" s="658"/>
      <c r="N94" s="798"/>
      <c r="O94" s="766"/>
      <c r="P94" s="767"/>
      <c r="Q94" s="767"/>
      <c r="R94" s="768"/>
      <c r="S94" s="584"/>
      <c r="T94" s="584"/>
      <c r="U94" s="584"/>
      <c r="V94" s="584"/>
      <c r="W94" s="584"/>
      <c r="X94" s="584"/>
      <c r="Y94" s="584"/>
      <c r="Z94" s="584"/>
      <c r="AA94" s="584"/>
      <c r="AB94" s="584"/>
      <c r="AC94" s="584"/>
      <c r="AD94" s="584"/>
      <c r="AE94" s="584"/>
      <c r="AF94" s="584"/>
    </row>
    <row r="95" spans="1:41">
      <c r="A95" s="509" t="s">
        <v>777</v>
      </c>
      <c r="B95" s="510" t="s">
        <v>795</v>
      </c>
      <c r="C95" s="511">
        <f>SUM(C93:H93)</f>
        <v>88.637120000000039</v>
      </c>
      <c r="D95" s="120"/>
      <c r="E95" s="120"/>
      <c r="F95" s="120"/>
      <c r="G95" s="120"/>
      <c r="H95" s="120"/>
      <c r="I95" s="385"/>
      <c r="J95" s="474"/>
      <c r="N95" s="766"/>
      <c r="O95" s="766"/>
      <c r="P95" s="767"/>
      <c r="Q95" s="767"/>
      <c r="R95" s="768"/>
      <c r="S95" s="584"/>
      <c r="T95" s="584"/>
      <c r="U95" s="584"/>
      <c r="V95" s="584"/>
      <c r="W95" s="584"/>
      <c r="X95" s="584"/>
      <c r="Y95" s="584"/>
      <c r="Z95" s="584"/>
      <c r="AA95" s="584"/>
      <c r="AB95" s="584"/>
      <c r="AC95" s="584"/>
      <c r="AD95" s="584"/>
      <c r="AE95" s="584"/>
      <c r="AF95" s="584"/>
      <c r="AG95" s="612"/>
      <c r="AH95" s="154"/>
      <c r="AI95" s="178"/>
    </row>
    <row r="96" spans="1:41">
      <c r="A96" s="512"/>
      <c r="B96" s="510" t="s">
        <v>796</v>
      </c>
      <c r="C96" s="513">
        <f>C95/H83</f>
        <v>3.0355178082191796</v>
      </c>
      <c r="I96" s="438"/>
      <c r="J96" s="565"/>
      <c r="N96" s="780" t="s">
        <v>819</v>
      </c>
      <c r="O96" s="780"/>
      <c r="P96" s="781"/>
      <c r="Q96" s="781"/>
      <c r="R96" s="782"/>
      <c r="S96" s="156"/>
      <c r="T96" s="156"/>
      <c r="U96" s="156"/>
      <c r="V96" s="156"/>
      <c r="W96" s="156"/>
      <c r="X96" s="156"/>
      <c r="Y96" s="156"/>
      <c r="Z96" s="156"/>
      <c r="AA96" s="156"/>
      <c r="AB96" s="156"/>
      <c r="AC96" s="156"/>
      <c r="AD96" s="156"/>
      <c r="AE96" s="156"/>
      <c r="AF96" s="156"/>
    </row>
    <row r="97" spans="1:36">
      <c r="A97" s="512"/>
      <c r="B97" s="613"/>
      <c r="C97" s="614"/>
      <c r="D97" s="373"/>
      <c r="E97" s="373"/>
      <c r="I97" s="438"/>
      <c r="J97" s="565"/>
      <c r="K97" s="532"/>
      <c r="L97" s="156"/>
      <c r="M97" s="655"/>
      <c r="N97" s="780"/>
      <c r="O97" s="780"/>
      <c r="P97" s="781"/>
      <c r="Q97" s="781"/>
      <c r="R97" s="782"/>
      <c r="S97" s="156"/>
      <c r="T97" s="156"/>
      <c r="U97" s="156"/>
      <c r="V97" s="156"/>
      <c r="W97" s="156"/>
      <c r="X97" s="156"/>
      <c r="Y97" s="156"/>
      <c r="Z97" s="156"/>
      <c r="AA97" s="156"/>
      <c r="AB97" s="156"/>
      <c r="AC97" s="156"/>
      <c r="AD97" s="156"/>
      <c r="AE97" s="156"/>
      <c r="AF97" s="156"/>
      <c r="AG97" s="612"/>
    </row>
    <row r="98" spans="1:36">
      <c r="A98" s="550" t="s">
        <v>820</v>
      </c>
      <c r="B98" s="147"/>
      <c r="C98" s="148">
        <v>2010</v>
      </c>
      <c r="D98" s="148">
        <f>C98+1</f>
        <v>2011</v>
      </c>
      <c r="E98" s="148">
        <f t="shared" ref="E98" si="139">D98+1</f>
        <v>2012</v>
      </c>
      <c r="F98" s="148">
        <f t="shared" ref="F98" si="140">E98+1</f>
        <v>2013</v>
      </c>
      <c r="G98" s="148">
        <f t="shared" ref="G98" si="141">F98+1</f>
        <v>2014</v>
      </c>
      <c r="H98" s="148">
        <f t="shared" ref="H98" si="142">G98+1</f>
        <v>2015</v>
      </c>
      <c r="I98" s="437">
        <f t="shared" ref="I98" si="143">H98+1</f>
        <v>2016</v>
      </c>
      <c r="J98" s="561">
        <f t="shared" ref="J98" si="144">I98+1</f>
        <v>2017</v>
      </c>
      <c r="K98" s="529">
        <f t="shared" ref="K98" si="145">J98+1</f>
        <v>2018</v>
      </c>
      <c r="L98" s="148">
        <f t="shared" ref="L98" si="146">K98+1</f>
        <v>2019</v>
      </c>
      <c r="M98" s="656">
        <f t="shared" ref="M98" si="147">L98+1</f>
        <v>2020</v>
      </c>
      <c r="N98" s="757">
        <f t="shared" ref="N98" si="148">M98+1</f>
        <v>2021</v>
      </c>
      <c r="O98" s="757">
        <f t="shared" ref="O98" si="149">N98+1</f>
        <v>2022</v>
      </c>
      <c r="P98" s="758">
        <f t="shared" ref="P98" si="150">O98+1</f>
        <v>2023</v>
      </c>
      <c r="Q98" s="758">
        <f t="shared" ref="Q98" si="151">P98+1</f>
        <v>2024</v>
      </c>
      <c r="R98" s="759">
        <f t="shared" ref="R98" si="152">Q98+1</f>
        <v>2025</v>
      </c>
      <c r="S98" s="572">
        <f t="shared" ref="S98" si="153">R98+1</f>
        <v>2026</v>
      </c>
      <c r="T98" s="572">
        <f t="shared" ref="T98" si="154">S98+1</f>
        <v>2027</v>
      </c>
      <c r="U98" s="572">
        <f t="shared" ref="U98" si="155">T98+1</f>
        <v>2028</v>
      </c>
      <c r="V98" s="572">
        <f t="shared" ref="V98" si="156">U98+1</f>
        <v>2029</v>
      </c>
      <c r="W98" s="572">
        <f t="shared" ref="W98" si="157">V98+1</f>
        <v>2030</v>
      </c>
      <c r="X98" s="572">
        <f t="shared" ref="X98" si="158">W98+1</f>
        <v>2031</v>
      </c>
      <c r="Y98" s="572">
        <f t="shared" ref="Y98" si="159">X98+1</f>
        <v>2032</v>
      </c>
      <c r="Z98" s="572">
        <f t="shared" ref="Z98" si="160">Y98+1</f>
        <v>2033</v>
      </c>
      <c r="AA98" s="572">
        <f t="shared" ref="AA98" si="161">Z98+1</f>
        <v>2034</v>
      </c>
      <c r="AB98" s="572">
        <f t="shared" ref="AB98" si="162">AA98+1</f>
        <v>2035</v>
      </c>
      <c r="AC98" s="572">
        <f t="shared" ref="AC98" si="163">AB98+1</f>
        <v>2036</v>
      </c>
      <c r="AD98" s="572">
        <f t="shared" ref="AD98" si="164">AC98+1</f>
        <v>2037</v>
      </c>
      <c r="AE98" s="572">
        <f t="shared" ref="AE98" si="165">AD98+1</f>
        <v>2038</v>
      </c>
      <c r="AF98" s="572">
        <f t="shared" ref="AF98" si="166">AE98+1</f>
        <v>2039</v>
      </c>
      <c r="AG98" s="231"/>
    </row>
    <row r="99" spans="1:36" ht="16">
      <c r="A99" s="147" t="s">
        <v>821</v>
      </c>
      <c r="B99" s="147"/>
      <c r="C99" s="148" t="s">
        <v>519</v>
      </c>
      <c r="D99" s="148" t="s">
        <v>520</v>
      </c>
      <c r="E99" s="148" t="s">
        <v>521</v>
      </c>
      <c r="F99" s="148" t="s">
        <v>522</v>
      </c>
      <c r="G99" s="148" t="s">
        <v>523</v>
      </c>
      <c r="H99" s="148" t="s">
        <v>524</v>
      </c>
      <c r="I99" s="437" t="s">
        <v>525</v>
      </c>
      <c r="J99" s="561" t="s">
        <v>526</v>
      </c>
      <c r="K99" s="529" t="s">
        <v>527</v>
      </c>
      <c r="L99" s="148" t="s">
        <v>528</v>
      </c>
      <c r="M99" s="656" t="s">
        <v>529</v>
      </c>
      <c r="N99" s="757" t="s">
        <v>530</v>
      </c>
      <c r="O99" s="757" t="s">
        <v>531</v>
      </c>
      <c r="P99" s="758" t="s">
        <v>532</v>
      </c>
      <c r="Q99" s="758" t="s">
        <v>533</v>
      </c>
      <c r="R99" s="759" t="s">
        <v>534</v>
      </c>
      <c r="S99" s="572" t="s">
        <v>535</v>
      </c>
      <c r="T99" s="572" t="s">
        <v>536</v>
      </c>
      <c r="U99" s="572" t="s">
        <v>537</v>
      </c>
      <c r="V99" s="572" t="s">
        <v>538</v>
      </c>
      <c r="W99" s="572" t="s">
        <v>539</v>
      </c>
      <c r="X99" s="572" t="s">
        <v>540</v>
      </c>
      <c r="Y99" s="572" t="s">
        <v>541</v>
      </c>
      <c r="Z99" s="572" t="s">
        <v>542</v>
      </c>
      <c r="AA99" s="572" t="s">
        <v>543</v>
      </c>
      <c r="AB99" s="572" t="s">
        <v>544</v>
      </c>
      <c r="AC99" s="572" t="s">
        <v>545</v>
      </c>
      <c r="AD99" s="572" t="s">
        <v>546</v>
      </c>
      <c r="AE99" s="572" t="s">
        <v>547</v>
      </c>
      <c r="AF99" s="572" t="s">
        <v>548</v>
      </c>
    </row>
    <row r="100" spans="1:36" ht="16">
      <c r="A100" s="159" t="s">
        <v>549</v>
      </c>
      <c r="B100" s="498" t="s">
        <v>640</v>
      </c>
      <c r="C100" s="387">
        <f t="shared" ref="C100:J101" si="167">C73+C87-C92</f>
        <v>442.51781046591503</v>
      </c>
      <c r="D100" s="387">
        <f t="shared" si="167"/>
        <v>755.71231660696674</v>
      </c>
      <c r="E100" s="387">
        <f t="shared" si="167"/>
        <v>1303.5971174464285</v>
      </c>
      <c r="F100" s="387">
        <f t="shared" si="167"/>
        <v>1687.8232168817756</v>
      </c>
      <c r="G100" s="387">
        <f t="shared" si="167"/>
        <v>2833.4160002082285</v>
      </c>
      <c r="H100" s="387">
        <f t="shared" si="167"/>
        <v>4619.5618372987219</v>
      </c>
      <c r="I100" s="387">
        <f t="shared" si="167"/>
        <v>6640.6182210098123</v>
      </c>
      <c r="J100" s="387">
        <f t="shared" si="167"/>
        <v>8104.3694709830061</v>
      </c>
      <c r="K100" s="698">
        <f t="shared" ref="K100:P100" si="168">K73+K87-K92</f>
        <v>11157.304405139274</v>
      </c>
      <c r="L100" s="742">
        <f t="shared" si="168"/>
        <v>11045.87643125537</v>
      </c>
      <c r="M100" s="698">
        <f t="shared" si="168"/>
        <v>11064.489307060923</v>
      </c>
      <c r="N100" s="800">
        <f t="shared" si="168"/>
        <v>12372.079448506058</v>
      </c>
      <c r="O100" s="800">
        <f t="shared" si="168"/>
        <v>13679.669589951189</v>
      </c>
      <c r="P100" s="800">
        <f t="shared" si="168"/>
        <v>14987.259731396322</v>
      </c>
      <c r="Q100" s="800">
        <f t="shared" ref="Q100:R100" si="169">Q73+Q87-Q92</f>
        <v>16294.849872841454</v>
      </c>
      <c r="R100" s="799">
        <f t="shared" si="169"/>
        <v>17602.440014286589</v>
      </c>
      <c r="S100" s="592">
        <f t="shared" ref="S100:AF100" si="170">S73+(S87*S21)-(S92*(S21-R21))</f>
        <v>31466.838110447567</v>
      </c>
      <c r="T100" s="592">
        <f t="shared" si="170"/>
        <v>34153.107464022047</v>
      </c>
      <c r="U100" s="592">
        <f t="shared" si="170"/>
        <v>36949.611734085367</v>
      </c>
      <c r="V100" s="592">
        <f t="shared" si="170"/>
        <v>39856.329482806948</v>
      </c>
      <c r="W100" s="592">
        <f t="shared" si="170"/>
        <v>42466.904700702638</v>
      </c>
      <c r="X100" s="592">
        <f t="shared" si="170"/>
        <v>45216.404628282296</v>
      </c>
      <c r="Y100" s="592">
        <f t="shared" si="170"/>
        <v>47999.285467565467</v>
      </c>
      <c r="Z100" s="592">
        <f t="shared" si="170"/>
        <v>50714.741967172013</v>
      </c>
      <c r="AA100" s="592">
        <f t="shared" si="170"/>
        <v>52694.12666689101</v>
      </c>
      <c r="AB100" s="592">
        <f t="shared" si="170"/>
        <v>53991.899792088829</v>
      </c>
      <c r="AC100" s="592">
        <f t="shared" si="170"/>
        <v>53663.50462014183</v>
      </c>
      <c r="AD100" s="592">
        <f t="shared" si="170"/>
        <v>41509.022694048159</v>
      </c>
      <c r="AE100" s="592">
        <f t="shared" si="170"/>
        <v>40302.136935374539</v>
      </c>
      <c r="AF100" s="592">
        <f t="shared" si="170"/>
        <v>40823.923724289307</v>
      </c>
      <c r="AH100" s="154">
        <f>SUM(C100:AF100)</f>
        <v>746399.42277925601</v>
      </c>
      <c r="AI100" s="178"/>
    </row>
    <row r="101" spans="1:36" ht="16">
      <c r="A101" s="184" t="s">
        <v>219</v>
      </c>
      <c r="B101" s="499" t="s">
        <v>640</v>
      </c>
      <c r="C101" s="387">
        <f t="shared" si="167"/>
        <v>53.526672137850468</v>
      </c>
      <c r="D101" s="387">
        <f t="shared" si="167"/>
        <v>110.5282209518824</v>
      </c>
      <c r="E101" s="387">
        <f t="shared" si="167"/>
        <v>210.58527863522636</v>
      </c>
      <c r="F101" s="387">
        <f t="shared" si="167"/>
        <v>281.00259424234844</v>
      </c>
      <c r="G101" s="387">
        <f t="shared" si="167"/>
        <v>460.04549670815476</v>
      </c>
      <c r="H101" s="387">
        <f t="shared" si="167"/>
        <v>847.90085132988872</v>
      </c>
      <c r="I101" s="387">
        <f t="shared" si="167"/>
        <v>1918.6168093376305</v>
      </c>
      <c r="J101" s="387">
        <f t="shared" si="167"/>
        <v>2528.118006172831</v>
      </c>
      <c r="K101" s="697">
        <f t="shared" ref="K101:P101" si="171">K74+K88-K93</f>
        <v>3730.2432251439691</v>
      </c>
      <c r="L101" s="743">
        <f t="shared" si="171"/>
        <v>4107.6792665688317</v>
      </c>
      <c r="M101" s="697">
        <f t="shared" si="171"/>
        <v>4201.6195656628988</v>
      </c>
      <c r="N101" s="802">
        <f t="shared" si="171"/>
        <v>4649.537312927152</v>
      </c>
      <c r="O101" s="802">
        <f t="shared" si="171"/>
        <v>5246.0263401914062</v>
      </c>
      <c r="P101" s="802">
        <f t="shared" si="171"/>
        <v>5842.5153674556595</v>
      </c>
      <c r="Q101" s="802">
        <f t="shared" ref="Q101:R101" si="172">Q74+Q88-Q93</f>
        <v>6439.0043947199129</v>
      </c>
      <c r="R101" s="801">
        <f t="shared" si="172"/>
        <v>7035.4934219841671</v>
      </c>
      <c r="S101" s="585">
        <f t="shared" ref="S101:AF101" si="173">S74+(S88*S22)-(S93*(S22-R22))</f>
        <v>3630.3225051950967</v>
      </c>
      <c r="T101" s="585">
        <f t="shared" si="173"/>
        <v>1573.0681911002478</v>
      </c>
      <c r="U101" s="585">
        <f t="shared" si="173"/>
        <v>1750.1632461585932</v>
      </c>
      <c r="V101" s="585">
        <f t="shared" si="173"/>
        <v>1926.6034113677849</v>
      </c>
      <c r="W101" s="585">
        <f t="shared" si="173"/>
        <v>2088.8740254867544</v>
      </c>
      <c r="X101" s="585">
        <f t="shared" si="173"/>
        <v>2252.792379093763</v>
      </c>
      <c r="Y101" s="585">
        <f t="shared" si="173"/>
        <v>2400.1985262950279</v>
      </c>
      <c r="Z101" s="585">
        <f t="shared" si="173"/>
        <v>2558.635859257186</v>
      </c>
      <c r="AA101" s="585">
        <f t="shared" si="173"/>
        <v>2684.3145200462359</v>
      </c>
      <c r="AB101" s="585">
        <f t="shared" si="173"/>
        <v>2632.6964220379241</v>
      </c>
      <c r="AC101" s="585">
        <f t="shared" si="173"/>
        <v>1881.690088800987</v>
      </c>
      <c r="AD101" s="585">
        <f t="shared" si="173"/>
        <v>-302.43912015835667</v>
      </c>
      <c r="AE101" s="585">
        <f t="shared" si="173"/>
        <v>-379.36877377992965</v>
      </c>
      <c r="AF101" s="585">
        <f t="shared" si="173"/>
        <v>-893.52923915269264</v>
      </c>
      <c r="AH101" s="154">
        <f t="shared" ref="AH101:AH102" si="174">SUM(C101:AF101)</f>
        <v>71466.464865918417</v>
      </c>
    </row>
    <row r="102" spans="1:36">
      <c r="A102" s="164"/>
      <c r="B102" s="382"/>
      <c r="C102" s="120"/>
      <c r="D102" s="120"/>
      <c r="E102" s="120"/>
      <c r="F102" s="120"/>
      <c r="G102" s="120"/>
      <c r="H102" s="120"/>
      <c r="I102" s="385"/>
      <c r="J102" s="566"/>
      <c r="K102" s="686"/>
      <c r="L102" s="744"/>
      <c r="M102" s="686"/>
      <c r="N102" s="803"/>
      <c r="O102" s="803"/>
      <c r="P102" s="803"/>
      <c r="Q102" s="767"/>
      <c r="R102" s="768"/>
      <c r="S102" s="584"/>
      <c r="T102" s="584"/>
      <c r="U102" s="584"/>
      <c r="V102" s="584"/>
      <c r="W102" s="584"/>
      <c r="X102" s="584"/>
      <c r="Y102" s="584"/>
      <c r="Z102" s="584"/>
      <c r="AA102" s="584"/>
      <c r="AB102" s="584"/>
      <c r="AC102" s="584"/>
      <c r="AD102" s="584"/>
      <c r="AE102" s="584"/>
      <c r="AF102" s="584"/>
      <c r="AH102" s="154">
        <f t="shared" si="174"/>
        <v>0</v>
      </c>
      <c r="AI102" s="178"/>
    </row>
    <row r="103" spans="1:36" ht="16">
      <c r="A103" s="184" t="s">
        <v>510</v>
      </c>
      <c r="B103" s="499" t="s">
        <v>731</v>
      </c>
      <c r="C103" s="183">
        <f>SUM(C100:C101)</f>
        <v>496.04448260376552</v>
      </c>
      <c r="D103" s="183">
        <f t="shared" ref="D103:AF103" si="175">SUM(D100:D101)</f>
        <v>866.24053755884916</v>
      </c>
      <c r="E103" s="183">
        <f t="shared" si="175"/>
        <v>1514.1823960816548</v>
      </c>
      <c r="F103" s="183">
        <f t="shared" si="175"/>
        <v>1968.8258111241239</v>
      </c>
      <c r="G103" s="183">
        <f t="shared" si="175"/>
        <v>3293.4614969163831</v>
      </c>
      <c r="H103" s="183">
        <f t="shared" si="175"/>
        <v>5467.4626886286105</v>
      </c>
      <c r="I103" s="183">
        <f t="shared" si="175"/>
        <v>8559.2350303474432</v>
      </c>
      <c r="J103" s="555">
        <f t="shared" si="175"/>
        <v>10632.487477155837</v>
      </c>
      <c r="K103" s="689">
        <f t="shared" si="175"/>
        <v>14887.547630283243</v>
      </c>
      <c r="L103" s="745">
        <f t="shared" ref="L103:P103" si="176">SUM(L100:L101)</f>
        <v>15153.555697824202</v>
      </c>
      <c r="M103" s="689">
        <f t="shared" si="176"/>
        <v>15266.108872723822</v>
      </c>
      <c r="N103" s="802">
        <f t="shared" si="176"/>
        <v>17021.616761433208</v>
      </c>
      <c r="O103" s="802">
        <f t="shared" si="176"/>
        <v>18925.695930142596</v>
      </c>
      <c r="P103" s="802">
        <f t="shared" si="176"/>
        <v>20829.77509885198</v>
      </c>
      <c r="Q103" s="775">
        <f t="shared" si="175"/>
        <v>22733.854267561368</v>
      </c>
      <c r="R103" s="776">
        <f t="shared" si="175"/>
        <v>24637.933436270756</v>
      </c>
      <c r="S103" s="585">
        <f t="shared" si="175"/>
        <v>35097.160615642664</v>
      </c>
      <c r="T103" s="585">
        <f t="shared" si="175"/>
        <v>35726.175655122293</v>
      </c>
      <c r="U103" s="585">
        <f t="shared" si="175"/>
        <v>38699.774980243958</v>
      </c>
      <c r="V103" s="585">
        <f t="shared" si="175"/>
        <v>41782.93289417473</v>
      </c>
      <c r="W103" s="585">
        <f t="shared" si="175"/>
        <v>44555.77872618939</v>
      </c>
      <c r="X103" s="585">
        <f t="shared" si="175"/>
        <v>47469.19700737606</v>
      </c>
      <c r="Y103" s="585">
        <f t="shared" si="175"/>
        <v>50399.483993860493</v>
      </c>
      <c r="Z103" s="585">
        <f t="shared" si="175"/>
        <v>53273.377826429198</v>
      </c>
      <c r="AA103" s="585">
        <f t="shared" si="175"/>
        <v>55378.441186937249</v>
      </c>
      <c r="AB103" s="585">
        <f t="shared" si="175"/>
        <v>56624.596214126752</v>
      </c>
      <c r="AC103" s="585">
        <f t="shared" si="175"/>
        <v>55545.194708942814</v>
      </c>
      <c r="AD103" s="585">
        <f t="shared" si="175"/>
        <v>41206.583573889802</v>
      </c>
      <c r="AE103" s="585">
        <f t="shared" si="175"/>
        <v>39922.768161594613</v>
      </c>
      <c r="AF103" s="585">
        <f t="shared" si="175"/>
        <v>39930.394485136618</v>
      </c>
      <c r="AG103" s="369"/>
      <c r="AH103" s="154"/>
      <c r="AI103" s="178"/>
    </row>
    <row r="104" spans="1:36">
      <c r="A104" s="176"/>
      <c r="B104" s="382"/>
      <c r="C104" s="385"/>
      <c r="D104" s="385"/>
      <c r="E104" s="385"/>
      <c r="F104" s="385"/>
      <c r="G104" s="385"/>
      <c r="H104" s="385"/>
      <c r="I104" s="385"/>
      <c r="J104" s="474"/>
      <c r="K104" s="686"/>
      <c r="L104" s="744"/>
      <c r="M104" s="686"/>
      <c r="N104" s="803"/>
      <c r="O104" s="803"/>
      <c r="P104" s="803"/>
      <c r="Q104" s="767"/>
      <c r="R104" s="768"/>
      <c r="S104" s="579"/>
      <c r="T104" s="579"/>
      <c r="U104" s="579"/>
      <c r="V104" s="579"/>
      <c r="W104" s="579"/>
      <c r="X104" s="579"/>
      <c r="Y104" s="579"/>
      <c r="Z104" s="579"/>
      <c r="AA104" s="579"/>
      <c r="AB104" s="579"/>
      <c r="AC104" s="579"/>
      <c r="AD104" s="579"/>
      <c r="AE104" s="579"/>
      <c r="AF104" s="579"/>
      <c r="AG104" s="374"/>
      <c r="AH104" s="154"/>
      <c r="AI104" s="178"/>
    </row>
    <row r="105" spans="1:36">
      <c r="A105" s="550" t="s">
        <v>825</v>
      </c>
      <c r="B105" s="497"/>
      <c r="C105" s="127"/>
      <c r="D105" s="127"/>
      <c r="E105" s="127"/>
      <c r="F105" s="124"/>
      <c r="G105" s="124"/>
      <c r="H105" s="124"/>
      <c r="I105" s="319"/>
      <c r="J105" s="567"/>
      <c r="K105" s="716"/>
      <c r="L105" s="746"/>
      <c r="M105" s="716"/>
      <c r="N105" s="804"/>
      <c r="O105" s="804"/>
      <c r="P105" s="804"/>
      <c r="Q105" s="805"/>
      <c r="R105" s="806"/>
      <c r="S105" s="594"/>
      <c r="T105" s="594"/>
      <c r="U105" s="594"/>
      <c r="V105" s="594"/>
      <c r="W105" s="594"/>
      <c r="X105" s="594"/>
      <c r="Y105" s="594"/>
      <c r="Z105" s="594"/>
      <c r="AA105" s="594"/>
      <c r="AB105" s="594"/>
      <c r="AC105" s="594"/>
      <c r="AD105" s="594"/>
      <c r="AE105" s="594"/>
      <c r="AF105" s="594"/>
      <c r="AH105" s="179">
        <f>SUM(AH100:AH102)</f>
        <v>817865.8876451744</v>
      </c>
      <c r="AI105" s="173" t="s">
        <v>565</v>
      </c>
    </row>
    <row r="106" spans="1:36" ht="16">
      <c r="A106" s="184" t="s">
        <v>549</v>
      </c>
      <c r="B106" s="499" t="s">
        <v>639</v>
      </c>
      <c r="C106" s="183">
        <f>SUM(C100)</f>
        <v>442.51781046591503</v>
      </c>
      <c r="D106" s="183">
        <f>SUM($C$100:D100)</f>
        <v>1198.2301270728817</v>
      </c>
      <c r="E106" s="183">
        <f>SUM($C$100:E100)</f>
        <v>2501.8272445193102</v>
      </c>
      <c r="F106" s="183">
        <f>SUM($C$100:F100)</f>
        <v>4189.6504614010855</v>
      </c>
      <c r="G106" s="183">
        <f>SUM($C$100:G100)</f>
        <v>7023.0664616093145</v>
      </c>
      <c r="H106" s="183">
        <f>SUM($C$100:H100)</f>
        <v>11642.628298908036</v>
      </c>
      <c r="I106" s="183">
        <f>SUM($C$100:I100)</f>
        <v>18283.246519917848</v>
      </c>
      <c r="J106" s="555">
        <f>SUM($C$100:J100)</f>
        <v>26387.615990900853</v>
      </c>
      <c r="K106" s="689">
        <f>SUM($C$100:K100)</f>
        <v>37544.920396040128</v>
      </c>
      <c r="L106" s="745">
        <f>SUM($C$100:L100)</f>
        <v>48590.796827295497</v>
      </c>
      <c r="M106" s="689">
        <f>SUM($C$100:M100)</f>
        <v>59655.286134356422</v>
      </c>
      <c r="N106" s="802">
        <f>SUM($C$100:N100)</f>
        <v>72027.365582862476</v>
      </c>
      <c r="O106" s="802">
        <f>SUM($C$100:O100)</f>
        <v>85707.035172813659</v>
      </c>
      <c r="P106" s="802">
        <f>SUM($C$100:P100)</f>
        <v>100694.29490420998</v>
      </c>
      <c r="Q106" s="775">
        <f>SUM($C$100:Q100)</f>
        <v>116989.14477705144</v>
      </c>
      <c r="R106" s="776">
        <f>SUM($C$100:R100)</f>
        <v>134591.58479133801</v>
      </c>
      <c r="S106" s="585">
        <f>SUM($C$100:S100)</f>
        <v>166058.42290178558</v>
      </c>
      <c r="T106" s="585">
        <f>SUM($C$100:T100)</f>
        <v>200211.53036580764</v>
      </c>
      <c r="U106" s="585">
        <f>SUM($C$100:U100)</f>
        <v>237161.14209989301</v>
      </c>
      <c r="V106" s="585">
        <f>SUM($C$100:V100)</f>
        <v>277017.47158269997</v>
      </c>
      <c r="W106" s="585">
        <f>SUM($C$100:W100)</f>
        <v>319484.37628340261</v>
      </c>
      <c r="X106" s="585">
        <f>SUM($C$100:X100)</f>
        <v>364700.78091168491</v>
      </c>
      <c r="Y106" s="585">
        <f>SUM($C$100:Y100)</f>
        <v>412700.06637925038</v>
      </c>
      <c r="Z106" s="585">
        <f>SUM($C$100:Z100)</f>
        <v>463414.80834642239</v>
      </c>
      <c r="AA106" s="585">
        <f>SUM($C$100:AA100)</f>
        <v>516108.93501331343</v>
      </c>
      <c r="AB106" s="585">
        <f>SUM($C$100:AB100)</f>
        <v>570100.83480540221</v>
      </c>
      <c r="AC106" s="585">
        <f>SUM($C$100:AC100)</f>
        <v>623764.33942554402</v>
      </c>
      <c r="AD106" s="585">
        <f>SUM($C$100:AD100)</f>
        <v>665273.36211959214</v>
      </c>
      <c r="AE106" s="585">
        <f>SUM($C$100:AE100)</f>
        <v>705575.49905496673</v>
      </c>
      <c r="AF106" s="585">
        <f>SUM($C$100:AF100)</f>
        <v>746399.42277925601</v>
      </c>
    </row>
    <row r="107" spans="1:36" ht="16">
      <c r="A107" s="184" t="s">
        <v>219</v>
      </c>
      <c r="B107" s="499" t="s">
        <v>639</v>
      </c>
      <c r="C107" s="183">
        <f>SUM(C101)</f>
        <v>53.526672137850468</v>
      </c>
      <c r="D107" s="183">
        <f>SUM($C$101:D101)</f>
        <v>164.05489308973287</v>
      </c>
      <c r="E107" s="183">
        <f>SUM($C$101:E101)</f>
        <v>374.64017172495926</v>
      </c>
      <c r="F107" s="183">
        <f>SUM($C$101:F101)</f>
        <v>655.6427659673077</v>
      </c>
      <c r="G107" s="183">
        <f>SUM($C$101:G101)</f>
        <v>1115.6882626754625</v>
      </c>
      <c r="H107" s="183">
        <f>SUM($C$101:H101)</f>
        <v>1963.5891140053513</v>
      </c>
      <c r="I107" s="183">
        <f>SUM($C$101:I101)</f>
        <v>3882.2059233429818</v>
      </c>
      <c r="J107" s="555">
        <f>SUM($C$101:J101)</f>
        <v>6410.3239295158128</v>
      </c>
      <c r="K107" s="689">
        <f>SUM($C$101:K101)</f>
        <v>10140.567154659782</v>
      </c>
      <c r="L107" s="745">
        <f>SUM($C$101:L101)</f>
        <v>14248.246421228614</v>
      </c>
      <c r="M107" s="689">
        <f>SUM($C$101:M101)</f>
        <v>18449.865986891513</v>
      </c>
      <c r="N107" s="802">
        <f>SUM($C$101:N101)</f>
        <v>23099.403299818667</v>
      </c>
      <c r="O107" s="802">
        <f>SUM($C$101:O101)</f>
        <v>28345.429640010072</v>
      </c>
      <c r="P107" s="802">
        <f>SUM($C$101:P101)</f>
        <v>34187.945007465729</v>
      </c>
      <c r="Q107" s="775">
        <f>SUM($C$101:Q101)</f>
        <v>40626.949402185644</v>
      </c>
      <c r="R107" s="776">
        <f>SUM($C$101:R101)</f>
        <v>47662.442824169812</v>
      </c>
      <c r="S107" s="585">
        <f>SUM($C$101:S101)</f>
        <v>51292.765329364905</v>
      </c>
      <c r="T107" s="585">
        <f>SUM($C$101:T101)</f>
        <v>52865.833520465152</v>
      </c>
      <c r="U107" s="585">
        <f>SUM($C$101:U101)</f>
        <v>54615.996766623743</v>
      </c>
      <c r="V107" s="585">
        <f>SUM($C$101:V101)</f>
        <v>56542.600177991524</v>
      </c>
      <c r="W107" s="585">
        <f>SUM($C$101:W101)</f>
        <v>58631.474203478276</v>
      </c>
      <c r="X107" s="585">
        <f>SUM($C$101:X101)</f>
        <v>60884.26658257204</v>
      </c>
      <c r="Y107" s="585">
        <f>SUM($C$101:Y101)</f>
        <v>63284.465108867065</v>
      </c>
      <c r="Z107" s="585">
        <f>SUM($C$101:Z101)</f>
        <v>65843.100968124258</v>
      </c>
      <c r="AA107" s="585">
        <f>SUM($C$101:AA101)</f>
        <v>68527.415488170489</v>
      </c>
      <c r="AB107" s="585">
        <f>SUM($C$101:AB101)</f>
        <v>71160.111910208419</v>
      </c>
      <c r="AC107" s="585">
        <f>SUM($C$101:AC101)</f>
        <v>73041.801999009404</v>
      </c>
      <c r="AD107" s="585">
        <f>SUM($C$101:AD101)</f>
        <v>72739.36287885104</v>
      </c>
      <c r="AE107" s="585">
        <f>SUM($C$101:AE101)</f>
        <v>72359.994105071106</v>
      </c>
      <c r="AF107" s="585">
        <f>SUM($C$101:AF101)</f>
        <v>71466.464865918417</v>
      </c>
    </row>
    <row r="108" spans="1:36">
      <c r="A108" s="164"/>
      <c r="B108" s="382"/>
      <c r="C108" s="120"/>
      <c r="D108" s="120"/>
      <c r="E108" s="120"/>
      <c r="F108" s="120"/>
      <c r="G108" s="120"/>
      <c r="H108" s="120"/>
      <c r="I108" s="385"/>
      <c r="J108" s="566"/>
      <c r="K108" s="686"/>
      <c r="L108" s="720"/>
      <c r="M108" s="686"/>
      <c r="N108" s="803"/>
      <c r="O108" s="803"/>
      <c r="P108" s="803"/>
      <c r="Q108" s="767"/>
      <c r="R108" s="768"/>
      <c r="S108" s="584"/>
      <c r="T108" s="584"/>
      <c r="U108" s="584"/>
      <c r="V108" s="584"/>
      <c r="W108" s="584"/>
      <c r="X108" s="584"/>
      <c r="Y108" s="584"/>
      <c r="Z108" s="584"/>
      <c r="AA108" s="584"/>
      <c r="AB108" s="584"/>
      <c r="AC108" s="584"/>
      <c r="AD108" s="584"/>
      <c r="AE108" s="584"/>
      <c r="AF108" s="584"/>
    </row>
    <row r="109" spans="1:36" ht="16">
      <c r="A109" s="184" t="s">
        <v>510</v>
      </c>
      <c r="B109" s="499" t="s">
        <v>638</v>
      </c>
      <c r="C109" s="194">
        <f>SUM(C106:C107)</f>
        <v>496.04448260376552</v>
      </c>
      <c r="D109" s="194">
        <f>SUM(D106:D107)</f>
        <v>1362.2850201626145</v>
      </c>
      <c r="E109" s="194">
        <f t="shared" ref="E109:J109" si="177">SUM(E106:E107)</f>
        <v>2876.4674162442693</v>
      </c>
      <c r="F109" s="194">
        <f t="shared" si="177"/>
        <v>4845.2932273683928</v>
      </c>
      <c r="G109" s="194">
        <f t="shared" si="177"/>
        <v>8138.7547242847768</v>
      </c>
      <c r="H109" s="194">
        <f t="shared" si="177"/>
        <v>13606.217412913387</v>
      </c>
      <c r="I109" s="545">
        <f t="shared" si="177"/>
        <v>22165.45244326083</v>
      </c>
      <c r="J109" s="194">
        <f t="shared" si="177"/>
        <v>32797.939920416669</v>
      </c>
      <c r="K109" s="706">
        <f t="shared" ref="K109:AF109" si="178">SUM(K106:K108)</f>
        <v>47685.487550699909</v>
      </c>
      <c r="L109" s="722">
        <f t="shared" si="178"/>
        <v>62839.043248524111</v>
      </c>
      <c r="M109" s="707">
        <f t="shared" si="178"/>
        <v>78105.152121247927</v>
      </c>
      <c r="N109" s="808">
        <f t="shared" si="178"/>
        <v>95126.76888268115</v>
      </c>
      <c r="O109" s="808">
        <f t="shared" si="178"/>
        <v>114052.46481282373</v>
      </c>
      <c r="P109" s="808">
        <f t="shared" si="178"/>
        <v>134882.23991167572</v>
      </c>
      <c r="Q109" s="808">
        <f t="shared" si="178"/>
        <v>157616.09417923709</v>
      </c>
      <c r="R109" s="807">
        <f t="shared" si="178"/>
        <v>182254.02761550783</v>
      </c>
      <c r="S109" s="595">
        <f t="shared" si="178"/>
        <v>217351.1882311505</v>
      </c>
      <c r="T109" s="595">
        <f t="shared" si="178"/>
        <v>253077.3638862728</v>
      </c>
      <c r="U109" s="595">
        <f t="shared" si="178"/>
        <v>291777.13886651676</v>
      </c>
      <c r="V109" s="595">
        <f t="shared" si="178"/>
        <v>333560.07176069147</v>
      </c>
      <c r="W109" s="595">
        <f t="shared" si="178"/>
        <v>378115.85048688087</v>
      </c>
      <c r="X109" s="595">
        <f t="shared" si="178"/>
        <v>425585.04749425693</v>
      </c>
      <c r="Y109" s="595">
        <f t="shared" si="178"/>
        <v>475984.53148811741</v>
      </c>
      <c r="Z109" s="595">
        <f t="shared" si="178"/>
        <v>529257.90931454662</v>
      </c>
      <c r="AA109" s="595">
        <f t="shared" si="178"/>
        <v>584636.35050148389</v>
      </c>
      <c r="AB109" s="595">
        <f t="shared" si="178"/>
        <v>641260.94671561057</v>
      </c>
      <c r="AC109" s="595">
        <f t="shared" si="178"/>
        <v>696806.14142455347</v>
      </c>
      <c r="AD109" s="596">
        <f t="shared" si="178"/>
        <v>738012.72499844315</v>
      </c>
      <c r="AE109" s="596">
        <f t="shared" si="178"/>
        <v>777935.49316003779</v>
      </c>
      <c r="AF109" s="595">
        <f t="shared" si="178"/>
        <v>817865.8876451744</v>
      </c>
      <c r="AH109" s="172">
        <f>AF109</f>
        <v>817865.8876451744</v>
      </c>
      <c r="AI109" s="173" t="s">
        <v>565</v>
      </c>
      <c r="AJ109" s="173"/>
    </row>
    <row r="110" spans="1:36">
      <c r="A110" s="135"/>
      <c r="I110" s="461"/>
      <c r="K110" s="461"/>
      <c r="AD110" s="195"/>
      <c r="AE110" s="195"/>
    </row>
    <row r="111" spans="1:36" ht="16" thickBot="1">
      <c r="C111" s="427"/>
      <c r="H111" s="615" t="s">
        <v>831</v>
      </c>
      <c r="I111" s="616">
        <v>24857</v>
      </c>
      <c r="J111" s="598" t="s">
        <v>827</v>
      </c>
      <c r="K111" s="599">
        <f>K109-I112</f>
        <v>44993.939993960739</v>
      </c>
      <c r="L111" s="600"/>
      <c r="M111" s="601"/>
      <c r="N111" s="601"/>
      <c r="AE111" s="353"/>
      <c r="AF111" s="354"/>
    </row>
    <row r="112" spans="1:36">
      <c r="C112" s="123"/>
      <c r="D112" s="123"/>
      <c r="E112" s="123"/>
      <c r="F112" s="123"/>
      <c r="G112" s="123"/>
      <c r="H112" s="617" t="s">
        <v>838</v>
      </c>
      <c r="I112" s="616">
        <f>I111-I109</f>
        <v>2691.5475567391695</v>
      </c>
      <c r="J112" s="608" t="s">
        <v>837</v>
      </c>
      <c r="K112" s="608">
        <f>SUM(J103:K103)</f>
        <v>25520.035107439078</v>
      </c>
      <c r="M112" s="724" t="s">
        <v>875</v>
      </c>
      <c r="N112" s="717">
        <f>K109-46011</f>
        <v>1674.4875506999088</v>
      </c>
      <c r="O112" s="123" t="s">
        <v>890</v>
      </c>
      <c r="P112" s="123"/>
      <c r="Q112" s="123">
        <f>L103/$N$113</f>
        <v>0.49814999316250524</v>
      </c>
      <c r="R112" s="840">
        <f>L103</f>
        <v>15153.555697824202</v>
      </c>
      <c r="S112" s="841">
        <f>M103</f>
        <v>15266.108872723822</v>
      </c>
      <c r="T112" s="833"/>
      <c r="U112" s="123"/>
      <c r="V112" s="123"/>
      <c r="W112" s="123"/>
      <c r="X112" s="123"/>
      <c r="Y112" s="123"/>
      <c r="Z112" s="123"/>
      <c r="AA112" s="123"/>
      <c r="AB112" s="123"/>
      <c r="AC112" s="123"/>
      <c r="AD112" s="123"/>
      <c r="AE112" s="123"/>
      <c r="AF112" s="123"/>
    </row>
    <row r="113" spans="1:20">
      <c r="G113" s="632"/>
      <c r="H113" s="632"/>
      <c r="I113" s="632"/>
      <c r="J113" s="633" t="s">
        <v>843</v>
      </c>
      <c r="K113" s="622">
        <f>K112-I112</f>
        <v>22828.487550699909</v>
      </c>
      <c r="L113" s="651"/>
      <c r="M113" s="373" t="s">
        <v>876</v>
      </c>
      <c r="N113" s="723">
        <f>SUM(L103:M103)</f>
        <v>30419.664570548026</v>
      </c>
      <c r="O113" s="373" t="s">
        <v>889</v>
      </c>
      <c r="P113" s="123">
        <f>SUM(N103:R103)</f>
        <v>104148.87549425992</v>
      </c>
      <c r="R113" s="834">
        <v>30419.664570548026</v>
      </c>
      <c r="S113" s="438"/>
      <c r="T113" s="835"/>
    </row>
    <row r="114" spans="1:20">
      <c r="A114"/>
      <c r="B114"/>
      <c r="C114"/>
      <c r="D114"/>
      <c r="E114"/>
      <c r="F114"/>
      <c r="I114" s="634"/>
      <c r="J114" s="635"/>
      <c r="K114" s="608"/>
      <c r="L114" s="610"/>
      <c r="M114" s="429" t="s">
        <v>877</v>
      </c>
      <c r="N114" s="734">
        <f>SUM(N112:N113)</f>
        <v>32094.152121247935</v>
      </c>
      <c r="O114" s="429" t="s">
        <v>877</v>
      </c>
      <c r="P114" s="821">
        <f>P113+N114</f>
        <v>136243.02761550786</v>
      </c>
      <c r="R114" s="836"/>
      <c r="S114" s="438"/>
      <c r="T114" s="835"/>
    </row>
    <row r="115" spans="1:20">
      <c r="A115"/>
      <c r="B115"/>
      <c r="C115"/>
      <c r="D115"/>
      <c r="E115"/>
      <c r="F115"/>
      <c r="J115" s="601"/>
      <c r="K115" s="599">
        <f>K114*(1-0.2)</f>
        <v>0</v>
      </c>
      <c r="L115" s="609"/>
      <c r="M115" s="601"/>
      <c r="N115" s="601"/>
      <c r="R115" s="834">
        <f>R112/$R$113</f>
        <v>0.49814999316250524</v>
      </c>
      <c r="S115" s="438">
        <f>S112/$R$113</f>
        <v>0.5018500068374947</v>
      </c>
      <c r="T115" s="835"/>
    </row>
    <row r="116" spans="1:20" ht="16" thickBot="1">
      <c r="A116"/>
      <c r="B116"/>
      <c r="C116" s="148">
        <v>2010</v>
      </c>
      <c r="D116" s="148">
        <f>C116+1</f>
        <v>2011</v>
      </c>
      <c r="E116" s="148">
        <f t="shared" ref="E116" si="179">D116+1</f>
        <v>2012</v>
      </c>
      <c r="F116" s="148">
        <f t="shared" ref="F116" si="180">E116+1</f>
        <v>2013</v>
      </c>
      <c r="G116" s="148">
        <f t="shared" ref="G116" si="181">F116+1</f>
        <v>2014</v>
      </c>
      <c r="H116" s="148">
        <f t="shared" ref="H116" si="182">G116+1</f>
        <v>2015</v>
      </c>
      <c r="I116" s="437">
        <f t="shared" ref="I116" si="183">H116+1</f>
        <v>2016</v>
      </c>
      <c r="J116" s="561">
        <f t="shared" ref="J116" si="184">I116+1</f>
        <v>2017</v>
      </c>
      <c r="K116" s="529">
        <f t="shared" ref="K116:M116" si="185">J116+1</f>
        <v>2018</v>
      </c>
      <c r="L116" s="529">
        <f t="shared" si="185"/>
        <v>2019</v>
      </c>
      <c r="M116" s="529">
        <f t="shared" si="185"/>
        <v>2020</v>
      </c>
      <c r="N116" s="602">
        <f>M116*20</f>
        <v>40400</v>
      </c>
      <c r="R116" s="837">
        <f>N114*R115</f>
        <v>15987.701659756061</v>
      </c>
      <c r="S116" s="838">
        <f>S115*N114</f>
        <v>16106.450461491871</v>
      </c>
      <c r="T116" s="839">
        <f>SUM(R116:S116)</f>
        <v>32094.152121247935</v>
      </c>
    </row>
    <row r="117" spans="1:20">
      <c r="A117"/>
      <c r="B117" s="138" t="s">
        <v>839</v>
      </c>
      <c r="C117" s="629">
        <f>SUM(C87:C88)/C103</f>
        <v>6.3365284974064547E-3</v>
      </c>
      <c r="D117" s="629">
        <f t="shared" ref="D117:M117" si="186">SUM(D87:D88)/D103</f>
        <v>6.5299299152410317E-3</v>
      </c>
      <c r="E117" s="629">
        <f t="shared" si="186"/>
        <v>6.0945497873179282E-3</v>
      </c>
      <c r="F117" s="629">
        <f t="shared" si="186"/>
        <v>6.4179679728931481E-3</v>
      </c>
      <c r="G117" s="629">
        <f t="shared" si="186"/>
        <v>6.3382189284874393E-3</v>
      </c>
      <c r="H117" s="629">
        <f t="shared" si="186"/>
        <v>7.2320200889963316E-3</v>
      </c>
      <c r="I117" s="629">
        <f t="shared" si="186"/>
        <v>1.0833982204159175E-2</v>
      </c>
      <c r="J117" s="629">
        <f t="shared" si="186"/>
        <v>2.2627188653351268E-2</v>
      </c>
      <c r="K117" s="629">
        <f t="shared" si="186"/>
        <v>1.7201590642039664E-2</v>
      </c>
      <c r="L117" s="629">
        <f t="shared" si="186"/>
        <v>1.8536169635772742E-2</v>
      </c>
      <c r="M117" s="629">
        <f t="shared" si="186"/>
        <v>1.8404537878149517E-2</v>
      </c>
    </row>
    <row r="118" spans="1:20">
      <c r="A118"/>
      <c r="B118" s="138" t="s">
        <v>840</v>
      </c>
      <c r="C118" s="629">
        <f>SUM(C92:C93)/C103</f>
        <v>1.0193601939604804E-2</v>
      </c>
      <c r="D118" s="629">
        <f t="shared" ref="D118:M118" si="187">SUM(D92:D93)/D103</f>
        <v>4.601142323853934E-3</v>
      </c>
      <c r="E118" s="629">
        <f t="shared" si="187"/>
        <v>5.686823477992437E-3</v>
      </c>
      <c r="F118" s="629">
        <f t="shared" si="187"/>
        <v>2.4980221064817977E-3</v>
      </c>
      <c r="G118" s="629">
        <f t="shared" si="187"/>
        <v>3.9434854824202904E-3</v>
      </c>
      <c r="H118" s="629">
        <f t="shared" si="187"/>
        <v>9.708007356025233E-3</v>
      </c>
      <c r="I118" s="629">
        <f t="shared" si="187"/>
        <v>2.3300390664924238E-2</v>
      </c>
      <c r="J118" s="629">
        <f t="shared" si="187"/>
        <v>4.4255879069783871E-2</v>
      </c>
      <c r="K118" s="629">
        <f t="shared" si="187"/>
        <v>7.3922718995126703E-4</v>
      </c>
      <c r="L118" s="629">
        <f t="shared" si="187"/>
        <v>5.9869553660614775E-3</v>
      </c>
      <c r="M118" s="629">
        <f t="shared" si="187"/>
        <v>9.7418406510775194E-6</v>
      </c>
    </row>
    <row r="119" spans="1:20">
      <c r="A119"/>
      <c r="B119"/>
      <c r="C119" s="630">
        <f>SUM(C117:C118)</f>
        <v>1.6530130437011258E-2</v>
      </c>
      <c r="D119" s="630">
        <f t="shared" ref="D119:M119" si="188">SUM(D117:D118)</f>
        <v>1.1131072239094965E-2</v>
      </c>
      <c r="E119" s="630">
        <f t="shared" si="188"/>
        <v>1.1781373265310365E-2</v>
      </c>
      <c r="F119" s="630">
        <f t="shared" si="188"/>
        <v>8.9159900793749462E-3</v>
      </c>
      <c r="G119" s="630">
        <f t="shared" si="188"/>
        <v>1.0281704410907731E-2</v>
      </c>
      <c r="H119" s="630">
        <f t="shared" si="188"/>
        <v>1.6940027445021565E-2</v>
      </c>
      <c r="I119" s="630">
        <f t="shared" si="188"/>
        <v>3.4134372869083413E-2</v>
      </c>
      <c r="J119" s="630">
        <f t="shared" si="188"/>
        <v>6.6883067723135139E-2</v>
      </c>
      <c r="K119" s="630">
        <f t="shared" si="188"/>
        <v>1.7940817831990932E-2</v>
      </c>
      <c r="L119" s="630">
        <f t="shared" si="188"/>
        <v>2.452312500183422E-2</v>
      </c>
      <c r="M119" s="630">
        <f t="shared" si="188"/>
        <v>1.8414279718800594E-2</v>
      </c>
      <c r="O119" s="658"/>
    </row>
    <row r="120" spans="1:20">
      <c r="A120"/>
      <c r="B120"/>
      <c r="C120"/>
      <c r="D120"/>
      <c r="E120"/>
      <c r="F120"/>
      <c r="M120" s="532"/>
    </row>
    <row r="121" spans="1:20">
      <c r="A121"/>
      <c r="B121"/>
      <c r="C121"/>
      <c r="D121"/>
      <c r="E121"/>
      <c r="F121"/>
    </row>
    <row r="122" spans="1:20">
      <c r="A122"/>
      <c r="B122"/>
      <c r="C122"/>
      <c r="D122"/>
      <c r="E122"/>
      <c r="F122"/>
      <c r="J122" s="822"/>
      <c r="K122" s="822"/>
      <c r="L122" s="822"/>
      <c r="M122" s="822"/>
      <c r="N122" s="823" t="s">
        <v>880</v>
      </c>
      <c r="O122" s="823" t="s">
        <v>881</v>
      </c>
      <c r="P122" s="823" t="s">
        <v>882</v>
      </c>
      <c r="Q122" s="830" t="s">
        <v>510</v>
      </c>
    </row>
    <row r="123" spans="1:20">
      <c r="A123"/>
      <c r="B123"/>
      <c r="C123"/>
      <c r="D123"/>
      <c r="E123"/>
      <c r="F123"/>
      <c r="J123" s="822"/>
      <c r="K123" s="822"/>
      <c r="L123" s="822"/>
      <c r="M123" s="824" t="s">
        <v>892</v>
      </c>
      <c r="N123" s="825">
        <f>SUM(K92:K93)</f>
        <v>11.005279999999926</v>
      </c>
      <c r="O123" s="825">
        <f>SUM(N112)</f>
        <v>1674.4875506999088</v>
      </c>
      <c r="P123" s="826">
        <f>O123-N123</f>
        <v>1663.4822706999089</v>
      </c>
    </row>
    <row r="124" spans="1:20" ht="16">
      <c r="A124"/>
      <c r="B124"/>
      <c r="C124"/>
      <c r="D124"/>
      <c r="E124"/>
      <c r="F124"/>
      <c r="J124" s="822"/>
      <c r="K124" s="822"/>
      <c r="L124" s="822"/>
      <c r="M124" s="824" t="s">
        <v>891</v>
      </c>
      <c r="N124" s="827">
        <f>SUM(L92:M93)</f>
        <v>90.872381600000168</v>
      </c>
      <c r="O124" s="828">
        <f>SUM(L87:M88)+SUM(L73:M74)</f>
        <v>30510.536952148024</v>
      </c>
      <c r="P124" s="826">
        <f>O124-N124</f>
        <v>30419.664570548022</v>
      </c>
      <c r="Q124" s="831">
        <f>SUM(P123:P124)</f>
        <v>32083.14684124793</v>
      </c>
    </row>
    <row r="125" spans="1:20">
      <c r="A125"/>
      <c r="B125"/>
      <c r="C125"/>
      <c r="D125"/>
      <c r="E125"/>
      <c r="F125"/>
      <c r="J125" s="822"/>
      <c r="K125" s="822"/>
      <c r="L125" s="822"/>
      <c r="M125" s="824" t="s">
        <v>893</v>
      </c>
      <c r="N125" s="825">
        <f>SUM(N93:R93)</f>
        <v>743.60000000000014</v>
      </c>
      <c r="O125" s="825">
        <f>SUM(N73:R74)+SUM(N87:R88)</f>
        <v>104892.47549425992</v>
      </c>
      <c r="P125" s="826">
        <f>O125-N125</f>
        <v>104148.87549425992</v>
      </c>
    </row>
    <row r="126" spans="1:20">
      <c r="A126"/>
      <c r="B126"/>
      <c r="C126"/>
      <c r="D126"/>
      <c r="E126"/>
      <c r="F126"/>
      <c r="J126" s="822"/>
      <c r="K126" s="822"/>
      <c r="L126" s="822"/>
      <c r="M126" s="822"/>
      <c r="N126" s="827"/>
      <c r="O126" s="823"/>
      <c r="P126" s="829">
        <f>SUM(P123:P125)</f>
        <v>136232.02233550785</v>
      </c>
    </row>
    <row r="127" spans="1:20">
      <c r="A127"/>
      <c r="B127"/>
      <c r="C127"/>
      <c r="D127"/>
      <c r="E127"/>
      <c r="F127"/>
    </row>
    <row r="128" spans="1:20">
      <c r="A128"/>
      <c r="B128"/>
      <c r="C128"/>
      <c r="D128"/>
      <c r="E128"/>
      <c r="F128"/>
    </row>
    <row r="129" spans="1:8">
      <c r="A129"/>
      <c r="B129"/>
      <c r="C129"/>
      <c r="D129"/>
      <c r="E129"/>
      <c r="F129"/>
    </row>
    <row r="138" spans="1:8">
      <c r="B138" s="370" t="s">
        <v>888</v>
      </c>
    </row>
    <row r="140" spans="1:8">
      <c r="B140" s="370" t="s">
        <v>886</v>
      </c>
      <c r="C140" s="139">
        <v>2010</v>
      </c>
      <c r="D140" s="139">
        <f>C140+1</f>
        <v>2011</v>
      </c>
      <c r="E140" s="373">
        <f t="shared" ref="E140:H140" si="189">D140+1</f>
        <v>2012</v>
      </c>
      <c r="F140" s="373">
        <f t="shared" si="189"/>
        <v>2013</v>
      </c>
      <c r="G140" s="373">
        <f t="shared" si="189"/>
        <v>2014</v>
      </c>
      <c r="H140" s="373">
        <f t="shared" si="189"/>
        <v>2015</v>
      </c>
    </row>
    <row r="141" spans="1:8">
      <c r="B141" s="370" t="s">
        <v>884</v>
      </c>
      <c r="C141" s="210">
        <v>549.49230769230815</v>
      </c>
      <c r="D141" s="210">
        <v>385.52933646255633</v>
      </c>
      <c r="E141" s="210">
        <v>854.18093922651963</v>
      </c>
      <c r="F141" s="210">
        <v>545.38811564753394</v>
      </c>
      <c r="G141" s="210">
        <v>1530.7184814596812</v>
      </c>
      <c r="H141" s="210">
        <v>3462.7191780821922</v>
      </c>
    </row>
    <row r="142" spans="1:8">
      <c r="B142" s="370" t="s">
        <v>883</v>
      </c>
      <c r="C142" s="210">
        <v>4202</v>
      </c>
      <c r="D142" s="210">
        <v>2968.8831826164023</v>
      </c>
      <c r="E142" s="210">
        <v>5382.8732469188271</v>
      </c>
      <c r="F142" s="210">
        <v>3711.9958079552262</v>
      </c>
      <c r="G142" s="210">
        <v>10985.341558382755</v>
      </c>
      <c r="H142" s="210">
        <v>18209.219178082189</v>
      </c>
    </row>
    <row r="143" spans="1:8">
      <c r="C143" s="210"/>
      <c r="D143" s="210"/>
      <c r="E143" s="210"/>
      <c r="F143" s="210"/>
      <c r="G143" s="210"/>
      <c r="H143" s="210"/>
    </row>
    <row r="144" spans="1:8">
      <c r="B144" s="370" t="s">
        <v>885</v>
      </c>
      <c r="C144" s="373">
        <v>2010</v>
      </c>
      <c r="D144" s="373">
        <f>C144+1</f>
        <v>2011</v>
      </c>
      <c r="E144" s="373">
        <f t="shared" ref="E144:H144" si="190">D144+1</f>
        <v>2012</v>
      </c>
      <c r="F144" s="373">
        <f t="shared" si="190"/>
        <v>2013</v>
      </c>
      <c r="G144" s="373">
        <f t="shared" si="190"/>
        <v>2014</v>
      </c>
      <c r="H144" s="373">
        <f t="shared" si="190"/>
        <v>2015</v>
      </c>
    </row>
    <row r="145" spans="2:8">
      <c r="B145" s="370" t="s">
        <v>884</v>
      </c>
      <c r="C145" s="210">
        <v>549.49230769230815</v>
      </c>
      <c r="D145" s="210">
        <v>388.64615384615422</v>
      </c>
      <c r="E145" s="210">
        <v>681.30769230769295</v>
      </c>
      <c r="F145" s="210">
        <v>476.39230769230812</v>
      </c>
      <c r="G145" s="210">
        <v>1422.3769230769244</v>
      </c>
      <c r="H145" s="210">
        <v>2218.5000000000018</v>
      </c>
    </row>
    <row r="146" spans="2:8">
      <c r="B146" s="370" t="s">
        <v>883</v>
      </c>
      <c r="C146" s="753">
        <v>4202</v>
      </c>
      <c r="D146" s="753">
        <v>2972</v>
      </c>
      <c r="E146" s="753">
        <v>5210</v>
      </c>
      <c r="F146" s="753">
        <v>3643</v>
      </c>
      <c r="G146" s="753">
        <v>10877</v>
      </c>
      <c r="H146" s="753">
        <v>16965</v>
      </c>
    </row>
    <row r="149" spans="2:8">
      <c r="G149" s="138" t="s">
        <v>887</v>
      </c>
      <c r="H149" s="210">
        <f>H142-H146</f>
        <v>1244.2191780821886</v>
      </c>
    </row>
  </sheetData>
  <mergeCells count="4">
    <mergeCell ref="I14:I16"/>
    <mergeCell ref="AL3:AL4"/>
    <mergeCell ref="AM3:AM4"/>
    <mergeCell ref="C77:I77"/>
  </mergeCells>
  <phoneticPr fontId="6" type="noConversion"/>
  <pageMargins left="0.75" right="0.75" top="1" bottom="1" header="0.5" footer="0.5"/>
  <pageSetup paperSize="9" orientation="portrait" horizontalDpi="4294967292" verticalDpi="4294967292"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theme="6"/>
  </sheetPr>
  <dimension ref="A1:AY92"/>
  <sheetViews>
    <sheetView topLeftCell="J4" workbookViewId="0">
      <selection activeCell="O6" sqref="O6"/>
    </sheetView>
  </sheetViews>
  <sheetFormatPr baseColWidth="10" defaultColWidth="10.83203125" defaultRowHeight="13"/>
  <cols>
    <col min="1" max="1" width="16.5" style="33" customWidth="1"/>
    <col min="2" max="2" width="15.5" style="33" customWidth="1"/>
    <col min="3" max="3" width="13" style="33" customWidth="1"/>
    <col min="4" max="4" width="14.5" style="33" customWidth="1"/>
    <col min="5" max="5" width="16.1640625" style="33" customWidth="1"/>
    <col min="6" max="6" width="13.5" style="33" customWidth="1"/>
    <col min="7" max="7" width="14.83203125" style="33" customWidth="1"/>
    <col min="8" max="8" width="10.83203125" style="33"/>
    <col min="9" max="9" width="11.1640625" style="33" customWidth="1"/>
    <col min="10" max="10" width="10.83203125" style="33"/>
    <col min="11" max="11" width="3.83203125" style="33" customWidth="1"/>
    <col min="12" max="12" width="16.5" style="708" customWidth="1"/>
    <col min="13" max="13" width="15.5" style="708" customWidth="1"/>
    <col min="14" max="14" width="13" style="708" customWidth="1"/>
    <col min="15" max="15" width="14.5" style="708" customWidth="1"/>
    <col min="16" max="16" width="16.1640625" style="708" customWidth="1"/>
    <col min="17" max="17" width="13.5" style="708" customWidth="1"/>
    <col min="18" max="18" width="14.83203125" style="708" customWidth="1"/>
    <col min="19" max="19" width="10.83203125" style="708"/>
    <col min="20" max="20" width="11.1640625" style="708" customWidth="1"/>
    <col min="21" max="24" width="10.83203125" style="708"/>
    <col min="25" max="42" width="10.83203125" style="33"/>
    <col min="43" max="43" width="13.1640625" style="33" customWidth="1"/>
    <col min="44" max="44" width="13.5" style="33" customWidth="1"/>
    <col min="45" max="16384" width="10.83203125" style="33"/>
  </cols>
  <sheetData>
    <row r="1" spans="1:49">
      <c r="A1" s="232" t="s">
        <v>323</v>
      </c>
      <c r="B1" s="232" t="s">
        <v>304</v>
      </c>
      <c r="C1" s="232"/>
      <c r="K1" s="260"/>
      <c r="L1" s="482" t="s">
        <v>323</v>
      </c>
      <c r="M1" s="482" t="s">
        <v>304</v>
      </c>
      <c r="N1" s="482"/>
    </row>
    <row r="2" spans="1:49">
      <c r="A2" s="58" t="s">
        <v>465</v>
      </c>
      <c r="B2" s="228" t="s">
        <v>466</v>
      </c>
      <c r="C2" s="58" t="s">
        <v>467</v>
      </c>
      <c r="D2" s="58" t="s">
        <v>468</v>
      </c>
      <c r="H2" s="58"/>
      <c r="I2" s="59"/>
      <c r="J2" s="58"/>
      <c r="K2" s="260"/>
      <c r="L2" s="58" t="s">
        <v>465</v>
      </c>
      <c r="M2" s="228" t="s">
        <v>466</v>
      </c>
      <c r="N2" s="58" t="s">
        <v>467</v>
      </c>
      <c r="O2" s="58" t="s">
        <v>291</v>
      </c>
      <c r="S2" s="58"/>
      <c r="T2" s="228"/>
    </row>
    <row r="3" spans="1:49" ht="15">
      <c r="A3" s="33" t="s">
        <v>191</v>
      </c>
      <c r="B3" s="84">
        <f>'GC E. Uro'!G33</f>
        <v>2.75</v>
      </c>
      <c r="C3" s="33" t="s">
        <v>464</v>
      </c>
      <c r="D3" s="33" t="s">
        <v>197</v>
      </c>
      <c r="E3" s="1"/>
      <c r="F3" s="1"/>
      <c r="K3" s="260"/>
      <c r="L3" s="739" t="s">
        <v>878</v>
      </c>
      <c r="M3" s="478">
        <v>1.6274999999999999</v>
      </c>
      <c r="N3" s="477" t="s">
        <v>595</v>
      </c>
      <c r="O3" s="544" t="s">
        <v>848</v>
      </c>
      <c r="P3" s="480"/>
      <c r="Q3" s="480"/>
      <c r="Y3" s="1"/>
      <c r="Z3" s="1"/>
      <c r="AA3" s="1"/>
      <c r="AB3" s="1"/>
      <c r="AC3" s="1"/>
      <c r="AD3" s="1"/>
      <c r="AE3" s="1"/>
    </row>
    <row r="4" spans="1:49" ht="15">
      <c r="A4" s="33" t="s">
        <v>192</v>
      </c>
      <c r="B4" s="84">
        <f>'GC E. Uro'!G35</f>
        <v>0.75</v>
      </c>
      <c r="C4" s="33" t="s">
        <v>464</v>
      </c>
      <c r="D4" s="33" t="s">
        <v>197</v>
      </c>
      <c r="E4" s="1"/>
      <c r="F4" s="1"/>
      <c r="H4" s="229"/>
      <c r="I4" s="229"/>
      <c r="J4" s="229"/>
      <c r="K4" s="260"/>
      <c r="M4" s="84"/>
      <c r="P4" s="1"/>
      <c r="Q4" s="1"/>
      <c r="Y4" s="229"/>
      <c r="Z4" s="229"/>
      <c r="AA4" s="1"/>
      <c r="AB4" s="46"/>
      <c r="AC4" s="57"/>
      <c r="AD4" s="1"/>
    </row>
    <row r="5" spans="1:49" ht="15">
      <c r="A5" s="33" t="s">
        <v>193</v>
      </c>
      <c r="B5" s="84">
        <f>'GC E. Uro'!H33</f>
        <v>4.1500000000000004</v>
      </c>
      <c r="C5" s="33" t="s">
        <v>225</v>
      </c>
      <c r="D5" s="33" t="s">
        <v>197</v>
      </c>
      <c r="E5" s="1"/>
      <c r="F5" s="1"/>
      <c r="H5" s="229"/>
      <c r="I5" s="229"/>
      <c r="J5" s="229"/>
      <c r="K5" s="260"/>
      <c r="M5" s="84"/>
      <c r="P5" s="1"/>
      <c r="Q5" s="1"/>
      <c r="Y5" s="229"/>
      <c r="Z5" s="229"/>
      <c r="AA5" s="1"/>
      <c r="AB5" s="53"/>
      <c r="AC5" s="57"/>
      <c r="AD5" s="1"/>
      <c r="AE5" s="1"/>
      <c r="AW5" s="58"/>
    </row>
    <row r="6" spans="1:49" ht="15">
      <c r="A6" s="33" t="s">
        <v>194</v>
      </c>
      <c r="B6" s="84">
        <f>'GC E. Uro'!H35</f>
        <v>1.5</v>
      </c>
      <c r="C6" s="33" t="s">
        <v>225</v>
      </c>
      <c r="D6" s="33" t="s">
        <v>197</v>
      </c>
      <c r="E6" s="1"/>
      <c r="F6" s="1"/>
      <c r="H6" s="229"/>
      <c r="I6" s="229"/>
      <c r="J6" s="229"/>
      <c r="K6" s="260"/>
      <c r="M6" s="84"/>
      <c r="P6" s="1"/>
      <c r="Q6" s="1"/>
      <c r="U6" s="80"/>
      <c r="V6" s="80"/>
      <c r="W6" s="80"/>
      <c r="X6" s="80"/>
      <c r="Y6" s="664"/>
      <c r="Z6" s="524"/>
      <c r="AA6" s="524"/>
      <c r="AB6" s="524"/>
      <c r="AC6" s="524"/>
      <c r="AD6" s="524"/>
      <c r="AE6" s="524"/>
      <c r="AF6" s="80"/>
      <c r="AG6" s="80"/>
      <c r="AS6" s="58"/>
    </row>
    <row r="7" spans="1:49" ht="16">
      <c r="A7" s="125" t="s">
        <v>637</v>
      </c>
      <c r="B7" s="125" t="s">
        <v>614</v>
      </c>
      <c r="C7" s="125" t="s">
        <v>585</v>
      </c>
      <c r="D7" s="238" t="s">
        <v>97</v>
      </c>
      <c r="E7" s="34"/>
      <c r="F7" s="34"/>
      <c r="H7" s="229"/>
      <c r="I7" s="229"/>
      <c r="J7" s="229"/>
      <c r="K7" s="260"/>
      <c r="L7" s="125" t="s">
        <v>637</v>
      </c>
      <c r="M7" s="125" t="s">
        <v>614</v>
      </c>
      <c r="N7" s="125" t="s">
        <v>585</v>
      </c>
      <c r="O7" s="238" t="s">
        <v>97</v>
      </c>
      <c r="P7" s="34"/>
      <c r="Q7" s="34"/>
      <c r="U7" s="80"/>
      <c r="V7" s="80"/>
      <c r="W7" s="80"/>
      <c r="X7" s="80"/>
      <c r="Y7" s="664"/>
      <c r="Z7" s="80"/>
      <c r="AA7" s="80"/>
      <c r="AB7" s="80"/>
      <c r="AC7" s="80"/>
      <c r="AD7" s="80"/>
      <c r="AE7" s="80"/>
      <c r="AF7" s="80"/>
      <c r="AG7" s="80"/>
    </row>
    <row r="8" spans="1:49" ht="15">
      <c r="A8" s="33" t="s">
        <v>374</v>
      </c>
      <c r="B8" s="84">
        <v>0.5</v>
      </c>
      <c r="C8" s="33" t="s">
        <v>375</v>
      </c>
      <c r="D8" s="34" t="s">
        <v>334</v>
      </c>
      <c r="H8" s="229"/>
      <c r="I8" s="229"/>
      <c r="J8" s="229"/>
      <c r="K8" s="260"/>
      <c r="L8" s="708" t="s">
        <v>207</v>
      </c>
      <c r="M8" s="84">
        <v>0.5</v>
      </c>
      <c r="N8" s="708" t="s">
        <v>375</v>
      </c>
      <c r="O8" s="34" t="s">
        <v>334</v>
      </c>
      <c r="U8" s="80"/>
      <c r="V8" s="80"/>
      <c r="W8" s="80"/>
      <c r="X8" s="80"/>
      <c r="Y8" s="80" t="s">
        <v>617</v>
      </c>
      <c r="Z8" s="80"/>
      <c r="AA8" s="80"/>
      <c r="AB8" s="80"/>
      <c r="AC8" s="80"/>
      <c r="AD8" s="80"/>
      <c r="AE8" s="80"/>
      <c r="AF8" s="80"/>
      <c r="AG8" s="80"/>
    </row>
    <row r="9" spans="1:49">
      <c r="A9" s="33" t="s">
        <v>336</v>
      </c>
      <c r="B9" s="84">
        <v>0.2</v>
      </c>
      <c r="C9" s="33" t="s">
        <v>335</v>
      </c>
      <c r="D9" s="34" t="s">
        <v>334</v>
      </c>
      <c r="H9" s="229"/>
      <c r="I9" s="229"/>
      <c r="J9" s="229"/>
      <c r="K9" s="260"/>
      <c r="L9" s="708" t="s">
        <v>336</v>
      </c>
      <c r="M9" s="84">
        <v>0.2</v>
      </c>
      <c r="N9" s="708" t="s">
        <v>335</v>
      </c>
      <c r="O9" s="34" t="s">
        <v>334</v>
      </c>
      <c r="U9" s="80"/>
      <c r="V9" s="80"/>
      <c r="W9" s="80"/>
      <c r="X9" s="80"/>
      <c r="Y9" s="80" t="s">
        <v>593</v>
      </c>
      <c r="Z9" s="80"/>
      <c r="AA9" s="80"/>
      <c r="AB9" s="80"/>
      <c r="AC9" s="80"/>
      <c r="AD9" s="80"/>
      <c r="AE9" s="80"/>
      <c r="AF9" s="80"/>
      <c r="AG9" s="80"/>
    </row>
    <row r="10" spans="1:49">
      <c r="B10" s="91"/>
      <c r="H10" s="229"/>
      <c r="I10" s="229"/>
      <c r="J10" s="229"/>
      <c r="K10" s="260"/>
      <c r="M10" s="91"/>
      <c r="U10" s="80"/>
      <c r="V10" s="80"/>
      <c r="W10" s="80"/>
      <c r="X10" s="80"/>
      <c r="Y10" s="80"/>
      <c r="Z10" s="80"/>
      <c r="AA10" s="80"/>
      <c r="AB10" s="80"/>
      <c r="AC10" s="80"/>
      <c r="AD10" s="80"/>
      <c r="AE10" s="80"/>
      <c r="AF10" s="80"/>
      <c r="AG10" s="80"/>
    </row>
    <row r="11" spans="1:49" ht="16">
      <c r="B11" s="91"/>
      <c r="C11" s="290"/>
      <c r="D11" s="290"/>
      <c r="E11" s="290"/>
      <c r="F11" s="291" t="s">
        <v>615</v>
      </c>
      <c r="G11" s="267">
        <f>AVERAGE(G17:G47)</f>
        <v>4.7022640250420989E-3</v>
      </c>
      <c r="H11" s="229"/>
      <c r="I11" s="229"/>
      <c r="J11" s="229"/>
      <c r="K11" s="260"/>
      <c r="M11" s="91"/>
      <c r="N11" s="290"/>
      <c r="O11" s="290"/>
      <c r="P11" s="290"/>
      <c r="Q11" s="291" t="s">
        <v>615</v>
      </c>
      <c r="R11" s="267">
        <f>AVERAGE(R17:R47)</f>
        <v>4.5043835523705271E-2</v>
      </c>
      <c r="U11" s="80"/>
      <c r="V11" s="80"/>
      <c r="W11" s="80"/>
      <c r="X11" s="80"/>
      <c r="Y11" s="80"/>
      <c r="Z11" s="80"/>
      <c r="AA11" s="80"/>
      <c r="AB11" s="80"/>
      <c r="AC11" s="80"/>
      <c r="AD11" s="80"/>
      <c r="AE11" s="80"/>
      <c r="AF11" s="80"/>
      <c r="AG11" s="80"/>
      <c r="AT11" s="62"/>
    </row>
    <row r="12" spans="1:49" ht="16">
      <c r="B12" s="2"/>
      <c r="C12" s="232"/>
      <c r="D12" s="232"/>
      <c r="E12" s="232"/>
      <c r="F12" s="236" t="s">
        <v>643</v>
      </c>
      <c r="G12" s="237">
        <f>G11*B8*44/12</f>
        <v>8.6208173792438475E-3</v>
      </c>
      <c r="H12" s="229"/>
      <c r="J12" s="229"/>
      <c r="K12" s="260"/>
      <c r="M12" s="192"/>
      <c r="N12" s="482"/>
      <c r="O12" s="482"/>
      <c r="P12" s="482"/>
      <c r="Q12" s="483" t="s">
        <v>643</v>
      </c>
      <c r="R12" s="481">
        <f>R11*M8*44/12</f>
        <v>8.2580365126792996E-2</v>
      </c>
      <c r="U12" s="80"/>
      <c r="V12" s="80"/>
      <c r="W12" s="80"/>
      <c r="X12" s="80"/>
      <c r="Y12" s="80"/>
      <c r="Z12" s="80"/>
      <c r="AA12" s="80"/>
      <c r="AB12" s="80"/>
      <c r="AC12" s="80"/>
      <c r="AD12" s="80"/>
      <c r="AE12" s="80"/>
      <c r="AF12" s="80"/>
      <c r="AG12" s="80"/>
    </row>
    <row r="13" spans="1:49">
      <c r="A13" s="231"/>
      <c r="B13" s="192"/>
      <c r="C13" s="290"/>
      <c r="D13" s="290"/>
      <c r="E13" s="290"/>
      <c r="F13" s="291"/>
      <c r="G13" s="267"/>
      <c r="H13" s="231"/>
      <c r="I13" s="231"/>
      <c r="J13" s="231"/>
      <c r="K13" s="261"/>
      <c r="M13" s="192"/>
      <c r="N13" s="290"/>
      <c r="O13" s="290"/>
      <c r="P13" s="290"/>
      <c r="Q13" s="291"/>
      <c r="R13" s="267"/>
      <c r="U13" s="84"/>
      <c r="V13" s="84"/>
      <c r="W13" s="84"/>
      <c r="X13" s="84"/>
      <c r="Y13" s="84" t="s">
        <v>378</v>
      </c>
      <c r="Z13" s="84" t="s">
        <v>378</v>
      </c>
      <c r="AA13" s="84" t="s">
        <v>337</v>
      </c>
      <c r="AB13" s="84" t="s">
        <v>337</v>
      </c>
      <c r="AC13" s="84" t="s">
        <v>337</v>
      </c>
      <c r="AD13" s="84"/>
      <c r="AE13" s="84"/>
      <c r="AF13" s="80"/>
      <c r="AG13" s="80"/>
      <c r="AU13" s="3"/>
      <c r="AV13" s="3"/>
    </row>
    <row r="14" spans="1:49" ht="15">
      <c r="A14" s="58"/>
      <c r="D14" s="192" t="s">
        <v>321</v>
      </c>
      <c r="E14" s="192" t="s">
        <v>321</v>
      </c>
      <c r="F14" s="192" t="s">
        <v>337</v>
      </c>
      <c r="G14" s="234" t="s">
        <v>337</v>
      </c>
      <c r="H14" s="231"/>
      <c r="I14" s="188" t="s">
        <v>597</v>
      </c>
      <c r="J14" s="192"/>
      <c r="K14" s="261"/>
      <c r="L14" s="58"/>
      <c r="O14" s="192" t="s">
        <v>321</v>
      </c>
      <c r="P14" s="192" t="s">
        <v>321</v>
      </c>
      <c r="Q14" s="192" t="s">
        <v>337</v>
      </c>
      <c r="R14" s="732" t="s">
        <v>337</v>
      </c>
      <c r="T14" s="188" t="s">
        <v>597</v>
      </c>
      <c r="U14" s="84"/>
      <c r="V14" s="84"/>
      <c r="W14" s="84"/>
      <c r="X14" s="84"/>
      <c r="Y14" s="84" t="s">
        <v>854</v>
      </c>
      <c r="Z14" s="84" t="s">
        <v>855</v>
      </c>
      <c r="AA14" s="84" t="s">
        <v>854</v>
      </c>
      <c r="AB14" s="84" t="s">
        <v>855</v>
      </c>
      <c r="AC14" s="84" t="s">
        <v>856</v>
      </c>
      <c r="AD14" s="84"/>
      <c r="AE14" s="84"/>
      <c r="AF14" s="80"/>
      <c r="AG14" s="80"/>
      <c r="AT14" s="2"/>
      <c r="AU14" s="2"/>
      <c r="AV14" s="2"/>
    </row>
    <row r="15" spans="1:49" s="42" customFormat="1" ht="15">
      <c r="A15" s="234" t="s">
        <v>438</v>
      </c>
      <c r="B15" s="234" t="s">
        <v>439</v>
      </c>
      <c r="C15" s="2" t="s">
        <v>198</v>
      </c>
      <c r="D15" s="192" t="s">
        <v>634</v>
      </c>
      <c r="E15" s="192" t="s">
        <v>635</v>
      </c>
      <c r="F15" s="192" t="s">
        <v>634</v>
      </c>
      <c r="G15" s="234" t="s">
        <v>636</v>
      </c>
      <c r="H15" s="231"/>
      <c r="I15" s="188" t="s">
        <v>635</v>
      </c>
      <c r="J15" s="192"/>
      <c r="K15" s="262"/>
      <c r="L15" s="709" t="s">
        <v>279</v>
      </c>
      <c r="M15" s="709" t="s">
        <v>74</v>
      </c>
      <c r="N15" s="192" t="s">
        <v>198</v>
      </c>
      <c r="O15" s="192" t="s">
        <v>634</v>
      </c>
      <c r="P15" s="192" t="s">
        <v>635</v>
      </c>
      <c r="Q15" s="192" t="s">
        <v>634</v>
      </c>
      <c r="R15" s="732" t="s">
        <v>636</v>
      </c>
      <c r="S15" s="708"/>
      <c r="T15" s="188" t="s">
        <v>635</v>
      </c>
      <c r="U15" s="665"/>
      <c r="V15" s="665"/>
      <c r="W15" s="665"/>
      <c r="X15" s="665"/>
      <c r="Y15" s="665" t="s">
        <v>857</v>
      </c>
      <c r="Z15" s="665" t="s">
        <v>858</v>
      </c>
      <c r="AA15" s="665" t="s">
        <v>857</v>
      </c>
      <c r="AB15" s="665" t="s">
        <v>858</v>
      </c>
      <c r="AC15" s="665" t="s">
        <v>859</v>
      </c>
      <c r="AD15" s="665"/>
      <c r="AE15" s="665"/>
      <c r="AF15" s="666"/>
      <c r="AG15" s="666"/>
      <c r="AT15" s="29"/>
      <c r="AU15" s="29"/>
      <c r="AV15" s="29"/>
    </row>
    <row r="16" spans="1:49" ht="15">
      <c r="A16" s="235" t="s">
        <v>487</v>
      </c>
      <c r="B16" s="235" t="s">
        <v>488</v>
      </c>
      <c r="C16" s="29" t="s">
        <v>199</v>
      </c>
      <c r="D16" s="29" t="s">
        <v>591</v>
      </c>
      <c r="E16" s="29" t="s">
        <v>591</v>
      </c>
      <c r="F16" s="29" t="s">
        <v>338</v>
      </c>
      <c r="G16" s="235" t="s">
        <v>584</v>
      </c>
      <c r="H16" s="42"/>
      <c r="I16" s="250" t="s">
        <v>592</v>
      </c>
      <c r="J16" s="29"/>
      <c r="K16" s="263"/>
      <c r="L16" s="728" t="s">
        <v>176</v>
      </c>
      <c r="M16" s="728" t="s">
        <v>488</v>
      </c>
      <c r="N16" s="29" t="s">
        <v>199</v>
      </c>
      <c r="O16" s="29" t="s">
        <v>591</v>
      </c>
      <c r="P16" s="29" t="s">
        <v>591</v>
      </c>
      <c r="Q16" s="29" t="s">
        <v>333</v>
      </c>
      <c r="R16" s="733" t="s">
        <v>584</v>
      </c>
      <c r="S16" s="42"/>
      <c r="T16" s="250" t="s">
        <v>592</v>
      </c>
      <c r="U16" s="667"/>
      <c r="V16" s="667"/>
      <c r="W16" s="667"/>
      <c r="X16" s="667"/>
      <c r="Y16" s="667">
        <f t="shared" ref="Y16:Y46" si="0">E17*$B$8</f>
        <v>0</v>
      </c>
      <c r="Z16" s="668">
        <f>Y16*44/12</f>
        <v>0</v>
      </c>
      <c r="AA16" s="668">
        <f t="shared" ref="AA16:AA46" si="1">G17*$B$8</f>
        <v>0</v>
      </c>
      <c r="AB16" s="669">
        <f>AA16*44/12</f>
        <v>0</v>
      </c>
      <c r="AC16" s="670">
        <f t="shared" ref="AC16:AC46" si="2">AB16*$B$10</f>
        <v>0</v>
      </c>
      <c r="AD16" s="669"/>
      <c r="AE16" s="669"/>
      <c r="AF16" s="80"/>
      <c r="AG16" s="80"/>
      <c r="AT16" s="2"/>
      <c r="AU16" s="55"/>
      <c r="AV16" s="2"/>
    </row>
    <row r="17" spans="1:48">
      <c r="A17" s="234">
        <v>0</v>
      </c>
      <c r="B17" s="235">
        <f>'GC E. Uro'!O9</f>
        <v>0</v>
      </c>
      <c r="C17" s="29">
        <f>'GC E. Uro'!P9</f>
        <v>0</v>
      </c>
      <c r="D17" s="55">
        <f>0.119931*(B17^2.361)/1000</f>
        <v>0</v>
      </c>
      <c r="E17" s="44">
        <f t="shared" ref="E17:E47" si="3">D17*(1+$B$9)</f>
        <v>0</v>
      </c>
      <c r="F17" s="51">
        <f>D17</f>
        <v>0</v>
      </c>
      <c r="G17" s="259">
        <f t="shared" ref="G17:G47" si="4">F17*(1+$B$9)</f>
        <v>0</v>
      </c>
      <c r="H17" s="111"/>
      <c r="I17" s="111">
        <v>0</v>
      </c>
      <c r="J17" s="111"/>
      <c r="K17" s="263"/>
      <c r="L17" s="709">
        <v>0</v>
      </c>
      <c r="M17" s="740">
        <f>L17*$M$3</f>
        <v>0</v>
      </c>
      <c r="N17" s="29">
        <f>'GC E. Uro'!AA9</f>
        <v>0</v>
      </c>
      <c r="O17" s="111">
        <f>0.119931*(M17^2.361)/1000</f>
        <v>0</v>
      </c>
      <c r="P17" s="111">
        <f t="shared" ref="P17:P47" si="5">O17*(1+$B$9)</f>
        <v>0</v>
      </c>
      <c r="Q17" s="111">
        <f>O17</f>
        <v>0</v>
      </c>
      <c r="R17" s="741">
        <f t="shared" ref="R17:R47" si="6">Q17*(1+$B$9)</f>
        <v>0</v>
      </c>
      <c r="S17" s="111"/>
      <c r="T17" s="111">
        <v>0</v>
      </c>
      <c r="U17" s="667"/>
      <c r="V17" s="667"/>
      <c r="W17" s="667"/>
      <c r="X17" s="667"/>
      <c r="Y17" s="667">
        <f t="shared" si="0"/>
        <v>7.8405620365238769E-4</v>
      </c>
      <c r="Z17" s="668">
        <f t="shared" ref="Z17:Z46" si="7">Y17*44/12</f>
        <v>2.8748727467254216E-3</v>
      </c>
      <c r="AA17" s="668">
        <f t="shared" si="1"/>
        <v>7.8405620365238769E-4</v>
      </c>
      <c r="AB17" s="669">
        <f t="shared" ref="AB17:AB46" si="8">AA17*44/12</f>
        <v>2.8748727467254216E-3</v>
      </c>
      <c r="AC17" s="670">
        <f t="shared" si="2"/>
        <v>0</v>
      </c>
      <c r="AD17" s="669"/>
      <c r="AE17" s="669"/>
      <c r="AF17" s="80"/>
      <c r="AG17" s="80"/>
      <c r="AT17" s="2"/>
      <c r="AU17" s="55"/>
      <c r="AV17" s="2"/>
    </row>
    <row r="18" spans="1:48">
      <c r="A18" s="234">
        <v>1</v>
      </c>
      <c r="B18" s="235">
        <f>'GC E. Uro'!O10</f>
        <v>2.75</v>
      </c>
      <c r="C18" s="29">
        <f>'GC E. Uro'!P10</f>
        <v>4.1500000000000004</v>
      </c>
      <c r="D18" s="55">
        <f t="shared" ref="D18:D47" si="9">0.119931*(B18^2.361)/1000</f>
        <v>1.3067603394206462E-3</v>
      </c>
      <c r="E18" s="44">
        <f t="shared" si="3"/>
        <v>1.5681124073047754E-3</v>
      </c>
      <c r="F18" s="51">
        <f t="shared" ref="F18:F47" si="10">D18-D17</f>
        <v>1.3067603394206462E-3</v>
      </c>
      <c r="G18" s="259">
        <f t="shared" si="4"/>
        <v>1.5681124073047754E-3</v>
      </c>
      <c r="H18" s="111"/>
      <c r="I18" s="111">
        <f>0.0047*A18-0.0047</f>
        <v>0</v>
      </c>
      <c r="J18" s="111"/>
      <c r="K18" s="263"/>
      <c r="L18" s="709">
        <v>1</v>
      </c>
      <c r="M18" s="740">
        <f t="shared" ref="M18:M47" si="11">L18*$M$3</f>
        <v>1.6274999999999999</v>
      </c>
      <c r="N18" s="29">
        <f>'GC E. Uro'!AA10</f>
        <v>4.1002911869873938E-4</v>
      </c>
      <c r="O18" s="111">
        <f t="shared" ref="O18:O47" si="12">0.119931*(M18^2.361)/1000</f>
        <v>3.7873246053720603E-4</v>
      </c>
      <c r="P18" s="111">
        <f t="shared" si="5"/>
        <v>4.5447895264464722E-4</v>
      </c>
      <c r="Q18" s="111">
        <f t="shared" ref="Q18:Q47" si="13">O18-O17</f>
        <v>3.7873246053720603E-4</v>
      </c>
      <c r="R18" s="741">
        <f t="shared" si="6"/>
        <v>4.5447895264464722E-4</v>
      </c>
      <c r="S18" s="111"/>
      <c r="T18" s="111">
        <f>0.0047*L18-0.0047</f>
        <v>0</v>
      </c>
      <c r="U18" s="667"/>
      <c r="V18" s="667"/>
      <c r="W18" s="667"/>
      <c r="X18" s="667"/>
      <c r="Y18" s="667">
        <f t="shared" si="0"/>
        <v>2.0422018159964995E-3</v>
      </c>
      <c r="Z18" s="668">
        <f t="shared" si="7"/>
        <v>7.4880733253204984E-3</v>
      </c>
      <c r="AA18" s="668">
        <f t="shared" si="1"/>
        <v>1.2581456123441118E-3</v>
      </c>
      <c r="AB18" s="669">
        <f t="shared" si="8"/>
        <v>4.6132005785950768E-3</v>
      </c>
      <c r="AC18" s="670">
        <f t="shared" si="2"/>
        <v>0</v>
      </c>
      <c r="AD18" s="669"/>
      <c r="AE18" s="669"/>
      <c r="AF18" s="80"/>
      <c r="AG18" s="80"/>
      <c r="AT18" s="2"/>
      <c r="AU18" s="55"/>
      <c r="AV18" s="2"/>
    </row>
    <row r="19" spans="1:48">
      <c r="A19" s="234">
        <f t="shared" ref="A19:A47" si="14">A18+1</f>
        <v>2</v>
      </c>
      <c r="B19" s="235">
        <f>'GC E. Uro'!O11</f>
        <v>4.125</v>
      </c>
      <c r="C19" s="29">
        <f>'GC E. Uro'!P11</f>
        <v>6.2250000000000005</v>
      </c>
      <c r="D19" s="55">
        <f t="shared" si="9"/>
        <v>3.4036696933274994E-3</v>
      </c>
      <c r="E19" s="44">
        <f t="shared" si="3"/>
        <v>4.0844036319929991E-3</v>
      </c>
      <c r="F19" s="51">
        <f t="shared" si="10"/>
        <v>2.0969093539068531E-3</v>
      </c>
      <c r="G19" s="259">
        <f t="shared" si="4"/>
        <v>2.5162912246882237E-3</v>
      </c>
      <c r="H19" s="111"/>
      <c r="I19" s="111">
        <f t="shared" ref="I19:I46" si="15">0.0047*A19-0.0047</f>
        <v>4.7000000000000002E-3</v>
      </c>
      <c r="J19" s="111"/>
      <c r="K19" s="263"/>
      <c r="L19" s="709">
        <f t="shared" ref="L19:L47" si="16">L18+1</f>
        <v>2</v>
      </c>
      <c r="M19" s="740">
        <f t="shared" si="11"/>
        <v>3.2549999999999999</v>
      </c>
      <c r="N19" s="29">
        <f>'GC E. Uro'!AA11</f>
        <v>1.4192501942977512E-3</v>
      </c>
      <c r="O19" s="111">
        <f t="shared" si="12"/>
        <v>1.9456483457815901E-3</v>
      </c>
      <c r="P19" s="111">
        <f t="shared" si="5"/>
        <v>2.3347780149379081E-3</v>
      </c>
      <c r="Q19" s="111">
        <f t="shared" si="13"/>
        <v>1.5669158852443842E-3</v>
      </c>
      <c r="R19" s="741">
        <f t="shared" si="6"/>
        <v>1.880299062293261E-3</v>
      </c>
      <c r="S19" s="111"/>
      <c r="T19" s="111">
        <f t="shared" ref="T19:T46" si="17">0.0047*L19-0.0047</f>
        <v>4.7000000000000002E-3</v>
      </c>
      <c r="U19" s="667"/>
      <c r="V19" s="667"/>
      <c r="W19" s="667"/>
      <c r="X19" s="667"/>
      <c r="Y19" s="667">
        <f t="shared" si="0"/>
        <v>4.027903109947978E-3</v>
      </c>
      <c r="Z19" s="668">
        <f t="shared" si="7"/>
        <v>1.4768978069809252E-2</v>
      </c>
      <c r="AA19" s="668">
        <f t="shared" si="1"/>
        <v>1.985701293951478E-3</v>
      </c>
      <c r="AB19" s="669">
        <f t="shared" si="8"/>
        <v>7.2809047444887531E-3</v>
      </c>
      <c r="AC19" s="670">
        <f t="shared" si="2"/>
        <v>0</v>
      </c>
      <c r="AD19" s="669"/>
      <c r="AE19" s="669"/>
      <c r="AF19" s="80"/>
      <c r="AG19" s="80"/>
      <c r="AT19" s="2"/>
      <c r="AU19" s="55"/>
      <c r="AV19" s="2"/>
    </row>
    <row r="20" spans="1:48">
      <c r="A20" s="234">
        <f t="shared" si="14"/>
        <v>3</v>
      </c>
      <c r="B20" s="235">
        <f>'GC E. Uro'!O12</f>
        <v>5.5</v>
      </c>
      <c r="C20" s="29">
        <f>'GC E. Uro'!P12</f>
        <v>8.3000000000000007</v>
      </c>
      <c r="D20" s="55">
        <f t="shared" si="9"/>
        <v>6.7131718499132964E-3</v>
      </c>
      <c r="E20" s="44">
        <f t="shared" si="3"/>
        <v>8.055806219895956E-3</v>
      </c>
      <c r="F20" s="51">
        <f t="shared" si="10"/>
        <v>3.309502156585797E-3</v>
      </c>
      <c r="G20" s="259">
        <f t="shared" si="4"/>
        <v>3.9714025879029561E-3</v>
      </c>
      <c r="H20" s="111"/>
      <c r="I20" s="111">
        <f t="shared" si="15"/>
        <v>9.4000000000000021E-3</v>
      </c>
      <c r="J20" s="111"/>
      <c r="K20" s="263"/>
      <c r="L20" s="709">
        <f t="shared" si="16"/>
        <v>3</v>
      </c>
      <c r="M20" s="740">
        <f t="shared" si="11"/>
        <v>4.8825000000000003</v>
      </c>
      <c r="N20" s="29">
        <f>'GC E. Uro'!AA12</f>
        <v>3.4249864326610212E-3</v>
      </c>
      <c r="O20" s="111">
        <f t="shared" si="12"/>
        <v>5.0677573451193107E-3</v>
      </c>
      <c r="P20" s="111">
        <f t="shared" si="5"/>
        <v>6.0813088141431727E-3</v>
      </c>
      <c r="Q20" s="111">
        <f t="shared" si="13"/>
        <v>3.1221089993377204E-3</v>
      </c>
      <c r="R20" s="741">
        <f t="shared" si="6"/>
        <v>3.7465307992052641E-3</v>
      </c>
      <c r="S20" s="111"/>
      <c r="T20" s="111">
        <f t="shared" si="17"/>
        <v>9.4000000000000021E-3</v>
      </c>
      <c r="U20" s="667"/>
      <c r="V20" s="667"/>
      <c r="W20" s="667"/>
      <c r="X20" s="667"/>
      <c r="Y20" s="667">
        <f t="shared" si="0"/>
        <v>1.0491328309724874E-2</v>
      </c>
      <c r="Z20" s="668">
        <f t="shared" si="7"/>
        <v>3.846820380232454E-2</v>
      </c>
      <c r="AA20" s="668">
        <f t="shared" si="1"/>
        <v>6.4634251997768956E-3</v>
      </c>
      <c r="AB20" s="669">
        <f t="shared" si="8"/>
        <v>2.3699225732515285E-2</v>
      </c>
      <c r="AC20" s="670">
        <f t="shared" si="2"/>
        <v>0</v>
      </c>
      <c r="AD20" s="669"/>
      <c r="AE20" s="669"/>
      <c r="AF20" s="80"/>
      <c r="AG20" s="80"/>
      <c r="AT20" s="2"/>
      <c r="AU20" s="55"/>
      <c r="AV20" s="2"/>
    </row>
    <row r="21" spans="1:48">
      <c r="A21" s="234">
        <f t="shared" si="14"/>
        <v>4</v>
      </c>
      <c r="B21" s="235">
        <f>'GC E. Uro'!O13</f>
        <v>8.25</v>
      </c>
      <c r="C21" s="29">
        <f>'GC E. Uro'!P13</f>
        <v>12.450000000000001</v>
      </c>
      <c r="D21" s="55">
        <f t="shared" si="9"/>
        <v>1.7485547182874789E-2</v>
      </c>
      <c r="E21" s="44">
        <f t="shared" si="3"/>
        <v>2.0982656619449747E-2</v>
      </c>
      <c r="F21" s="51">
        <f t="shared" si="10"/>
        <v>1.0772375332961492E-2</v>
      </c>
      <c r="G21" s="259">
        <f t="shared" si="4"/>
        <v>1.2926850399553791E-2</v>
      </c>
      <c r="H21" s="111"/>
      <c r="I21" s="111">
        <f t="shared" si="15"/>
        <v>1.4100000000000001E-2</v>
      </c>
      <c r="J21" s="111"/>
      <c r="K21" s="263"/>
      <c r="L21" s="709">
        <f t="shared" si="16"/>
        <v>4</v>
      </c>
      <c r="M21" s="740">
        <f t="shared" si="11"/>
        <v>6.51</v>
      </c>
      <c r="N21" s="29">
        <f>'GC E. Uro'!AA13</f>
        <v>1.1855042577092604E-2</v>
      </c>
      <c r="O21" s="111">
        <f t="shared" si="12"/>
        <v>9.9953077168856864E-3</v>
      </c>
      <c r="P21" s="111">
        <f t="shared" si="5"/>
        <v>1.1994369260262823E-2</v>
      </c>
      <c r="Q21" s="111">
        <f t="shared" si="13"/>
        <v>4.9275503717663757E-3</v>
      </c>
      <c r="R21" s="741">
        <f t="shared" si="6"/>
        <v>5.9130604461196503E-3</v>
      </c>
      <c r="S21" s="111"/>
      <c r="T21" s="111">
        <f t="shared" si="17"/>
        <v>1.4100000000000001E-2</v>
      </c>
      <c r="U21" s="667"/>
      <c r="V21" s="667"/>
      <c r="W21" s="667"/>
      <c r="X21" s="667"/>
      <c r="Y21" s="667">
        <f t="shared" si="0"/>
        <v>1.288395709995744E-2</v>
      </c>
      <c r="Z21" s="668">
        <f t="shared" si="7"/>
        <v>4.7241176033177283E-2</v>
      </c>
      <c r="AA21" s="668">
        <f t="shared" si="1"/>
        <v>2.3926287902325668E-3</v>
      </c>
      <c r="AB21" s="669">
        <f t="shared" si="8"/>
        <v>8.7729722308527453E-3</v>
      </c>
      <c r="AC21" s="670">
        <f t="shared" si="2"/>
        <v>0</v>
      </c>
      <c r="AD21" s="669"/>
      <c r="AE21" s="669"/>
      <c r="AF21" s="80"/>
      <c r="AG21" s="80"/>
      <c r="AT21" s="2"/>
      <c r="AU21" s="55"/>
      <c r="AV21" s="2"/>
    </row>
    <row r="22" spans="1:48">
      <c r="A22" s="234">
        <f t="shared" si="14"/>
        <v>5</v>
      </c>
      <c r="B22" s="235">
        <f>'GC E. Uro'!O14</f>
        <v>9</v>
      </c>
      <c r="C22" s="29">
        <f>'GC E. Uro'!P14</f>
        <v>13.950000000000001</v>
      </c>
      <c r="D22" s="55">
        <f t="shared" si="9"/>
        <v>2.14732618332624E-2</v>
      </c>
      <c r="E22" s="44">
        <f t="shared" si="3"/>
        <v>2.5767914199914879E-2</v>
      </c>
      <c r="F22" s="51">
        <f t="shared" si="10"/>
        <v>3.9877146503876117E-3</v>
      </c>
      <c r="G22" s="259">
        <f t="shared" si="4"/>
        <v>4.7852575804651337E-3</v>
      </c>
      <c r="H22" s="111"/>
      <c r="I22" s="111">
        <f t="shared" si="15"/>
        <v>1.8800000000000001E-2</v>
      </c>
      <c r="J22" s="111"/>
      <c r="K22" s="263"/>
      <c r="L22" s="709">
        <f t="shared" si="16"/>
        <v>5</v>
      </c>
      <c r="M22" s="740">
        <f t="shared" si="11"/>
        <v>8.1374999999999993</v>
      </c>
      <c r="N22" s="29">
        <f>'GC E. Uro'!AA14</f>
        <v>1.5823512226330615E-2</v>
      </c>
      <c r="O22" s="111">
        <f t="shared" si="12"/>
        <v>1.69278074203386E-2</v>
      </c>
      <c r="P22" s="111">
        <f t="shared" si="5"/>
        <v>2.0313368904406319E-2</v>
      </c>
      <c r="Q22" s="111">
        <f t="shared" si="13"/>
        <v>6.9324997034529139E-3</v>
      </c>
      <c r="R22" s="741">
        <f t="shared" si="6"/>
        <v>8.318999644143496E-3</v>
      </c>
      <c r="S22" s="111"/>
      <c r="T22" s="111">
        <f t="shared" si="17"/>
        <v>1.8800000000000001E-2</v>
      </c>
      <c r="U22" s="667"/>
      <c r="V22" s="667"/>
      <c r="W22" s="667"/>
      <c r="X22" s="667"/>
      <c r="Y22" s="667">
        <f t="shared" si="0"/>
        <v>1.5564049484941164E-2</v>
      </c>
      <c r="Z22" s="668">
        <f t="shared" si="7"/>
        <v>5.7068181444784268E-2</v>
      </c>
      <c r="AA22" s="668">
        <f t="shared" si="1"/>
        <v>2.680092384983724E-3</v>
      </c>
      <c r="AB22" s="669">
        <f t="shared" si="8"/>
        <v>9.8270054116069878E-3</v>
      </c>
      <c r="AC22" s="670">
        <f t="shared" si="2"/>
        <v>0</v>
      </c>
      <c r="AD22" s="669"/>
      <c r="AE22" s="669"/>
      <c r="AF22" s="80"/>
      <c r="AG22" s="80"/>
      <c r="AT22" s="2"/>
      <c r="AU22" s="55"/>
      <c r="AV22" s="2"/>
    </row>
    <row r="23" spans="1:48">
      <c r="A23" s="234">
        <f t="shared" si="14"/>
        <v>6</v>
      </c>
      <c r="B23" s="235">
        <f>'GC E. Uro'!O15</f>
        <v>9.75</v>
      </c>
      <c r="C23" s="29">
        <f>'GC E. Uro'!P15</f>
        <v>15.450000000000001</v>
      </c>
      <c r="D23" s="55">
        <f t="shared" si="9"/>
        <v>2.594008247490194E-2</v>
      </c>
      <c r="E23" s="44">
        <f t="shared" si="3"/>
        <v>3.1128098969882327E-2</v>
      </c>
      <c r="F23" s="51">
        <f t="shared" si="10"/>
        <v>4.4668206416395399E-3</v>
      </c>
      <c r="G23" s="259">
        <f t="shared" si="4"/>
        <v>5.3601847699674479E-3</v>
      </c>
      <c r="H23" s="111"/>
      <c r="I23" s="111">
        <f t="shared" si="15"/>
        <v>2.3500000000000004E-2</v>
      </c>
      <c r="J23" s="111"/>
      <c r="K23" s="263"/>
      <c r="L23" s="709">
        <f t="shared" si="16"/>
        <v>6</v>
      </c>
      <c r="M23" s="740">
        <f t="shared" si="11"/>
        <v>9.7650000000000006</v>
      </c>
      <c r="N23" s="29">
        <f>'GC E. Uro'!AA15</f>
        <v>2.0594347668651612E-2</v>
      </c>
      <c r="O23" s="111">
        <f t="shared" si="12"/>
        <v>2.6034403497836062E-2</v>
      </c>
      <c r="P23" s="111">
        <f t="shared" si="5"/>
        <v>3.1241284197403272E-2</v>
      </c>
      <c r="Q23" s="111">
        <f t="shared" si="13"/>
        <v>9.1065960774974614E-3</v>
      </c>
      <c r="R23" s="741">
        <f t="shared" si="6"/>
        <v>1.0927915292996953E-2</v>
      </c>
      <c r="S23" s="111"/>
      <c r="T23" s="111">
        <f t="shared" si="17"/>
        <v>2.3500000000000004E-2</v>
      </c>
      <c r="U23" s="667"/>
      <c r="V23" s="667"/>
      <c r="W23" s="667"/>
      <c r="X23" s="667"/>
      <c r="Y23" s="667">
        <f t="shared" si="0"/>
        <v>1.7014546402832658E-2</v>
      </c>
      <c r="Z23" s="668">
        <f t="shared" si="7"/>
        <v>6.2386670143719743E-2</v>
      </c>
      <c r="AA23" s="668">
        <f t="shared" si="1"/>
        <v>1.4504969178914958E-3</v>
      </c>
      <c r="AB23" s="669">
        <f t="shared" si="8"/>
        <v>5.3184886989354847E-3</v>
      </c>
      <c r="AC23" s="670">
        <f t="shared" si="2"/>
        <v>0</v>
      </c>
      <c r="AD23" s="669"/>
      <c r="AE23" s="669"/>
      <c r="AF23" s="80"/>
      <c r="AG23" s="80"/>
      <c r="AT23" s="2"/>
      <c r="AU23" s="55"/>
      <c r="AV23" s="2"/>
    </row>
    <row r="24" spans="1:48">
      <c r="A24" s="234">
        <f t="shared" si="14"/>
        <v>7</v>
      </c>
      <c r="B24" s="235">
        <f>'GC E. Uro'!O16</f>
        <v>10.125</v>
      </c>
      <c r="C24" s="29">
        <f>'GC E. Uro'!P16</f>
        <v>16.200000000000003</v>
      </c>
      <c r="D24" s="55">
        <f t="shared" si="9"/>
        <v>2.8357577338054434E-2</v>
      </c>
      <c r="E24" s="44">
        <f t="shared" si="3"/>
        <v>3.4029092805665316E-2</v>
      </c>
      <c r="F24" s="51">
        <f t="shared" si="10"/>
        <v>2.4174948631524931E-3</v>
      </c>
      <c r="G24" s="259">
        <f t="shared" si="4"/>
        <v>2.9009938357829916E-3</v>
      </c>
      <c r="H24" s="111"/>
      <c r="I24" s="111">
        <f t="shared" si="15"/>
        <v>2.8199999999999999E-2</v>
      </c>
      <c r="J24" s="111"/>
      <c r="K24" s="263"/>
      <c r="L24" s="709">
        <f t="shared" si="16"/>
        <v>7</v>
      </c>
      <c r="M24" s="740">
        <f t="shared" si="11"/>
        <v>11.3925</v>
      </c>
      <c r="N24" s="29">
        <f>'GC E. Uro'!AA16</f>
        <v>2.3304352131126044E-2</v>
      </c>
      <c r="O24" s="111">
        <f t="shared" si="12"/>
        <v>3.7463556353746014E-2</v>
      </c>
      <c r="P24" s="111">
        <f t="shared" si="5"/>
        <v>4.4956267624495214E-2</v>
      </c>
      <c r="Q24" s="111">
        <f t="shared" si="13"/>
        <v>1.1429152855909952E-2</v>
      </c>
      <c r="R24" s="741">
        <f t="shared" si="6"/>
        <v>1.3714983427091942E-2</v>
      </c>
      <c r="S24" s="111"/>
      <c r="T24" s="111">
        <f t="shared" si="17"/>
        <v>2.8199999999999999E-2</v>
      </c>
      <c r="U24" s="667"/>
      <c r="V24" s="667"/>
      <c r="W24" s="667"/>
      <c r="X24" s="667"/>
      <c r="Y24" s="667">
        <f t="shared" si="0"/>
        <v>1.8540038872548823E-2</v>
      </c>
      <c r="Z24" s="668">
        <f t="shared" si="7"/>
        <v>6.7980142532679019E-2</v>
      </c>
      <c r="AA24" s="668">
        <f t="shared" si="1"/>
        <v>1.5254924697161636E-3</v>
      </c>
      <c r="AB24" s="669">
        <f t="shared" si="8"/>
        <v>5.5934723889592662E-3</v>
      </c>
      <c r="AC24" s="670">
        <f t="shared" si="2"/>
        <v>0</v>
      </c>
      <c r="AD24" s="669"/>
      <c r="AE24" s="669"/>
      <c r="AF24" s="80"/>
      <c r="AG24" s="80"/>
      <c r="AT24" s="2"/>
      <c r="AU24" s="55"/>
      <c r="AV24" s="2"/>
    </row>
    <row r="25" spans="1:48">
      <c r="A25" s="234">
        <f t="shared" si="14"/>
        <v>8</v>
      </c>
      <c r="B25" s="235">
        <f>'GC E. Uro'!O17</f>
        <v>10.5</v>
      </c>
      <c r="C25" s="29">
        <f>'GC E. Uro'!P17</f>
        <v>16.950000000000003</v>
      </c>
      <c r="D25" s="55">
        <f t="shared" si="9"/>
        <v>3.0900064787581373E-2</v>
      </c>
      <c r="E25" s="44">
        <f t="shared" si="3"/>
        <v>3.7080077745097646E-2</v>
      </c>
      <c r="F25" s="51">
        <f t="shared" si="10"/>
        <v>2.5424874495269395E-3</v>
      </c>
      <c r="G25" s="259">
        <f t="shared" si="4"/>
        <v>3.0509849394323271E-3</v>
      </c>
      <c r="H25" s="111"/>
      <c r="I25" s="111">
        <f t="shared" si="15"/>
        <v>3.2899999999999999E-2</v>
      </c>
      <c r="J25" s="111"/>
      <c r="K25" s="263"/>
      <c r="L25" s="709">
        <f t="shared" si="16"/>
        <v>8</v>
      </c>
      <c r="M25" s="740">
        <f t="shared" si="11"/>
        <v>13.02</v>
      </c>
      <c r="N25" s="29">
        <f>'GC E. Uro'!AA17</f>
        <v>2.6243436679043029E-2</v>
      </c>
      <c r="O25" s="111">
        <f t="shared" si="12"/>
        <v>5.1348526866041175E-2</v>
      </c>
      <c r="P25" s="111">
        <f t="shared" si="5"/>
        <v>6.1618232239249407E-2</v>
      </c>
      <c r="Q25" s="111">
        <f t="shared" si="13"/>
        <v>1.3884970512295161E-2</v>
      </c>
      <c r="R25" s="741">
        <f t="shared" si="6"/>
        <v>1.6661964614754193E-2</v>
      </c>
      <c r="S25" s="111"/>
      <c r="T25" s="111">
        <f t="shared" si="17"/>
        <v>3.2899999999999999E-2</v>
      </c>
      <c r="U25" s="667"/>
      <c r="V25" s="667"/>
      <c r="W25" s="667"/>
      <c r="X25" s="667"/>
      <c r="Y25" s="667">
        <f t="shared" si="0"/>
        <v>2.0141518121898364E-2</v>
      </c>
      <c r="Z25" s="668">
        <f t="shared" si="7"/>
        <v>7.3852233113627333E-2</v>
      </c>
      <c r="AA25" s="668">
        <f t="shared" si="1"/>
        <v>1.6014792493495398E-3</v>
      </c>
      <c r="AB25" s="669">
        <f t="shared" si="8"/>
        <v>5.8720905809483128E-3</v>
      </c>
      <c r="AC25" s="670">
        <f t="shared" si="2"/>
        <v>0</v>
      </c>
      <c r="AD25" s="669"/>
      <c r="AE25" s="669"/>
      <c r="AF25" s="80"/>
      <c r="AG25" s="80"/>
      <c r="AT25" s="2"/>
      <c r="AU25" s="55"/>
      <c r="AV25" s="2"/>
    </row>
    <row r="26" spans="1:48">
      <c r="A26" s="234">
        <f t="shared" si="14"/>
        <v>9</v>
      </c>
      <c r="B26" s="235">
        <f>'GC E. Uro'!O18</f>
        <v>10.875</v>
      </c>
      <c r="C26" s="29">
        <f>'GC E. Uro'!P18</f>
        <v>17.700000000000003</v>
      </c>
      <c r="D26" s="55">
        <f t="shared" si="9"/>
        <v>3.3569196869830606E-2</v>
      </c>
      <c r="E26" s="44">
        <f t="shared" si="3"/>
        <v>4.0283036243796727E-2</v>
      </c>
      <c r="F26" s="51">
        <f t="shared" si="10"/>
        <v>2.6691320822492329E-3</v>
      </c>
      <c r="G26" s="259">
        <f t="shared" si="4"/>
        <v>3.2029584986990795E-3</v>
      </c>
      <c r="H26" s="111"/>
      <c r="I26" s="111">
        <f t="shared" si="15"/>
        <v>3.7600000000000001E-2</v>
      </c>
      <c r="J26" s="111"/>
      <c r="K26" s="263"/>
      <c r="L26" s="709">
        <f t="shared" si="16"/>
        <v>9</v>
      </c>
      <c r="M26" s="740">
        <f t="shared" si="11"/>
        <v>14.647499999999999</v>
      </c>
      <c r="N26" s="29">
        <f>'GC E. Uro'!AA18</f>
        <v>2.9421147149950359E-2</v>
      </c>
      <c r="O26" s="111">
        <f t="shared" si="12"/>
        <v>6.7810835312564252E-2</v>
      </c>
      <c r="P26" s="111">
        <f t="shared" si="5"/>
        <v>8.1373002375077094E-2</v>
      </c>
      <c r="Q26" s="111">
        <f t="shared" si="13"/>
        <v>1.6462308446523077E-2</v>
      </c>
      <c r="R26" s="741">
        <f t="shared" si="6"/>
        <v>1.9754770135827691E-2</v>
      </c>
      <c r="S26" s="111"/>
      <c r="T26" s="111">
        <f t="shared" si="17"/>
        <v>3.7600000000000001E-2</v>
      </c>
      <c r="U26" s="667"/>
      <c r="V26" s="667"/>
      <c r="W26" s="667"/>
      <c r="X26" s="667"/>
      <c r="Y26" s="667">
        <f t="shared" si="0"/>
        <v>2.1819952999699934E-2</v>
      </c>
      <c r="Z26" s="668">
        <f t="shared" si="7"/>
        <v>8.00064943322331E-2</v>
      </c>
      <c r="AA26" s="668">
        <f t="shared" si="1"/>
        <v>1.6784348778015711E-3</v>
      </c>
      <c r="AB26" s="669">
        <f t="shared" si="8"/>
        <v>6.1542612186057605E-3</v>
      </c>
      <c r="AC26" s="670">
        <f t="shared" si="2"/>
        <v>0</v>
      </c>
      <c r="AD26" s="669"/>
      <c r="AE26" s="669"/>
      <c r="AF26" s="80"/>
      <c r="AG26" s="80"/>
      <c r="AT26" s="2"/>
      <c r="AU26" s="55"/>
      <c r="AV26" s="2"/>
    </row>
    <row r="27" spans="1:48">
      <c r="A27" s="234">
        <f t="shared" si="14"/>
        <v>10</v>
      </c>
      <c r="B27" s="235">
        <f>'GC E. Uro'!O19</f>
        <v>11.25</v>
      </c>
      <c r="C27" s="29">
        <f>'GC E. Uro'!P19</f>
        <v>18.450000000000003</v>
      </c>
      <c r="D27" s="55">
        <f t="shared" si="9"/>
        <v>3.6366588332833225E-2</v>
      </c>
      <c r="E27" s="44">
        <f t="shared" si="3"/>
        <v>4.3639905999399868E-2</v>
      </c>
      <c r="F27" s="51">
        <f t="shared" si="10"/>
        <v>2.7973914630026187E-3</v>
      </c>
      <c r="G27" s="259">
        <f t="shared" si="4"/>
        <v>3.3568697556031423E-3</v>
      </c>
      <c r="H27" s="111"/>
      <c r="I27" s="111">
        <f t="shared" si="15"/>
        <v>4.2299999999999997E-2</v>
      </c>
      <c r="J27" s="111"/>
      <c r="K27" s="263"/>
      <c r="L27" s="709">
        <f t="shared" si="16"/>
        <v>10</v>
      </c>
      <c r="M27" s="740">
        <f t="shared" si="11"/>
        <v>16.274999999999999</v>
      </c>
      <c r="N27" s="29">
        <f>'GC E. Uro'!AA19</f>
        <v>3.2847051717113732E-2</v>
      </c>
      <c r="O27" s="111">
        <f t="shared" si="12"/>
        <v>8.6962602725877497E-2</v>
      </c>
      <c r="P27" s="111">
        <f t="shared" si="5"/>
        <v>0.10435512327105299</v>
      </c>
      <c r="Q27" s="111">
        <f t="shared" si="13"/>
        <v>1.9151767413313245E-2</v>
      </c>
      <c r="R27" s="741">
        <f t="shared" si="6"/>
        <v>2.2982120895975892E-2</v>
      </c>
      <c r="S27" s="111"/>
      <c r="T27" s="111">
        <f t="shared" si="17"/>
        <v>4.2299999999999997E-2</v>
      </c>
      <c r="U27" s="667"/>
      <c r="V27" s="667"/>
      <c r="W27" s="667"/>
      <c r="X27" s="667"/>
      <c r="Y27" s="667">
        <f t="shared" si="0"/>
        <v>2.3576291227907494E-2</v>
      </c>
      <c r="Z27" s="668">
        <f t="shared" si="7"/>
        <v>8.6446401168994144E-2</v>
      </c>
      <c r="AA27" s="668">
        <f t="shared" si="1"/>
        <v>1.7563382282075586E-3</v>
      </c>
      <c r="AB27" s="669">
        <f t="shared" si="8"/>
        <v>6.4399068367610481E-3</v>
      </c>
      <c r="AC27" s="670">
        <f t="shared" si="2"/>
        <v>0</v>
      </c>
      <c r="AD27" s="669"/>
      <c r="AE27" s="669"/>
      <c r="AF27" s="80"/>
      <c r="AG27" s="80"/>
      <c r="AT27" s="2"/>
      <c r="AU27" s="55"/>
      <c r="AV27" s="2"/>
    </row>
    <row r="28" spans="1:48">
      <c r="A28" s="234">
        <f t="shared" si="14"/>
        <v>11</v>
      </c>
      <c r="B28" s="235">
        <f>'GC E. Uro'!O20</f>
        <v>11.625</v>
      </c>
      <c r="C28" s="29">
        <f>'GC E. Uro'!P20</f>
        <v>19.200000000000003</v>
      </c>
      <c r="D28" s="55">
        <f t="shared" si="9"/>
        <v>3.9293818713179156E-2</v>
      </c>
      <c r="E28" s="44">
        <f t="shared" si="3"/>
        <v>4.7152582455814988E-2</v>
      </c>
      <c r="F28" s="51">
        <f t="shared" si="10"/>
        <v>2.9272303803459312E-3</v>
      </c>
      <c r="G28" s="259">
        <f t="shared" si="4"/>
        <v>3.5126764564151172E-3</v>
      </c>
      <c r="H28" s="111"/>
      <c r="I28" s="111">
        <f t="shared" si="15"/>
        <v>4.7E-2</v>
      </c>
      <c r="J28" s="111"/>
      <c r="K28" s="263"/>
      <c r="L28" s="709">
        <f t="shared" si="16"/>
        <v>11</v>
      </c>
      <c r="M28" s="740">
        <f t="shared" si="11"/>
        <v>17.9025</v>
      </c>
      <c r="N28" s="29">
        <f>'GC E. Uro'!AA20</f>
        <v>3.6530740138209443E-2</v>
      </c>
      <c r="O28" s="111">
        <f t="shared" si="12"/>
        <v>0.10890821976579319</v>
      </c>
      <c r="P28" s="111">
        <f t="shared" si="5"/>
        <v>0.13068986371895183</v>
      </c>
      <c r="Q28" s="111">
        <f t="shared" si="13"/>
        <v>2.1945617039915696E-2</v>
      </c>
      <c r="R28" s="741">
        <f t="shared" si="6"/>
        <v>2.6334740447898835E-2</v>
      </c>
      <c r="S28" s="111"/>
      <c r="T28" s="111">
        <f t="shared" si="17"/>
        <v>4.7E-2</v>
      </c>
      <c r="U28" s="667"/>
      <c r="V28" s="667"/>
      <c r="W28" s="667"/>
      <c r="X28" s="667"/>
      <c r="Y28" s="667">
        <f t="shared" si="0"/>
        <v>2.5411460544624172E-2</v>
      </c>
      <c r="Z28" s="668">
        <f t="shared" si="7"/>
        <v>9.3175355330288631E-2</v>
      </c>
      <c r="AA28" s="668">
        <f t="shared" si="1"/>
        <v>1.8351693167166783E-3</v>
      </c>
      <c r="AB28" s="669">
        <f t="shared" si="8"/>
        <v>6.728954161294487E-3</v>
      </c>
      <c r="AC28" s="670">
        <f t="shared" si="2"/>
        <v>0</v>
      </c>
      <c r="AD28" s="669"/>
      <c r="AE28" s="669"/>
      <c r="AF28" s="80"/>
      <c r="AG28" s="80"/>
      <c r="AT28" s="2"/>
      <c r="AU28" s="55"/>
      <c r="AV28" s="2"/>
    </row>
    <row r="29" spans="1:48">
      <c r="A29" s="234">
        <f t="shared" si="14"/>
        <v>12</v>
      </c>
      <c r="B29" s="235">
        <f>'GC E. Uro'!O21</f>
        <v>12</v>
      </c>
      <c r="C29" s="29">
        <f>'GC E. Uro'!P21</f>
        <v>19.950000000000003</v>
      </c>
      <c r="D29" s="55">
        <f t="shared" si="9"/>
        <v>4.2352434241040286E-2</v>
      </c>
      <c r="E29" s="44">
        <f t="shared" si="3"/>
        <v>5.0822921089248345E-2</v>
      </c>
      <c r="F29" s="51">
        <f t="shared" si="10"/>
        <v>3.0586155278611304E-3</v>
      </c>
      <c r="G29" s="259">
        <f t="shared" si="4"/>
        <v>3.6703386334333565E-3</v>
      </c>
      <c r="H29" s="111"/>
      <c r="I29" s="111">
        <f t="shared" si="15"/>
        <v>5.1700000000000003E-2</v>
      </c>
      <c r="J29" s="111"/>
      <c r="K29" s="263"/>
      <c r="L29" s="709">
        <f t="shared" si="16"/>
        <v>12</v>
      </c>
      <c r="M29" s="740">
        <f t="shared" si="11"/>
        <v>19.53</v>
      </c>
      <c r="N29" s="29">
        <f>'GC E. Uro'!AA21</f>
        <v>4.0481823053603677E-2</v>
      </c>
      <c r="O29" s="111">
        <f t="shared" si="12"/>
        <v>0.13374558395952171</v>
      </c>
      <c r="P29" s="111">
        <f t="shared" si="5"/>
        <v>0.16049470075142605</v>
      </c>
      <c r="Q29" s="111">
        <f t="shared" si="13"/>
        <v>2.483736419372852E-2</v>
      </c>
      <c r="R29" s="741">
        <f t="shared" si="6"/>
        <v>2.9804837032474222E-2</v>
      </c>
      <c r="S29" s="111"/>
      <c r="T29" s="111">
        <f t="shared" si="17"/>
        <v>5.1700000000000003E-2</v>
      </c>
      <c r="U29" s="667"/>
      <c r="V29" s="667"/>
      <c r="W29" s="667"/>
      <c r="X29" s="667"/>
      <c r="Y29" s="667">
        <f t="shared" si="0"/>
        <v>2.7326369750700442E-2</v>
      </c>
      <c r="Z29" s="668">
        <f t="shared" si="7"/>
        <v>0.10019668908590162</v>
      </c>
      <c r="AA29" s="668">
        <f t="shared" si="1"/>
        <v>1.9149092060762719E-3</v>
      </c>
      <c r="AB29" s="669">
        <f t="shared" si="8"/>
        <v>7.0213337556129969E-3</v>
      </c>
      <c r="AC29" s="670">
        <f t="shared" si="2"/>
        <v>0</v>
      </c>
      <c r="AD29" s="669"/>
      <c r="AE29" s="669"/>
      <c r="AF29" s="80"/>
      <c r="AG29" s="80"/>
      <c r="AT29" s="2"/>
      <c r="AU29" s="55"/>
      <c r="AV29" s="2"/>
    </row>
    <row r="30" spans="1:48">
      <c r="A30" s="234">
        <f t="shared" si="14"/>
        <v>13</v>
      </c>
      <c r="B30" s="235">
        <f>'GC E. Uro'!O22</f>
        <v>12.375</v>
      </c>
      <c r="C30" s="29">
        <f>'GC E. Uro'!P22</f>
        <v>20.700000000000003</v>
      </c>
      <c r="D30" s="55">
        <f t="shared" si="9"/>
        <v>4.554394958450074E-2</v>
      </c>
      <c r="E30" s="44">
        <f t="shared" si="3"/>
        <v>5.4652739501400885E-2</v>
      </c>
      <c r="F30" s="51">
        <f t="shared" si="10"/>
        <v>3.1915153434604535E-3</v>
      </c>
      <c r="G30" s="259">
        <f t="shared" si="4"/>
        <v>3.8298184121525439E-3</v>
      </c>
      <c r="H30" s="111"/>
      <c r="I30" s="111">
        <f t="shared" si="15"/>
        <v>5.6399999999999999E-2</v>
      </c>
      <c r="J30" s="111"/>
      <c r="K30" s="263"/>
      <c r="L30" s="709">
        <f t="shared" si="16"/>
        <v>13</v>
      </c>
      <c r="M30" s="740">
        <f t="shared" si="11"/>
        <v>21.157499999999999</v>
      </c>
      <c r="N30" s="29">
        <f>'GC E. Uro'!AA22</f>
        <v>4.4709931329557862E-2</v>
      </c>
      <c r="O30" s="111">
        <f t="shared" si="12"/>
        <v>0.16156704582206546</v>
      </c>
      <c r="P30" s="111">
        <f t="shared" si="5"/>
        <v>0.19388045498647855</v>
      </c>
      <c r="Q30" s="111">
        <f t="shared" si="13"/>
        <v>2.782146186254375E-2</v>
      </c>
      <c r="R30" s="741">
        <f t="shared" si="6"/>
        <v>3.3385754235052502E-2</v>
      </c>
      <c r="S30" s="111"/>
      <c r="T30" s="111">
        <f t="shared" si="17"/>
        <v>5.6399999999999999E-2</v>
      </c>
      <c r="U30" s="667"/>
      <c r="V30" s="667"/>
      <c r="W30" s="667"/>
      <c r="X30" s="667"/>
      <c r="Y30" s="667">
        <f t="shared" si="0"/>
        <v>2.9321909670786538E-2</v>
      </c>
      <c r="Z30" s="668">
        <f t="shared" si="7"/>
        <v>0.10751366879288397</v>
      </c>
      <c r="AA30" s="668">
        <f t="shared" si="1"/>
        <v>1.9955399200860952E-3</v>
      </c>
      <c r="AB30" s="669">
        <f t="shared" si="8"/>
        <v>7.3169797069823489E-3</v>
      </c>
      <c r="AC30" s="670">
        <f t="shared" si="2"/>
        <v>0</v>
      </c>
      <c r="AD30" s="669"/>
      <c r="AE30" s="669"/>
      <c r="AF30" s="80"/>
      <c r="AG30" s="80"/>
      <c r="AT30" s="2"/>
      <c r="AU30" s="55"/>
      <c r="AV30" s="2"/>
    </row>
    <row r="31" spans="1:48">
      <c r="A31" s="234">
        <f t="shared" si="14"/>
        <v>14</v>
      </c>
      <c r="B31" s="235">
        <f>'GC E. Uro'!O23</f>
        <v>12.75</v>
      </c>
      <c r="C31" s="29">
        <f>'GC E. Uro'!P23</f>
        <v>21.450000000000003</v>
      </c>
      <c r="D31" s="55">
        <f t="shared" si="9"/>
        <v>4.8869849451310898E-2</v>
      </c>
      <c r="E31" s="44">
        <f t="shared" si="3"/>
        <v>5.8643819341573075E-2</v>
      </c>
      <c r="F31" s="51">
        <f t="shared" si="10"/>
        <v>3.3258998668101586E-3</v>
      </c>
      <c r="G31" s="259">
        <f t="shared" si="4"/>
        <v>3.9910798401721903E-3</v>
      </c>
      <c r="H31" s="111"/>
      <c r="I31" s="111">
        <f t="shared" si="15"/>
        <v>6.1099999999999995E-2</v>
      </c>
      <c r="J31" s="111"/>
      <c r="K31" s="263"/>
      <c r="L31" s="709">
        <f t="shared" si="16"/>
        <v>14</v>
      </c>
      <c r="M31" s="740">
        <f t="shared" si="11"/>
        <v>22.785</v>
      </c>
      <c r="N31" s="29">
        <f>'GC E. Uro'!AA23</f>
        <v>4.9224715442239261E-2</v>
      </c>
      <c r="O31" s="111">
        <f t="shared" si="12"/>
        <v>0.19246015074432907</v>
      </c>
      <c r="P31" s="111">
        <f t="shared" si="5"/>
        <v>0.23095218089319486</v>
      </c>
      <c r="Q31" s="111">
        <f t="shared" si="13"/>
        <v>3.0893104922263603E-2</v>
      </c>
      <c r="R31" s="741">
        <f t="shared" si="6"/>
        <v>3.707172590671632E-2</v>
      </c>
      <c r="S31" s="111"/>
      <c r="T31" s="111">
        <f t="shared" si="17"/>
        <v>6.1099999999999995E-2</v>
      </c>
      <c r="U31" s="667"/>
      <c r="V31" s="667"/>
      <c r="W31" s="667"/>
      <c r="X31" s="667"/>
      <c r="Y31" s="667">
        <f t="shared" si="0"/>
        <v>3.139895403819383E-2</v>
      </c>
      <c r="Z31" s="668">
        <f t="shared" si="7"/>
        <v>0.11512949814004404</v>
      </c>
      <c r="AA31" s="668">
        <f t="shared" si="1"/>
        <v>2.0770443674072909E-3</v>
      </c>
      <c r="AB31" s="669">
        <f t="shared" si="8"/>
        <v>7.6158293471600665E-3</v>
      </c>
      <c r="AC31" s="670">
        <f t="shared" si="2"/>
        <v>0</v>
      </c>
      <c r="AD31" s="669"/>
      <c r="AE31" s="669"/>
      <c r="AF31" s="80"/>
      <c r="AG31" s="80"/>
      <c r="AS31" s="35"/>
      <c r="AT31" s="2"/>
      <c r="AU31" s="55"/>
      <c r="AV31" s="2"/>
    </row>
    <row r="32" spans="1:48">
      <c r="A32" s="234">
        <f t="shared" si="14"/>
        <v>15</v>
      </c>
      <c r="B32" s="235">
        <f>'GC E. Uro'!O24</f>
        <v>13.125</v>
      </c>
      <c r="C32" s="29">
        <f>'GC E. Uro'!P24</f>
        <v>22.200000000000003</v>
      </c>
      <c r="D32" s="55">
        <f t="shared" si="9"/>
        <v>5.2331590063656383E-2</v>
      </c>
      <c r="E32" s="44">
        <f t="shared" si="3"/>
        <v>6.279790807638766E-2</v>
      </c>
      <c r="F32" s="51">
        <f t="shared" si="10"/>
        <v>3.4617406123454847E-3</v>
      </c>
      <c r="G32" s="259">
        <f t="shared" si="4"/>
        <v>4.1540887348145818E-3</v>
      </c>
      <c r="H32" s="111"/>
      <c r="I32" s="111">
        <f t="shared" si="15"/>
        <v>6.5800000000000011E-2</v>
      </c>
      <c r="J32" s="111"/>
      <c r="K32" s="263"/>
      <c r="L32" s="709">
        <f t="shared" si="16"/>
        <v>15</v>
      </c>
      <c r="M32" s="740">
        <f t="shared" si="11"/>
        <v>24.412499999999998</v>
      </c>
      <c r="N32" s="29">
        <f>'GC E. Uro'!AA24</f>
        <v>5.4035844898888796E-2</v>
      </c>
      <c r="O32" s="111">
        <f t="shared" si="12"/>
        <v>0.22650823293441624</v>
      </c>
      <c r="P32" s="111">
        <f t="shared" si="5"/>
        <v>0.27180987952129948</v>
      </c>
      <c r="Q32" s="111">
        <f t="shared" si="13"/>
        <v>3.4048082190087176E-2</v>
      </c>
      <c r="R32" s="741">
        <f t="shared" si="6"/>
        <v>4.0857698628104608E-2</v>
      </c>
      <c r="S32" s="111"/>
      <c r="T32" s="111">
        <f t="shared" si="17"/>
        <v>6.5800000000000011E-2</v>
      </c>
      <c r="U32" s="667"/>
      <c r="V32" s="667"/>
      <c r="W32" s="667"/>
      <c r="X32" s="667"/>
      <c r="Y32" s="667">
        <f t="shared" si="0"/>
        <v>3.355836031165358E-2</v>
      </c>
      <c r="Z32" s="668">
        <f t="shared" si="7"/>
        <v>0.1230473211427298</v>
      </c>
      <c r="AA32" s="668">
        <f t="shared" si="1"/>
        <v>2.1594062734597544E-3</v>
      </c>
      <c r="AB32" s="669">
        <f t="shared" si="8"/>
        <v>7.9178230026857657E-3</v>
      </c>
      <c r="AC32" s="670">
        <f t="shared" si="2"/>
        <v>0</v>
      </c>
      <c r="AD32" s="669"/>
      <c r="AE32" s="669"/>
      <c r="AF32" s="80"/>
      <c r="AG32" s="80"/>
      <c r="AS32" s="35"/>
      <c r="AT32" s="2"/>
      <c r="AU32" s="55"/>
      <c r="AV32" s="2"/>
    </row>
    <row r="33" spans="1:51">
      <c r="A33" s="234">
        <f t="shared" si="14"/>
        <v>16</v>
      </c>
      <c r="B33" s="235">
        <f>'GC E. Uro'!O25</f>
        <v>13.5</v>
      </c>
      <c r="C33" s="29">
        <f>'GC E. Uro'!P25</f>
        <v>22.950000000000003</v>
      </c>
      <c r="D33" s="55">
        <f t="shared" si="9"/>
        <v>5.5930600519422641E-2</v>
      </c>
      <c r="E33" s="44">
        <f t="shared" si="3"/>
        <v>6.7116720623307161E-2</v>
      </c>
      <c r="F33" s="51">
        <f t="shared" si="10"/>
        <v>3.5990104557662578E-3</v>
      </c>
      <c r="G33" s="259">
        <f t="shared" si="4"/>
        <v>4.3188125469195088E-3</v>
      </c>
      <c r="H33" s="111"/>
      <c r="I33" s="111">
        <f t="shared" si="15"/>
        <v>7.0500000000000007E-2</v>
      </c>
      <c r="J33" s="111"/>
      <c r="K33" s="263"/>
      <c r="L33" s="709">
        <f t="shared" si="16"/>
        <v>16</v>
      </c>
      <c r="M33" s="740">
        <f t="shared" si="11"/>
        <v>26.04</v>
      </c>
      <c r="N33" s="29">
        <f>'GC E. Uro'!AA25</f>
        <v>5.9153007692907406E-2</v>
      </c>
      <c r="O33" s="111">
        <f t="shared" si="12"/>
        <v>0.2637908992894995</v>
      </c>
      <c r="P33" s="111">
        <f t="shared" si="5"/>
        <v>0.31654907914739938</v>
      </c>
      <c r="Q33" s="111">
        <f t="shared" si="13"/>
        <v>3.728266635508326E-2</v>
      </c>
      <c r="R33" s="741">
        <f t="shared" si="6"/>
        <v>4.4739199626099908E-2</v>
      </c>
      <c r="S33" s="111"/>
      <c r="T33" s="111">
        <f t="shared" si="17"/>
        <v>7.0500000000000007E-2</v>
      </c>
      <c r="U33" s="667"/>
      <c r="V33" s="667"/>
      <c r="W33" s="667"/>
      <c r="X33" s="667"/>
      <c r="Y33" s="667">
        <f t="shared" si="0"/>
        <v>3.5800970430996781E-2</v>
      </c>
      <c r="Z33" s="668">
        <f t="shared" si="7"/>
        <v>0.13127022491365486</v>
      </c>
      <c r="AA33" s="668">
        <f t="shared" si="1"/>
        <v>2.2426101193431967E-3</v>
      </c>
      <c r="AB33" s="669">
        <f t="shared" si="8"/>
        <v>8.2229037709250549E-3</v>
      </c>
      <c r="AC33" s="670">
        <f t="shared" si="2"/>
        <v>0</v>
      </c>
      <c r="AD33" s="669"/>
      <c r="AE33" s="669"/>
      <c r="AF33" s="80"/>
      <c r="AG33" s="80"/>
      <c r="AS33" s="35"/>
      <c r="AT33" s="2"/>
      <c r="AU33" s="55"/>
      <c r="AV33" s="2"/>
    </row>
    <row r="34" spans="1:51">
      <c r="A34" s="234">
        <f t="shared" si="14"/>
        <v>17</v>
      </c>
      <c r="B34" s="235">
        <f>'GC E. Uro'!O26</f>
        <v>13.875</v>
      </c>
      <c r="C34" s="29">
        <f>'GC E. Uro'!P26</f>
        <v>23.700000000000003</v>
      </c>
      <c r="D34" s="55">
        <f t="shared" si="9"/>
        <v>5.9668284051661302E-2</v>
      </c>
      <c r="E34" s="44">
        <f t="shared" si="3"/>
        <v>7.1601940861993563E-2</v>
      </c>
      <c r="F34" s="51">
        <f t="shared" si="10"/>
        <v>3.7376835322386615E-3</v>
      </c>
      <c r="G34" s="259">
        <f t="shared" si="4"/>
        <v>4.4852202386863934E-3</v>
      </c>
      <c r="H34" s="111"/>
      <c r="I34" s="111">
        <f t="shared" si="15"/>
        <v>7.5200000000000003E-2</v>
      </c>
      <c r="J34" s="111"/>
      <c r="K34" s="263"/>
      <c r="L34" s="709">
        <f t="shared" si="16"/>
        <v>17</v>
      </c>
      <c r="M34" s="740">
        <f t="shared" si="11"/>
        <v>27.6675</v>
      </c>
      <c r="N34" s="29">
        <f>'GC E. Uro'!AA26</f>
        <v>6.4585909789978996E-2</v>
      </c>
      <c r="O34" s="111">
        <f t="shared" si="12"/>
        <v>0.30438442951200506</v>
      </c>
      <c r="P34" s="111">
        <f t="shared" si="5"/>
        <v>0.36526131541440604</v>
      </c>
      <c r="Q34" s="111">
        <f t="shared" si="13"/>
        <v>4.0593530222505558E-2</v>
      </c>
      <c r="R34" s="741">
        <f t="shared" si="6"/>
        <v>4.8712236267006666E-2</v>
      </c>
      <c r="S34" s="111"/>
      <c r="T34" s="111">
        <f t="shared" si="17"/>
        <v>7.5200000000000003E-2</v>
      </c>
      <c r="U34" s="667"/>
      <c r="V34" s="667"/>
      <c r="W34" s="667"/>
      <c r="X34" s="667"/>
      <c r="Y34" s="667">
        <f t="shared" si="0"/>
        <v>3.8127611517882111E-2</v>
      </c>
      <c r="Z34" s="668">
        <f t="shared" si="7"/>
        <v>0.13980124223223442</v>
      </c>
      <c r="AA34" s="668">
        <f t="shared" si="1"/>
        <v>2.3266410868853283E-3</v>
      </c>
      <c r="AB34" s="669">
        <f t="shared" si="8"/>
        <v>8.5310173185795379E-3</v>
      </c>
      <c r="AC34" s="670">
        <f t="shared" si="2"/>
        <v>0</v>
      </c>
      <c r="AD34" s="669"/>
      <c r="AE34" s="669"/>
      <c r="AF34" s="80"/>
      <c r="AG34" s="80"/>
      <c r="AS34" s="35"/>
      <c r="AT34" s="2"/>
      <c r="AU34" s="55"/>
      <c r="AV34" s="2"/>
    </row>
    <row r="35" spans="1:51">
      <c r="A35" s="234">
        <f t="shared" si="14"/>
        <v>18</v>
      </c>
      <c r="B35" s="235">
        <f>'GC E. Uro'!O27</f>
        <v>14.25</v>
      </c>
      <c r="C35" s="29">
        <f>'GC E. Uro'!P27</f>
        <v>24.450000000000003</v>
      </c>
      <c r="D35" s="55">
        <f t="shared" si="9"/>
        <v>6.3546019196470183E-2</v>
      </c>
      <c r="E35" s="44">
        <f t="shared" si="3"/>
        <v>7.6255223035764222E-2</v>
      </c>
      <c r="F35" s="51">
        <f t="shared" si="10"/>
        <v>3.8777351448088804E-3</v>
      </c>
      <c r="G35" s="259">
        <f t="shared" si="4"/>
        <v>4.6532821737706566E-3</v>
      </c>
      <c r="H35" s="111"/>
      <c r="I35" s="111">
        <f t="shared" si="15"/>
        <v>7.9900000000000013E-2</v>
      </c>
      <c r="J35" s="111"/>
      <c r="K35" s="263"/>
      <c r="L35" s="709">
        <f t="shared" si="16"/>
        <v>18</v>
      </c>
      <c r="M35" s="740">
        <f t="shared" si="11"/>
        <v>29.294999999999998</v>
      </c>
      <c r="N35" s="29">
        <f>'GC E. Uro'!AA27</f>
        <v>7.0344274642660909E-2</v>
      </c>
      <c r="O35" s="111">
        <f t="shared" si="12"/>
        <v>0.34836211125081878</v>
      </c>
      <c r="P35" s="111">
        <f t="shared" si="5"/>
        <v>0.41803453350098252</v>
      </c>
      <c r="Q35" s="111">
        <f t="shared" si="13"/>
        <v>4.3977681738813723E-2</v>
      </c>
      <c r="R35" s="741">
        <f t="shared" si="6"/>
        <v>5.2773218086576465E-2</v>
      </c>
      <c r="S35" s="111"/>
      <c r="T35" s="111">
        <f t="shared" si="17"/>
        <v>7.9900000000000013E-2</v>
      </c>
      <c r="U35" s="667"/>
      <c r="V35" s="667"/>
      <c r="W35" s="667"/>
      <c r="X35" s="667"/>
      <c r="Y35" s="667">
        <f t="shared" si="0"/>
        <v>4.0539096526934826E-2</v>
      </c>
      <c r="Z35" s="668">
        <f t="shared" si="7"/>
        <v>0.14864335393209435</v>
      </c>
      <c r="AA35" s="668">
        <f t="shared" si="1"/>
        <v>2.4114850090527187E-3</v>
      </c>
      <c r="AB35" s="669">
        <f t="shared" si="8"/>
        <v>8.8421116998599683E-3</v>
      </c>
      <c r="AC35" s="670">
        <f t="shared" si="2"/>
        <v>0</v>
      </c>
      <c r="AD35" s="669"/>
      <c r="AE35" s="669"/>
      <c r="AF35" s="80"/>
      <c r="AG35" s="80"/>
      <c r="AS35" s="35"/>
      <c r="AT35" s="2"/>
      <c r="AU35" s="55"/>
      <c r="AV35" s="2"/>
    </row>
    <row r="36" spans="1:51">
      <c r="A36" s="234">
        <f t="shared" si="14"/>
        <v>19</v>
      </c>
      <c r="B36" s="235">
        <f>'GC E. Uro'!O28</f>
        <v>14.625</v>
      </c>
      <c r="C36" s="29">
        <f>'GC E. Uro'!P28</f>
        <v>25.200000000000003</v>
      </c>
      <c r="D36" s="55">
        <f t="shared" si="9"/>
        <v>6.7565160878224714E-2</v>
      </c>
      <c r="E36" s="44">
        <f t="shared" si="3"/>
        <v>8.1078193053869652E-2</v>
      </c>
      <c r="F36" s="51">
        <f t="shared" si="10"/>
        <v>4.0191416817545317E-3</v>
      </c>
      <c r="G36" s="259">
        <f t="shared" si="4"/>
        <v>4.8229700181054375E-3</v>
      </c>
      <c r="H36" s="111"/>
      <c r="I36" s="111">
        <f t="shared" si="15"/>
        <v>8.4600000000000009E-2</v>
      </c>
      <c r="J36" s="111"/>
      <c r="K36" s="263"/>
      <c r="L36" s="709">
        <f t="shared" si="16"/>
        <v>19</v>
      </c>
      <c r="M36" s="740">
        <f t="shared" si="11"/>
        <v>30.922499999999999</v>
      </c>
      <c r="N36" s="29">
        <f>'GC E. Uro'!AA28</f>
        <v>7.6437842731143346E-2</v>
      </c>
      <c r="O36" s="111">
        <f t="shared" si="12"/>
        <v>0.39579452398656179</v>
      </c>
      <c r="P36" s="111">
        <f t="shared" si="5"/>
        <v>0.47495342878387414</v>
      </c>
      <c r="Q36" s="111">
        <f t="shared" si="13"/>
        <v>4.7432412735743001E-2</v>
      </c>
      <c r="R36" s="741">
        <f t="shared" si="6"/>
        <v>5.6918895282891596E-2</v>
      </c>
      <c r="S36" s="111"/>
      <c r="T36" s="111">
        <f t="shared" si="17"/>
        <v>8.4600000000000009E-2</v>
      </c>
      <c r="U36" s="667"/>
      <c r="V36" s="667"/>
      <c r="W36" s="667"/>
      <c r="X36" s="667"/>
      <c r="Y36" s="667">
        <f t="shared" si="0"/>
        <v>4.3036224852010745E-2</v>
      </c>
      <c r="Z36" s="668">
        <f t="shared" si="7"/>
        <v>0.1577994911240394</v>
      </c>
      <c r="AA36" s="668">
        <f t="shared" si="1"/>
        <v>2.4971283250759201E-3</v>
      </c>
      <c r="AB36" s="669">
        <f t="shared" si="8"/>
        <v>9.1561371919450397E-3</v>
      </c>
      <c r="AC36" s="670">
        <f t="shared" si="2"/>
        <v>0</v>
      </c>
      <c r="AD36" s="669"/>
      <c r="AE36" s="669"/>
      <c r="AF36" s="80"/>
      <c r="AG36" s="80"/>
      <c r="AS36" s="35"/>
      <c r="AT36" s="2"/>
      <c r="AU36" s="55"/>
      <c r="AV36" s="2"/>
    </row>
    <row r="37" spans="1:51">
      <c r="A37" s="234">
        <f t="shared" si="14"/>
        <v>20</v>
      </c>
      <c r="B37" s="235">
        <f>'GC E. Uro'!O29</f>
        <v>15</v>
      </c>
      <c r="C37" s="29">
        <f>'GC E. Uro'!P29</f>
        <v>25.950000000000003</v>
      </c>
      <c r="D37" s="55">
        <f t="shared" si="9"/>
        <v>7.1727041420017915E-2</v>
      </c>
      <c r="E37" s="44">
        <f t="shared" si="3"/>
        <v>8.6072449704021489E-2</v>
      </c>
      <c r="F37" s="51">
        <f t="shared" si="10"/>
        <v>4.1618805417932003E-3</v>
      </c>
      <c r="G37" s="259">
        <f t="shared" si="4"/>
        <v>4.9942566501518402E-3</v>
      </c>
      <c r="H37" s="111"/>
      <c r="I37" s="111">
        <f t="shared" si="15"/>
        <v>8.9300000000000004E-2</v>
      </c>
      <c r="J37" s="111"/>
      <c r="K37" s="263"/>
      <c r="L37" s="709">
        <f t="shared" si="16"/>
        <v>20</v>
      </c>
      <c r="M37" s="740">
        <f t="shared" si="11"/>
        <v>32.549999999999997</v>
      </c>
      <c r="N37" s="29">
        <f>'GC E. Uro'!AA29</f>
        <v>8.2876371128116327E-2</v>
      </c>
      <c r="O37" s="111">
        <f t="shared" si="12"/>
        <v>0.44674978188684539</v>
      </c>
      <c r="P37" s="111">
        <f t="shared" si="5"/>
        <v>0.53609973826421442</v>
      </c>
      <c r="Q37" s="111">
        <f t="shared" si="13"/>
        <v>5.0955257900283601E-2</v>
      </c>
      <c r="R37" s="741">
        <f t="shared" si="6"/>
        <v>6.1146309480340319E-2</v>
      </c>
      <c r="S37" s="111"/>
      <c r="T37" s="111">
        <f t="shared" si="17"/>
        <v>8.9300000000000004E-2</v>
      </c>
      <c r="U37" s="667"/>
      <c r="V37" s="667"/>
      <c r="W37" s="667"/>
      <c r="X37" s="667"/>
      <c r="Y37" s="667">
        <f t="shared" si="0"/>
        <v>4.561978289174163E-2</v>
      </c>
      <c r="Z37" s="668">
        <f t="shared" si="7"/>
        <v>0.16727253726971933</v>
      </c>
      <c r="AA37" s="668">
        <f t="shared" si="1"/>
        <v>2.5835580397308849E-3</v>
      </c>
      <c r="AB37" s="669">
        <f t="shared" si="8"/>
        <v>9.4730461456799114E-3</v>
      </c>
      <c r="AC37" s="670">
        <f t="shared" si="2"/>
        <v>0</v>
      </c>
      <c r="AD37" s="669"/>
      <c r="AE37" s="669"/>
      <c r="AF37" s="80"/>
      <c r="AG37" s="80"/>
      <c r="AT37" s="2"/>
      <c r="AU37" s="55"/>
      <c r="AV37" s="2"/>
    </row>
    <row r="38" spans="1:51">
      <c r="A38" s="234">
        <f t="shared" si="14"/>
        <v>21</v>
      </c>
      <c r="B38" s="235">
        <f>'GC E. Uro'!O30</f>
        <v>15.375</v>
      </c>
      <c r="C38" s="29">
        <f>'GC E. Uro'!P30</f>
        <v>26.700000000000003</v>
      </c>
      <c r="D38" s="55">
        <f t="shared" si="9"/>
        <v>7.6032971486236056E-2</v>
      </c>
      <c r="E38" s="44">
        <f t="shared" si="3"/>
        <v>9.1239565783483259E-2</v>
      </c>
      <c r="F38" s="51">
        <f t="shared" si="10"/>
        <v>4.3059300662181416E-3</v>
      </c>
      <c r="G38" s="259">
        <f t="shared" si="4"/>
        <v>5.1671160794617699E-3</v>
      </c>
      <c r="H38" s="111"/>
      <c r="I38" s="111">
        <f t="shared" si="15"/>
        <v>9.4000000000000014E-2</v>
      </c>
      <c r="J38" s="111"/>
      <c r="K38" s="263"/>
      <c r="L38" s="709">
        <f t="shared" si="16"/>
        <v>21</v>
      </c>
      <c r="M38" s="740">
        <f t="shared" si="11"/>
        <v>34.177500000000002</v>
      </c>
      <c r="N38" s="29">
        <f>'GC E. Uro'!AA30</f>
        <v>8.9669633085894485E-2</v>
      </c>
      <c r="O38" s="111">
        <f t="shared" si="12"/>
        <v>0.50129374338996269</v>
      </c>
      <c r="P38" s="111">
        <f t="shared" si="5"/>
        <v>0.60155249206795525</v>
      </c>
      <c r="Q38" s="111">
        <f t="shared" si="13"/>
        <v>5.45439615031173E-2</v>
      </c>
      <c r="R38" s="741">
        <f t="shared" si="6"/>
        <v>6.5452753803740757E-2</v>
      </c>
      <c r="S38" s="111"/>
      <c r="T38" s="111">
        <f t="shared" si="17"/>
        <v>9.4000000000000014E-2</v>
      </c>
      <c r="U38" s="667"/>
      <c r="V38" s="667"/>
      <c r="W38" s="667"/>
      <c r="X38" s="667"/>
      <c r="Y38" s="667">
        <f t="shared" si="0"/>
        <v>4.8290544578040627E-2</v>
      </c>
      <c r="Z38" s="668">
        <f t="shared" si="7"/>
        <v>0.17706533011948231</v>
      </c>
      <c r="AA38" s="668">
        <f t="shared" si="1"/>
        <v>2.6707616862989975E-3</v>
      </c>
      <c r="AB38" s="669">
        <f t="shared" si="8"/>
        <v>9.7927928497629907E-3</v>
      </c>
      <c r="AC38" s="670">
        <f t="shared" si="2"/>
        <v>0</v>
      </c>
      <c r="AD38" s="669"/>
      <c r="AE38" s="669"/>
      <c r="AF38" s="80"/>
      <c r="AG38" s="80"/>
      <c r="AT38" s="2"/>
      <c r="AU38" s="55"/>
      <c r="AV38" s="2"/>
    </row>
    <row r="39" spans="1:51">
      <c r="A39" s="234">
        <f t="shared" si="14"/>
        <v>22</v>
      </c>
      <c r="B39" s="235">
        <f>'GC E. Uro'!O31</f>
        <v>15.75</v>
      </c>
      <c r="C39" s="29">
        <f>'GC E. Uro'!P31</f>
        <v>27.450000000000003</v>
      </c>
      <c r="D39" s="55">
        <f t="shared" si="9"/>
        <v>8.0484240963401052E-2</v>
      </c>
      <c r="E39" s="44">
        <f t="shared" si="3"/>
        <v>9.6581089156081254E-2</v>
      </c>
      <c r="F39" s="51">
        <f t="shared" si="10"/>
        <v>4.4512694771649958E-3</v>
      </c>
      <c r="G39" s="259">
        <f t="shared" si="4"/>
        <v>5.3415233725979949E-3</v>
      </c>
      <c r="H39" s="111"/>
      <c r="I39" s="111">
        <f t="shared" si="15"/>
        <v>9.870000000000001E-2</v>
      </c>
      <c r="J39" s="111"/>
      <c r="K39" s="263"/>
      <c r="L39" s="709">
        <f t="shared" si="16"/>
        <v>22</v>
      </c>
      <c r="M39" s="740">
        <f t="shared" si="11"/>
        <v>35.805</v>
      </c>
      <c r="N39" s="29">
        <f>'GC E. Uro'!AA31</f>
        <v>9.6827417644128319E-2</v>
      </c>
      <c r="O39" s="111">
        <f t="shared" si="12"/>
        <v>0.55949019349641105</v>
      </c>
      <c r="P39" s="111">
        <f t="shared" si="5"/>
        <v>0.67138823219569321</v>
      </c>
      <c r="Q39" s="111">
        <f t="shared" si="13"/>
        <v>5.8196450106448361E-2</v>
      </c>
      <c r="R39" s="741">
        <f t="shared" si="6"/>
        <v>6.9835740127738036E-2</v>
      </c>
      <c r="S39" s="111"/>
      <c r="T39" s="111">
        <f t="shared" si="17"/>
        <v>9.870000000000001E-2</v>
      </c>
      <c r="U39" s="667"/>
      <c r="V39" s="667"/>
      <c r="W39" s="667"/>
      <c r="X39" s="667"/>
      <c r="Y39" s="667">
        <f t="shared" si="0"/>
        <v>5.1049271870831948E-2</v>
      </c>
      <c r="Z39" s="668">
        <f t="shared" si="7"/>
        <v>0.18718066352638382</v>
      </c>
      <c r="AA39" s="668">
        <f t="shared" si="1"/>
        <v>2.7587272927913158E-3</v>
      </c>
      <c r="AB39" s="669">
        <f t="shared" si="8"/>
        <v>1.0115333406901491E-2</v>
      </c>
      <c r="AC39" s="670">
        <f t="shared" si="2"/>
        <v>0</v>
      </c>
      <c r="AD39" s="669"/>
      <c r="AE39" s="669"/>
      <c r="AF39" s="80"/>
      <c r="AG39" s="80"/>
      <c r="AT39" s="2"/>
      <c r="AU39" s="55"/>
      <c r="AV39" s="2"/>
    </row>
    <row r="40" spans="1:51">
      <c r="A40" s="234">
        <f t="shared" si="14"/>
        <v>23</v>
      </c>
      <c r="B40" s="235">
        <f>'GC E. Uro'!O32</f>
        <v>16.125</v>
      </c>
      <c r="C40" s="29">
        <f>'GC E. Uro'!P32</f>
        <v>28.200000000000003</v>
      </c>
      <c r="D40" s="55">
        <f t="shared" si="9"/>
        <v>8.5082119784719912E-2</v>
      </c>
      <c r="E40" s="44">
        <f t="shared" si="3"/>
        <v>0.1020985437416639</v>
      </c>
      <c r="F40" s="51">
        <f t="shared" si="10"/>
        <v>4.5978788213188598E-3</v>
      </c>
      <c r="G40" s="259">
        <f t="shared" si="4"/>
        <v>5.5174545855826316E-3</v>
      </c>
      <c r="H40" s="111"/>
      <c r="I40" s="111">
        <f t="shared" si="15"/>
        <v>0.10340000000000001</v>
      </c>
      <c r="J40" s="111"/>
      <c r="K40" s="263"/>
      <c r="L40" s="709">
        <f t="shared" si="16"/>
        <v>23</v>
      </c>
      <c r="M40" s="740">
        <f t="shared" si="11"/>
        <v>37.432499999999997</v>
      </c>
      <c r="N40" s="29">
        <f>'GC E. Uro'!AA32</f>
        <v>0.10435952925659821</v>
      </c>
      <c r="O40" s="111">
        <f t="shared" si="12"/>
        <v>0.62140100344142912</v>
      </c>
      <c r="P40" s="111">
        <f t="shared" si="5"/>
        <v>0.74568120412971495</v>
      </c>
      <c r="Q40" s="111">
        <f t="shared" si="13"/>
        <v>6.1910809945018075E-2</v>
      </c>
      <c r="R40" s="741">
        <f t="shared" si="6"/>
        <v>7.4292971934021693E-2</v>
      </c>
      <c r="S40" s="111"/>
      <c r="T40" s="111">
        <f t="shared" si="17"/>
        <v>0.10340000000000001</v>
      </c>
      <c r="U40" s="667"/>
      <c r="V40" s="667"/>
      <c r="W40" s="667"/>
      <c r="X40" s="667"/>
      <c r="Y40" s="667">
        <f t="shared" si="0"/>
        <v>5.3896715221911869E-2</v>
      </c>
      <c r="Z40" s="668">
        <f t="shared" si="7"/>
        <v>0.19762128914701019</v>
      </c>
      <c r="AA40" s="668">
        <f t="shared" si="1"/>
        <v>2.8474433510799228E-3</v>
      </c>
      <c r="AB40" s="669">
        <f t="shared" si="8"/>
        <v>1.0440625620626384E-2</v>
      </c>
      <c r="AC40" s="670">
        <f t="shared" si="2"/>
        <v>0</v>
      </c>
      <c r="AD40" s="669"/>
      <c r="AE40" s="669"/>
      <c r="AF40" s="80"/>
      <c r="AG40" s="80"/>
      <c r="AT40" s="2"/>
      <c r="AU40" s="55"/>
      <c r="AV40" s="2"/>
    </row>
    <row r="41" spans="1:51">
      <c r="A41" s="234">
        <f t="shared" si="14"/>
        <v>24</v>
      </c>
      <c r="B41" s="235">
        <f>'GC E. Uro'!O33</f>
        <v>16.5</v>
      </c>
      <c r="C41" s="29">
        <f>'GC E. Uro'!P33</f>
        <v>28.950000000000003</v>
      </c>
      <c r="D41" s="55">
        <f t="shared" si="9"/>
        <v>8.982785870318645E-2</v>
      </c>
      <c r="E41" s="44">
        <f t="shared" si="3"/>
        <v>0.10779343044382374</v>
      </c>
      <c r="F41" s="51">
        <f t="shared" si="10"/>
        <v>4.7457389184665383E-3</v>
      </c>
      <c r="G41" s="259">
        <f t="shared" si="4"/>
        <v>5.6948867021598456E-3</v>
      </c>
      <c r="H41" s="111"/>
      <c r="I41" s="111">
        <f t="shared" si="15"/>
        <v>0.10810000000000002</v>
      </c>
      <c r="J41" s="111"/>
      <c r="K41" s="263"/>
      <c r="L41" s="709">
        <f t="shared" si="16"/>
        <v>24</v>
      </c>
      <c r="M41" s="740">
        <f t="shared" si="11"/>
        <v>39.06</v>
      </c>
      <c r="N41" s="29">
        <f>'GC E. Uro'!AA33</f>
        <v>0.11227578743572372</v>
      </c>
      <c r="O41" s="111">
        <f t="shared" si="12"/>
        <v>0.68708627144694479</v>
      </c>
      <c r="P41" s="111">
        <f t="shared" si="5"/>
        <v>0.82450352573633368</v>
      </c>
      <c r="Q41" s="111">
        <f t="shared" si="13"/>
        <v>6.5685268005515662E-2</v>
      </c>
      <c r="R41" s="741">
        <f t="shared" si="6"/>
        <v>7.8822321606618798E-2</v>
      </c>
      <c r="S41" s="111"/>
      <c r="T41" s="111">
        <f t="shared" si="17"/>
        <v>0.10810000000000002</v>
      </c>
      <c r="U41" s="667"/>
      <c r="V41" s="667"/>
      <c r="W41" s="667"/>
      <c r="X41" s="667"/>
      <c r="Y41" s="667">
        <f t="shared" si="0"/>
        <v>5.6833614010535292E-2</v>
      </c>
      <c r="Z41" s="668">
        <f t="shared" si="7"/>
        <v>0.20838991803862941</v>
      </c>
      <c r="AA41" s="668">
        <f t="shared" si="1"/>
        <v>2.9368987886234264E-3</v>
      </c>
      <c r="AB41" s="669">
        <f t="shared" si="8"/>
        <v>1.076862889161923E-2</v>
      </c>
      <c r="AC41" s="670">
        <f t="shared" si="2"/>
        <v>0</v>
      </c>
      <c r="AD41" s="669"/>
      <c r="AE41" s="669"/>
      <c r="AF41" s="80"/>
      <c r="AG41" s="80"/>
      <c r="AT41" s="2"/>
      <c r="AU41" s="55"/>
      <c r="AV41" s="2"/>
    </row>
    <row r="42" spans="1:51">
      <c r="A42" s="234">
        <f t="shared" si="14"/>
        <v>25</v>
      </c>
      <c r="B42" s="235">
        <f>'GC E. Uro'!O34</f>
        <v>16.875</v>
      </c>
      <c r="C42" s="29">
        <f>'GC E. Uro'!P34</f>
        <v>29.700000000000003</v>
      </c>
      <c r="D42" s="55">
        <f t="shared" si="9"/>
        <v>9.4722690017558828E-2</v>
      </c>
      <c r="E42" s="44">
        <f t="shared" si="3"/>
        <v>0.11366722802107058</v>
      </c>
      <c r="F42" s="51">
        <f t="shared" si="10"/>
        <v>4.8948313143723776E-3</v>
      </c>
      <c r="G42" s="259">
        <f t="shared" si="4"/>
        <v>5.8737975772468528E-3</v>
      </c>
      <c r="H42" s="111"/>
      <c r="I42" s="111">
        <f t="shared" si="15"/>
        <v>0.11280000000000001</v>
      </c>
      <c r="J42" s="111"/>
      <c r="K42" s="263"/>
      <c r="L42" s="709">
        <f t="shared" si="16"/>
        <v>25</v>
      </c>
      <c r="M42" s="740">
        <f t="shared" si="11"/>
        <v>40.6875</v>
      </c>
      <c r="N42" s="29">
        <f>'GC E. Uro'!AA34</f>
        <v>0.12058602641355343</v>
      </c>
      <c r="O42" s="111">
        <f t="shared" si="12"/>
        <v>0.75660444751320721</v>
      </c>
      <c r="P42" s="111">
        <f t="shared" si="5"/>
        <v>0.90792533701584865</v>
      </c>
      <c r="Q42" s="111">
        <f t="shared" si="13"/>
        <v>6.9518176066262427E-2</v>
      </c>
      <c r="R42" s="741">
        <f t="shared" si="6"/>
        <v>8.342181127951491E-2</v>
      </c>
      <c r="S42" s="111"/>
      <c r="T42" s="111">
        <f t="shared" si="17"/>
        <v>0.11280000000000001</v>
      </c>
      <c r="U42" s="667"/>
      <c r="V42" s="667"/>
      <c r="W42" s="667"/>
      <c r="X42" s="667"/>
      <c r="Y42" s="667">
        <f t="shared" si="0"/>
        <v>5.9860696953051823E-2</v>
      </c>
      <c r="Z42" s="668">
        <f t="shared" si="7"/>
        <v>0.21948922216119002</v>
      </c>
      <c r="AA42" s="668">
        <f t="shared" si="1"/>
        <v>3.0270829425165261E-3</v>
      </c>
      <c r="AB42" s="669">
        <f t="shared" si="8"/>
        <v>1.1099304122560596E-2</v>
      </c>
      <c r="AC42" s="670">
        <f t="shared" si="2"/>
        <v>0</v>
      </c>
      <c r="AD42" s="669"/>
      <c r="AE42" s="669"/>
      <c r="AF42" s="80"/>
      <c r="AG42" s="80"/>
      <c r="AT42" s="2"/>
      <c r="AU42" s="55"/>
      <c r="AV42" s="2"/>
    </row>
    <row r="43" spans="1:51">
      <c r="A43" s="234">
        <f t="shared" si="14"/>
        <v>26</v>
      </c>
      <c r="B43" s="235">
        <f>'GC E. Uro'!O35</f>
        <v>17.25</v>
      </c>
      <c r="C43" s="29">
        <f>'GC E. Uro'!P35</f>
        <v>30.450000000000003</v>
      </c>
      <c r="D43" s="55">
        <f t="shared" si="9"/>
        <v>9.9767828255086372E-2</v>
      </c>
      <c r="E43" s="44">
        <f t="shared" si="3"/>
        <v>0.11972139390610365</v>
      </c>
      <c r="F43" s="51">
        <f t="shared" si="10"/>
        <v>5.0451382375275439E-3</v>
      </c>
      <c r="G43" s="259">
        <f t="shared" si="4"/>
        <v>6.0541658850330523E-3</v>
      </c>
      <c r="H43" s="111"/>
      <c r="I43" s="111">
        <f t="shared" si="15"/>
        <v>0.11750000000000001</v>
      </c>
      <c r="J43" s="111"/>
      <c r="K43" s="263"/>
      <c r="L43" s="709">
        <f t="shared" si="16"/>
        <v>26</v>
      </c>
      <c r="M43" s="740">
        <f t="shared" si="11"/>
        <v>42.314999999999998</v>
      </c>
      <c r="N43" s="29">
        <f>'GC E. Uro'!AA35</f>
        <v>0.12930009481810789</v>
      </c>
      <c r="O43" s="111">
        <f t="shared" si="12"/>
        <v>0.8300124446439906</v>
      </c>
      <c r="P43" s="111">
        <f t="shared" si="5"/>
        <v>0.9960149335727887</v>
      </c>
      <c r="Q43" s="111">
        <f t="shared" si="13"/>
        <v>7.3407997130783387E-2</v>
      </c>
      <c r="R43" s="741">
        <f t="shared" si="6"/>
        <v>8.8089596556940056E-2</v>
      </c>
      <c r="S43" s="111"/>
      <c r="T43" s="111">
        <f t="shared" si="17"/>
        <v>0.11750000000000001</v>
      </c>
      <c r="U43" s="667"/>
      <c r="V43" s="667"/>
      <c r="W43" s="667"/>
      <c r="X43" s="667"/>
      <c r="Y43" s="667">
        <f t="shared" si="0"/>
        <v>6.297868248867583E-2</v>
      </c>
      <c r="Z43" s="668">
        <f t="shared" si="7"/>
        <v>0.23092183579181139</v>
      </c>
      <c r="AA43" s="668">
        <f t="shared" si="1"/>
        <v>3.1179855356240128E-3</v>
      </c>
      <c r="AB43" s="669">
        <f t="shared" si="8"/>
        <v>1.1432613630621381E-2</v>
      </c>
      <c r="AC43" s="670">
        <f t="shared" si="2"/>
        <v>0</v>
      </c>
      <c r="AD43" s="669"/>
      <c r="AE43" s="669"/>
      <c r="AF43" s="80"/>
      <c r="AG43" s="80"/>
      <c r="AT43" s="2"/>
      <c r="AU43" s="55"/>
      <c r="AV43" s="2"/>
    </row>
    <row r="44" spans="1:51">
      <c r="A44" s="234">
        <f t="shared" si="14"/>
        <v>27</v>
      </c>
      <c r="B44" s="235">
        <f>'GC E. Uro'!O36</f>
        <v>17.625</v>
      </c>
      <c r="C44" s="29">
        <f>'GC E. Uro'!P36</f>
        <v>31.200000000000003</v>
      </c>
      <c r="D44" s="55">
        <f t="shared" si="9"/>
        <v>0.10496447081445973</v>
      </c>
      <c r="E44" s="44">
        <f t="shared" si="3"/>
        <v>0.12595736497735166</v>
      </c>
      <c r="F44" s="51">
        <f t="shared" si="10"/>
        <v>5.1966425593733545E-3</v>
      </c>
      <c r="G44" s="259">
        <f t="shared" si="4"/>
        <v>6.2359710712480256E-3</v>
      </c>
      <c r="H44" s="111"/>
      <c r="I44" s="111">
        <f t="shared" si="15"/>
        <v>0.12220000000000002</v>
      </c>
      <c r="J44" s="111"/>
      <c r="K44" s="263"/>
      <c r="L44" s="709">
        <f t="shared" si="16"/>
        <v>27</v>
      </c>
      <c r="M44" s="740">
        <f t="shared" si="11"/>
        <v>43.942499999999995</v>
      </c>
      <c r="N44" s="29">
        <f>'GC E. Uro'!AA36</f>
        <v>0.13842785536405042</v>
      </c>
      <c r="O44" s="111">
        <f t="shared" si="12"/>
        <v>0.90736573845949431</v>
      </c>
      <c r="P44" s="111">
        <f t="shared" si="5"/>
        <v>1.0888388861513931</v>
      </c>
      <c r="Q44" s="111">
        <f t="shared" si="13"/>
        <v>7.735329381550371E-2</v>
      </c>
      <c r="R44" s="741">
        <f t="shared" si="6"/>
        <v>9.2823952578604443E-2</v>
      </c>
      <c r="S44" s="111"/>
      <c r="T44" s="111">
        <f t="shared" si="17"/>
        <v>0.12220000000000002</v>
      </c>
      <c r="U44" s="667"/>
      <c r="V44" s="667"/>
      <c r="W44" s="667"/>
      <c r="X44" s="667"/>
      <c r="Y44" s="667">
        <f t="shared" si="0"/>
        <v>6.6188279143267525E-2</v>
      </c>
      <c r="Z44" s="668">
        <f t="shared" si="7"/>
        <v>0.24269035685864759</v>
      </c>
      <c r="AA44" s="668">
        <f t="shared" si="1"/>
        <v>3.209596654591698E-3</v>
      </c>
      <c r="AB44" s="669">
        <f t="shared" si="8"/>
        <v>1.1768521066836226E-2</v>
      </c>
      <c r="AC44" s="670">
        <f t="shared" si="2"/>
        <v>0</v>
      </c>
      <c r="AD44" s="669"/>
      <c r="AE44" s="669"/>
      <c r="AF44" s="80"/>
      <c r="AG44" s="80"/>
      <c r="AT44" s="2"/>
      <c r="AU44" s="55"/>
      <c r="AV44" s="2"/>
    </row>
    <row r="45" spans="1:51">
      <c r="A45" s="234">
        <f t="shared" si="14"/>
        <v>28</v>
      </c>
      <c r="B45" s="235">
        <f>'GC E. Uro'!O37</f>
        <v>18</v>
      </c>
      <c r="C45" s="29">
        <f>'GC E. Uro'!P37</f>
        <v>31.950000000000003</v>
      </c>
      <c r="D45" s="55">
        <f t="shared" si="9"/>
        <v>0.11031379857211256</v>
      </c>
      <c r="E45" s="44">
        <f t="shared" si="3"/>
        <v>0.13237655828653505</v>
      </c>
      <c r="F45" s="51">
        <f t="shared" si="10"/>
        <v>5.3493277576528303E-3</v>
      </c>
      <c r="G45" s="259">
        <f t="shared" si="4"/>
        <v>6.419193309183396E-3</v>
      </c>
      <c r="H45" s="111"/>
      <c r="I45" s="111">
        <f t="shared" si="15"/>
        <v>0.12689999999999999</v>
      </c>
      <c r="J45" s="111"/>
      <c r="K45" s="263"/>
      <c r="L45" s="709">
        <f t="shared" si="16"/>
        <v>28</v>
      </c>
      <c r="M45" s="740">
        <f t="shared" si="11"/>
        <v>45.57</v>
      </c>
      <c r="N45" s="29">
        <f>'GC E. Uro'!AA37</f>
        <v>0.14797918455675135</v>
      </c>
      <c r="O45" s="111">
        <f t="shared" si="12"/>
        <v>0.98871845680571868</v>
      </c>
      <c r="P45" s="111">
        <f t="shared" si="5"/>
        <v>1.1864621481668625</v>
      </c>
      <c r="Q45" s="111">
        <f t="shared" si="13"/>
        <v>8.1352718346224373E-2</v>
      </c>
      <c r="R45" s="741">
        <f t="shared" si="6"/>
        <v>9.7623262015469239E-2</v>
      </c>
      <c r="S45" s="111"/>
      <c r="T45" s="111">
        <f t="shared" si="17"/>
        <v>0.12689999999999999</v>
      </c>
      <c r="U45" s="667"/>
      <c r="V45" s="667"/>
      <c r="W45" s="667"/>
      <c r="X45" s="667"/>
      <c r="Y45" s="667">
        <f t="shared" si="0"/>
        <v>6.9490185872815552E-2</v>
      </c>
      <c r="Z45" s="668">
        <f t="shared" si="7"/>
        <v>0.25479734820032368</v>
      </c>
      <c r="AA45" s="668">
        <f t="shared" si="1"/>
        <v>3.3019067295480208E-3</v>
      </c>
      <c r="AB45" s="669">
        <f t="shared" si="8"/>
        <v>1.2106991341676076E-2</v>
      </c>
      <c r="AC45" s="670">
        <f t="shared" si="2"/>
        <v>0</v>
      </c>
      <c r="AD45" s="669"/>
      <c r="AE45" s="669"/>
      <c r="AF45" s="80"/>
      <c r="AG45" s="80"/>
      <c r="AT45" s="2"/>
      <c r="AU45" s="55"/>
      <c r="AV45" s="2"/>
    </row>
    <row r="46" spans="1:51">
      <c r="A46" s="234">
        <f t="shared" si="14"/>
        <v>29</v>
      </c>
      <c r="B46" s="235">
        <f>'GC E. Uro'!O38</f>
        <v>18.375</v>
      </c>
      <c r="C46" s="29">
        <f>'GC E. Uro'!P38</f>
        <v>32.700000000000003</v>
      </c>
      <c r="D46" s="55">
        <f t="shared" si="9"/>
        <v>0.11581697645469259</v>
      </c>
      <c r="E46" s="44">
        <f t="shared" si="3"/>
        <v>0.1389803717456311</v>
      </c>
      <c r="F46" s="51">
        <f t="shared" si="10"/>
        <v>5.5031778825800348E-3</v>
      </c>
      <c r="G46" s="259">
        <f t="shared" si="4"/>
        <v>6.6038134590960416E-3</v>
      </c>
      <c r="H46" s="111"/>
      <c r="I46" s="111">
        <f t="shared" si="15"/>
        <v>0.13159999999999999</v>
      </c>
      <c r="J46" s="111"/>
      <c r="K46" s="263"/>
      <c r="L46" s="709">
        <f t="shared" si="16"/>
        <v>29</v>
      </c>
      <c r="M46" s="740">
        <f t="shared" si="11"/>
        <v>47.197499999999998</v>
      </c>
      <c r="N46" s="29">
        <f>'GC E. Uro'!AA38</f>
        <v>0.15796397240888621</v>
      </c>
      <c r="O46" s="111">
        <f t="shared" si="12"/>
        <v>1.0741234606953123</v>
      </c>
      <c r="P46" s="111">
        <f t="shared" si="5"/>
        <v>1.2889481528343747</v>
      </c>
      <c r="Q46" s="111">
        <f t="shared" si="13"/>
        <v>8.54050038895936E-2</v>
      </c>
      <c r="R46" s="741">
        <f t="shared" si="6"/>
        <v>0.10248600466751231</v>
      </c>
      <c r="S46" s="111"/>
      <c r="T46" s="111">
        <f t="shared" si="17"/>
        <v>0.13159999999999999</v>
      </c>
      <c r="U46" s="667"/>
      <c r="V46" s="667"/>
      <c r="W46" s="667"/>
      <c r="X46" s="667"/>
      <c r="Y46" s="667">
        <f t="shared" si="0"/>
        <v>7.2885092388152536E-2</v>
      </c>
      <c r="Z46" s="668">
        <f t="shared" si="7"/>
        <v>0.26724533875655931</v>
      </c>
      <c r="AA46" s="668">
        <f t="shared" si="1"/>
        <v>3.3949065153369815E-3</v>
      </c>
      <c r="AB46" s="669">
        <f t="shared" si="8"/>
        <v>1.2447990556235598E-2</v>
      </c>
      <c r="AC46" s="670">
        <f t="shared" si="2"/>
        <v>0</v>
      </c>
      <c r="AD46" s="669"/>
      <c r="AE46" s="669"/>
      <c r="AF46" s="80"/>
      <c r="AG46" s="80"/>
      <c r="AT46" s="2"/>
      <c r="AU46" s="55"/>
      <c r="AV46" s="2"/>
    </row>
    <row r="47" spans="1:51" ht="15">
      <c r="A47" s="234">
        <f t="shared" si="14"/>
        <v>30</v>
      </c>
      <c r="B47" s="235">
        <f>'GC E. Uro'!O39</f>
        <v>18.75</v>
      </c>
      <c r="C47" s="29">
        <f>'GC E. Uro'!P39</f>
        <v>33.450000000000003</v>
      </c>
      <c r="D47" s="55">
        <f t="shared" si="9"/>
        <v>0.12147515398025423</v>
      </c>
      <c r="E47" s="44">
        <f t="shared" si="3"/>
        <v>0.14577018477630507</v>
      </c>
      <c r="F47" s="51">
        <f t="shared" si="10"/>
        <v>5.6581775255616362E-3</v>
      </c>
      <c r="G47" s="259">
        <f t="shared" si="4"/>
        <v>6.7898130306739629E-3</v>
      </c>
      <c r="H47" s="111"/>
      <c r="I47" s="111">
        <f>G11*A47</f>
        <v>0.14106792075126295</v>
      </c>
      <c r="J47" s="111"/>
      <c r="K47" s="263"/>
      <c r="L47" s="709">
        <f t="shared" si="16"/>
        <v>30</v>
      </c>
      <c r="M47" s="740">
        <f t="shared" si="11"/>
        <v>48.824999999999996</v>
      </c>
      <c r="N47" s="29">
        <f>'GC E. Uro'!AA39</f>
        <v>0.16839212216878419</v>
      </c>
      <c r="O47" s="111">
        <f t="shared" si="12"/>
        <v>1.1636324176957196</v>
      </c>
      <c r="P47" s="111">
        <f t="shared" si="5"/>
        <v>1.3963589012348634</v>
      </c>
      <c r="Q47" s="111">
        <f t="shared" si="13"/>
        <v>8.9508957000407285E-2</v>
      </c>
      <c r="R47" s="741">
        <f t="shared" si="6"/>
        <v>0.10741074840048874</v>
      </c>
      <c r="S47" s="111"/>
      <c r="T47" s="111">
        <f>R11*L47</f>
        <v>1.3513150657111581</v>
      </c>
      <c r="U47" s="667"/>
      <c r="V47" s="667"/>
      <c r="W47" s="667"/>
      <c r="X47" s="667"/>
      <c r="Y47" s="667"/>
      <c r="Z47" s="80"/>
      <c r="AA47" s="671"/>
      <c r="AB47" s="672" t="s">
        <v>860</v>
      </c>
      <c r="AC47" s="670">
        <f>SUM(AC16:AC46)</f>
        <v>0</v>
      </c>
      <c r="AD47" s="80"/>
      <c r="AE47" s="80"/>
      <c r="AF47" s="80"/>
      <c r="AG47" s="80"/>
      <c r="AS47" s="35"/>
      <c r="AW47" s="2"/>
      <c r="AX47" s="2"/>
      <c r="AY47" s="2"/>
    </row>
    <row r="48" spans="1:51">
      <c r="A48" s="29"/>
      <c r="B48" s="36"/>
      <c r="C48" s="36"/>
      <c r="D48" s="36"/>
      <c r="F48" s="36"/>
      <c r="G48" s="36"/>
      <c r="H48" s="111"/>
      <c r="I48" s="111"/>
      <c r="J48" s="111"/>
      <c r="K48" s="260"/>
      <c r="L48" s="29"/>
      <c r="M48" s="111"/>
      <c r="N48" s="111"/>
      <c r="O48" s="111"/>
      <c r="Q48" s="111"/>
      <c r="R48" s="111"/>
      <c r="S48" s="111"/>
      <c r="T48" s="111"/>
      <c r="U48" s="80"/>
      <c r="V48" s="80"/>
      <c r="W48" s="80"/>
      <c r="X48" s="80"/>
      <c r="Y48" s="80"/>
      <c r="Z48" s="80"/>
      <c r="AA48" s="668">
        <f>G11*10</f>
        <v>4.7022640250420987E-2</v>
      </c>
      <c r="AB48" s="80"/>
      <c r="AC48" s="670"/>
      <c r="AD48" s="670"/>
      <c r="AE48" s="670"/>
      <c r="AF48" s="80"/>
      <c r="AG48" s="80"/>
      <c r="AU48" s="2"/>
      <c r="AV48" s="2"/>
      <c r="AW48" s="2"/>
    </row>
    <row r="49" spans="1:50" ht="16">
      <c r="H49" s="229"/>
      <c r="I49" s="229"/>
      <c r="J49" s="229"/>
      <c r="K49" s="260"/>
      <c r="U49" s="80"/>
      <c r="V49" s="80"/>
      <c r="W49" s="80"/>
      <c r="X49" s="80"/>
      <c r="Y49" s="80"/>
      <c r="Z49" s="80"/>
      <c r="AA49" s="80"/>
      <c r="AB49" s="673" t="s">
        <v>861</v>
      </c>
      <c r="AC49" s="667">
        <f>G11*0.5*44/12</f>
        <v>8.6208173792438475E-3</v>
      </c>
      <c r="AD49" s="667"/>
      <c r="AE49" s="667"/>
      <c r="AF49" s="80"/>
      <c r="AG49" s="80"/>
      <c r="AU49" s="2"/>
      <c r="AV49" s="2"/>
      <c r="AW49" s="2"/>
    </row>
    <row r="50" spans="1:50" ht="15">
      <c r="H50" s="229"/>
      <c r="I50" s="229"/>
      <c r="J50" s="229"/>
      <c r="K50" s="260"/>
      <c r="U50" s="80"/>
      <c r="V50" s="80"/>
      <c r="W50" s="80"/>
      <c r="X50" s="80"/>
      <c r="Y50" s="80"/>
      <c r="Z50" s="80"/>
      <c r="AA50" s="80"/>
      <c r="AB50" s="672" t="s">
        <v>862</v>
      </c>
      <c r="AC50" s="670">
        <f>AC49*B10*A47</f>
        <v>0</v>
      </c>
      <c r="AD50" s="667"/>
      <c r="AE50" s="667"/>
      <c r="AF50" s="667"/>
      <c r="AG50" s="667"/>
      <c r="AH50" s="36"/>
      <c r="AI50" s="36"/>
      <c r="AJ50" s="36"/>
      <c r="AK50" s="35"/>
      <c r="AL50" s="35"/>
      <c r="AN50" s="35"/>
      <c r="AO50" s="35"/>
      <c r="AQ50" s="35"/>
      <c r="AU50" s="2"/>
      <c r="AV50" s="2"/>
      <c r="AW50" s="2"/>
    </row>
    <row r="51" spans="1:50">
      <c r="H51" s="229"/>
      <c r="I51" s="229"/>
      <c r="J51" s="229"/>
      <c r="K51" s="263"/>
      <c r="U51" s="667"/>
      <c r="V51" s="667"/>
      <c r="W51" s="667"/>
      <c r="X51" s="667"/>
      <c r="Y51" s="667"/>
      <c r="Z51" s="667"/>
      <c r="AA51" s="667"/>
      <c r="AB51" s="667"/>
      <c r="AC51" s="667"/>
      <c r="AD51" s="667"/>
      <c r="AE51" s="667"/>
      <c r="AF51" s="667"/>
      <c r="AG51" s="667"/>
      <c r="AH51" s="36"/>
      <c r="AI51" s="36"/>
      <c r="AJ51" s="36"/>
      <c r="AK51" s="36"/>
      <c r="AL51" s="35"/>
      <c r="AM51" s="35"/>
      <c r="AO51" s="35"/>
      <c r="AP51" s="35"/>
      <c r="AR51" s="35"/>
      <c r="AV51" s="2"/>
      <c r="AW51" s="2"/>
      <c r="AX51" s="2"/>
    </row>
    <row r="52" spans="1:50">
      <c r="A52" s="29"/>
      <c r="B52" s="36"/>
      <c r="C52" s="36"/>
      <c r="D52" s="36"/>
      <c r="E52" s="36"/>
      <c r="F52" s="36"/>
      <c r="G52" s="36"/>
      <c r="H52" s="111"/>
      <c r="I52" s="111"/>
      <c r="J52" s="111"/>
      <c r="K52" s="263"/>
      <c r="L52" s="29"/>
      <c r="M52" s="111"/>
      <c r="N52" s="111"/>
      <c r="O52" s="111"/>
      <c r="P52" s="111"/>
      <c r="Q52" s="111"/>
      <c r="R52" s="111"/>
      <c r="S52" s="111"/>
      <c r="T52" s="111"/>
      <c r="U52" s="667"/>
      <c r="V52" s="667"/>
      <c r="W52" s="667"/>
      <c r="X52" s="667"/>
      <c r="Y52" s="667"/>
      <c r="Z52" s="667"/>
      <c r="AA52" s="667"/>
      <c r="AB52" s="667"/>
      <c r="AC52" s="667"/>
      <c r="AD52" s="667"/>
      <c r="AE52" s="667"/>
      <c r="AF52" s="667"/>
      <c r="AG52" s="667"/>
      <c r="AH52" s="36"/>
      <c r="AI52" s="36"/>
      <c r="AJ52" s="36"/>
      <c r="AK52" s="35"/>
      <c r="AL52" s="35"/>
      <c r="AN52" s="35"/>
      <c r="AO52" s="35"/>
      <c r="AQ52" s="35"/>
      <c r="AU52" s="2"/>
      <c r="AV52" s="2"/>
      <c r="AW52" s="2"/>
    </row>
    <row r="53" spans="1:50">
      <c r="A53" s="29"/>
      <c r="B53" s="36"/>
      <c r="C53" s="36"/>
      <c r="D53" s="36"/>
      <c r="E53" s="36"/>
      <c r="F53" s="36"/>
      <c r="G53" s="36"/>
      <c r="H53" s="111"/>
      <c r="I53" s="111"/>
      <c r="J53" s="111"/>
      <c r="K53" s="263"/>
      <c r="L53" s="29"/>
      <c r="M53" s="111"/>
      <c r="N53" s="111"/>
      <c r="O53" s="111"/>
      <c r="P53" s="111"/>
      <c r="Q53" s="111"/>
      <c r="R53" s="111"/>
      <c r="S53" s="111"/>
      <c r="T53" s="111"/>
      <c r="U53" s="667"/>
      <c r="V53" s="667"/>
      <c r="W53" s="667"/>
      <c r="X53" s="667"/>
      <c r="Y53" s="667"/>
      <c r="Z53" s="667"/>
      <c r="AA53" s="667"/>
      <c r="AB53" s="667"/>
      <c r="AC53" s="667"/>
      <c r="AD53" s="667"/>
      <c r="AE53" s="667"/>
      <c r="AF53" s="667"/>
      <c r="AG53" s="667"/>
      <c r="AH53" s="36"/>
      <c r="AI53" s="36"/>
      <c r="AJ53" s="36"/>
      <c r="AK53" s="35"/>
      <c r="AL53" s="35"/>
      <c r="AN53" s="35"/>
      <c r="AO53" s="35"/>
      <c r="AQ53" s="35"/>
      <c r="AU53" s="2"/>
      <c r="AV53" s="2"/>
      <c r="AW53" s="2"/>
    </row>
    <row r="54" spans="1:50">
      <c r="A54" s="58"/>
      <c r="C54" s="36"/>
      <c r="D54" s="36"/>
      <c r="E54" s="36"/>
      <c r="F54" s="36"/>
      <c r="G54" s="36"/>
      <c r="H54" s="111"/>
      <c r="I54" s="111"/>
      <c r="J54" s="111"/>
      <c r="K54" s="261"/>
      <c r="L54" s="58"/>
      <c r="N54" s="111"/>
      <c r="O54" s="111"/>
      <c r="P54" s="111"/>
      <c r="Q54" s="111"/>
      <c r="R54" s="111"/>
      <c r="S54" s="111"/>
      <c r="T54" s="111"/>
      <c r="U54" s="84"/>
      <c r="V54" s="84"/>
      <c r="W54" s="84"/>
      <c r="X54" s="84"/>
      <c r="Y54" s="667"/>
      <c r="Z54" s="667"/>
      <c r="AA54" s="667"/>
      <c r="AB54" s="667"/>
      <c r="AC54" s="669"/>
      <c r="AD54" s="669"/>
      <c r="AE54" s="80"/>
      <c r="AF54" s="669"/>
      <c r="AG54" s="669"/>
      <c r="AI54" s="35"/>
      <c r="AM54" s="2"/>
      <c r="AN54" s="2"/>
      <c r="AO54" s="2"/>
    </row>
    <row r="55" spans="1:50">
      <c r="A55" s="2"/>
      <c r="B55" s="2"/>
      <c r="C55" s="2"/>
      <c r="D55" s="2"/>
      <c r="E55" s="2"/>
      <c r="F55" s="2"/>
      <c r="G55" s="2"/>
      <c r="I55" s="2"/>
      <c r="J55" s="2"/>
      <c r="K55" s="261"/>
      <c r="L55" s="192"/>
      <c r="M55" s="192"/>
      <c r="N55" s="192"/>
      <c r="O55" s="192"/>
      <c r="P55" s="192"/>
      <c r="Q55" s="192"/>
      <c r="R55" s="192"/>
      <c r="T55" s="192"/>
      <c r="U55" s="84"/>
      <c r="V55" s="84"/>
      <c r="W55" s="84"/>
      <c r="X55" s="84"/>
      <c r="Y55" s="667"/>
      <c r="Z55" s="667"/>
      <c r="AA55" s="667"/>
      <c r="AB55" s="667"/>
      <c r="AC55" s="669"/>
      <c r="AD55" s="669"/>
      <c r="AE55" s="80"/>
      <c r="AF55" s="669"/>
      <c r="AG55" s="669"/>
      <c r="AI55" s="35"/>
      <c r="AM55" s="2"/>
      <c r="AN55" s="2"/>
      <c r="AO55" s="2"/>
    </row>
    <row r="56" spans="1:50">
      <c r="A56" s="29"/>
      <c r="B56" s="29"/>
      <c r="C56" s="2"/>
      <c r="D56" s="2"/>
      <c r="E56" s="2"/>
      <c r="F56" s="2"/>
      <c r="G56" s="2"/>
      <c r="I56" s="2"/>
      <c r="J56" s="2"/>
      <c r="K56" s="262"/>
      <c r="L56" s="29"/>
      <c r="M56" s="29"/>
      <c r="N56" s="192"/>
      <c r="O56" s="192"/>
      <c r="P56" s="192"/>
      <c r="Q56" s="192"/>
      <c r="R56" s="192"/>
      <c r="T56" s="192"/>
      <c r="U56" s="665"/>
      <c r="V56" s="665"/>
      <c r="W56" s="665"/>
      <c r="X56" s="665"/>
      <c r="Y56" s="667"/>
      <c r="Z56" s="667"/>
      <c r="AA56" s="667"/>
      <c r="AB56" s="667"/>
      <c r="AC56" s="669"/>
      <c r="AD56" s="669"/>
      <c r="AE56" s="80"/>
      <c r="AF56" s="669"/>
      <c r="AG56" s="669"/>
      <c r="AI56" s="35"/>
      <c r="AM56" s="2"/>
      <c r="AN56" s="2"/>
      <c r="AO56" s="2"/>
    </row>
    <row r="57" spans="1:50">
      <c r="A57" s="2"/>
      <c r="B57" s="29"/>
      <c r="C57" s="29"/>
      <c r="D57" s="29"/>
      <c r="E57" s="29"/>
      <c r="F57" s="29"/>
      <c r="G57" s="29"/>
      <c r="H57" s="42"/>
      <c r="I57" s="29"/>
      <c r="J57" s="29"/>
      <c r="K57" s="264"/>
      <c r="L57" s="192"/>
      <c r="M57" s="29"/>
      <c r="N57" s="29"/>
      <c r="O57" s="29"/>
      <c r="P57" s="29"/>
      <c r="Q57" s="29"/>
      <c r="R57" s="29"/>
      <c r="S57" s="42"/>
      <c r="T57" s="29"/>
      <c r="U57" s="669"/>
      <c r="V57" s="669"/>
      <c r="W57" s="669"/>
      <c r="X57" s="669"/>
      <c r="Y57" s="667"/>
      <c r="Z57" s="667"/>
      <c r="AA57" s="667"/>
      <c r="AB57" s="667"/>
      <c r="AC57" s="669"/>
      <c r="AD57" s="669"/>
      <c r="AE57" s="80"/>
      <c r="AF57" s="669"/>
      <c r="AG57" s="669"/>
      <c r="AI57" s="35"/>
      <c r="AM57" s="2"/>
      <c r="AN57" s="2"/>
      <c r="AO57" s="2"/>
    </row>
    <row r="58" spans="1:50">
      <c r="A58" s="2"/>
      <c r="B58" s="29"/>
      <c r="C58" s="56"/>
      <c r="D58" s="44"/>
      <c r="E58" s="44"/>
      <c r="F58" s="49"/>
      <c r="G58" s="52"/>
      <c r="H58" s="54"/>
      <c r="I58" s="51"/>
      <c r="J58" s="36"/>
      <c r="K58" s="264"/>
      <c r="L58" s="192"/>
      <c r="M58" s="29"/>
      <c r="N58" s="111"/>
      <c r="O58" s="111"/>
      <c r="P58" s="111"/>
      <c r="Q58" s="116"/>
      <c r="R58" s="86"/>
      <c r="S58" s="54"/>
      <c r="T58" s="111"/>
      <c r="U58" s="669"/>
      <c r="V58" s="669"/>
      <c r="W58" s="669"/>
      <c r="X58" s="669"/>
      <c r="Y58" s="667"/>
      <c r="Z58" s="667"/>
      <c r="AA58" s="667"/>
      <c r="AB58" s="667"/>
      <c r="AC58" s="669"/>
      <c r="AD58" s="669"/>
      <c r="AE58" s="80"/>
      <c r="AF58" s="669"/>
      <c r="AG58" s="669"/>
      <c r="AI58" s="35"/>
      <c r="AM58" s="2"/>
      <c r="AN58" s="2"/>
      <c r="AO58" s="2"/>
    </row>
    <row r="59" spans="1:50">
      <c r="A59" s="2"/>
      <c r="B59" s="29"/>
      <c r="C59" s="56"/>
      <c r="D59" s="44"/>
      <c r="E59" s="44"/>
      <c r="F59" s="49"/>
      <c r="G59" s="52"/>
      <c r="H59" s="36"/>
      <c r="I59" s="51"/>
      <c r="J59" s="36"/>
      <c r="K59" s="264"/>
      <c r="L59" s="192"/>
      <c r="M59" s="29"/>
      <c r="N59" s="111"/>
      <c r="O59" s="111"/>
      <c r="P59" s="111"/>
      <c r="Q59" s="116"/>
      <c r="R59" s="86"/>
      <c r="S59" s="111"/>
      <c r="T59" s="111"/>
      <c r="U59" s="669"/>
      <c r="V59" s="669"/>
      <c r="W59" s="669"/>
      <c r="X59" s="669"/>
      <c r="Y59" s="667"/>
      <c r="Z59" s="667"/>
      <c r="AA59" s="667"/>
      <c r="AB59" s="667"/>
      <c r="AC59" s="669"/>
      <c r="AD59" s="669"/>
      <c r="AE59" s="80"/>
      <c r="AF59" s="669"/>
      <c r="AG59" s="669"/>
      <c r="AI59" s="35"/>
      <c r="AM59" s="2"/>
      <c r="AN59" s="2"/>
      <c r="AO59" s="2"/>
    </row>
    <row r="60" spans="1:50">
      <c r="A60" s="2"/>
      <c r="B60" s="29"/>
      <c r="C60" s="56"/>
      <c r="D60" s="44"/>
      <c r="E60" s="44"/>
      <c r="F60" s="49"/>
      <c r="G60" s="52"/>
      <c r="H60" s="36"/>
      <c r="I60" s="51"/>
      <c r="J60" s="36"/>
      <c r="K60" s="264"/>
      <c r="L60" s="192"/>
      <c r="M60" s="29"/>
      <c r="N60" s="111"/>
      <c r="O60" s="111"/>
      <c r="P60" s="111"/>
      <c r="Q60" s="116"/>
      <c r="R60" s="86"/>
      <c r="S60" s="111"/>
      <c r="T60" s="111"/>
      <c r="U60" s="669"/>
      <c r="V60" s="669"/>
      <c r="W60" s="669"/>
      <c r="X60" s="669"/>
      <c r="Y60" s="667"/>
      <c r="Z60" s="667"/>
      <c r="AA60" s="667"/>
      <c r="AB60" s="667"/>
      <c r="AC60" s="669"/>
      <c r="AD60" s="669"/>
      <c r="AE60" s="80"/>
      <c r="AF60" s="669"/>
      <c r="AG60" s="669"/>
      <c r="AI60" s="35"/>
      <c r="AM60" s="2"/>
      <c r="AN60" s="2"/>
      <c r="AO60" s="2"/>
    </row>
    <row r="61" spans="1:50">
      <c r="A61" s="2"/>
      <c r="B61" s="29"/>
      <c r="C61" s="56"/>
      <c r="D61" s="44"/>
      <c r="E61" s="44"/>
      <c r="F61" s="49"/>
      <c r="G61" s="52"/>
      <c r="H61" s="36"/>
      <c r="I61" s="51"/>
      <c r="J61" s="36"/>
      <c r="K61" s="264"/>
      <c r="L61" s="192"/>
      <c r="M61" s="29"/>
      <c r="N61" s="111"/>
      <c r="O61" s="111"/>
      <c r="P61" s="111"/>
      <c r="Q61" s="116"/>
      <c r="R61" s="86"/>
      <c r="S61" s="111"/>
      <c r="T61" s="111"/>
      <c r="U61" s="669"/>
      <c r="V61" s="669"/>
      <c r="W61" s="669"/>
      <c r="X61" s="669"/>
      <c r="Y61" s="667"/>
      <c r="Z61" s="667"/>
      <c r="AA61" s="667"/>
      <c r="AB61" s="667"/>
      <c r="AC61" s="669"/>
      <c r="AD61" s="669"/>
      <c r="AE61" s="80"/>
      <c r="AF61" s="669"/>
      <c r="AG61" s="669"/>
      <c r="AI61" s="35"/>
      <c r="AM61" s="2"/>
      <c r="AN61" s="2"/>
      <c r="AO61" s="2"/>
    </row>
    <row r="62" spans="1:50">
      <c r="A62" s="2"/>
      <c r="B62" s="29"/>
      <c r="C62" s="56"/>
      <c r="D62" s="44"/>
      <c r="E62" s="44"/>
      <c r="F62" s="49"/>
      <c r="G62" s="52"/>
      <c r="H62" s="36"/>
      <c r="I62" s="51"/>
      <c r="J62" s="36"/>
      <c r="K62" s="264"/>
      <c r="L62" s="192"/>
      <c r="M62" s="29"/>
      <c r="N62" s="111"/>
      <c r="O62" s="111"/>
      <c r="P62" s="111"/>
      <c r="Q62" s="116"/>
      <c r="R62" s="86"/>
      <c r="S62" s="111"/>
      <c r="T62" s="111"/>
      <c r="U62" s="669"/>
      <c r="V62" s="669"/>
      <c r="W62" s="669"/>
      <c r="X62" s="669"/>
      <c r="Y62" s="667"/>
      <c r="Z62" s="667"/>
      <c r="AA62" s="667"/>
      <c r="AB62" s="667"/>
      <c r="AC62" s="669"/>
      <c r="AD62" s="669"/>
      <c r="AE62" s="80"/>
      <c r="AF62" s="669"/>
      <c r="AG62" s="669"/>
      <c r="AI62" s="35"/>
      <c r="AM62" s="2"/>
      <c r="AN62" s="2"/>
      <c r="AO62" s="2"/>
    </row>
    <row r="63" spans="1:50">
      <c r="A63" s="2"/>
      <c r="B63" s="29"/>
      <c r="C63" s="56"/>
      <c r="D63" s="44"/>
      <c r="E63" s="44"/>
      <c r="F63" s="49"/>
      <c r="G63" s="52"/>
      <c r="H63" s="36"/>
      <c r="I63" s="51"/>
      <c r="J63" s="36"/>
      <c r="K63" s="264"/>
      <c r="L63" s="192"/>
      <c r="M63" s="29"/>
      <c r="N63" s="111"/>
      <c r="O63" s="111"/>
      <c r="P63" s="111"/>
      <c r="Q63" s="116"/>
      <c r="R63" s="86"/>
      <c r="S63" s="111"/>
      <c r="T63" s="111"/>
      <c r="U63" s="669"/>
      <c r="V63" s="669"/>
      <c r="W63" s="669"/>
      <c r="X63" s="669"/>
      <c r="Y63" s="667"/>
      <c r="Z63" s="667"/>
      <c r="AA63" s="667"/>
      <c r="AB63" s="667"/>
      <c r="AC63" s="669"/>
      <c r="AD63" s="669"/>
      <c r="AE63" s="80"/>
      <c r="AF63" s="669"/>
      <c r="AG63" s="669"/>
      <c r="AI63" s="35"/>
      <c r="AM63" s="2"/>
      <c r="AN63" s="2"/>
      <c r="AO63" s="2"/>
    </row>
    <row r="64" spans="1:50">
      <c r="A64" s="2"/>
      <c r="B64" s="29"/>
      <c r="C64" s="56"/>
      <c r="D64" s="44"/>
      <c r="E64" s="44"/>
      <c r="F64" s="49"/>
      <c r="G64" s="52"/>
      <c r="H64" s="36"/>
      <c r="I64" s="51"/>
      <c r="J64" s="36"/>
      <c r="K64" s="264"/>
      <c r="L64" s="192"/>
      <c r="M64" s="29"/>
      <c r="N64" s="111"/>
      <c r="O64" s="111"/>
      <c r="P64" s="111"/>
      <c r="Q64" s="116"/>
      <c r="R64" s="86"/>
      <c r="S64" s="111"/>
      <c r="T64" s="111"/>
      <c r="U64" s="669"/>
      <c r="V64" s="669"/>
      <c r="W64" s="669"/>
      <c r="X64" s="669"/>
      <c r="Y64" s="667"/>
      <c r="Z64" s="667"/>
      <c r="AA64" s="667"/>
      <c r="AB64" s="667"/>
      <c r="AC64" s="669"/>
      <c r="AD64" s="669"/>
      <c r="AE64" s="80"/>
      <c r="AF64" s="669"/>
      <c r="AG64" s="669"/>
      <c r="AI64" s="35"/>
      <c r="AM64" s="2"/>
      <c r="AN64" s="2"/>
      <c r="AO64" s="2"/>
    </row>
    <row r="65" spans="1:41">
      <c r="A65" s="2"/>
      <c r="B65" s="29"/>
      <c r="C65" s="56"/>
      <c r="D65" s="44"/>
      <c r="E65" s="44"/>
      <c r="F65" s="49"/>
      <c r="G65" s="52"/>
      <c r="H65" s="36"/>
      <c r="I65" s="51"/>
      <c r="J65" s="36"/>
      <c r="K65" s="264"/>
      <c r="L65" s="192"/>
      <c r="M65" s="29"/>
      <c r="N65" s="111"/>
      <c r="O65" s="111"/>
      <c r="P65" s="111"/>
      <c r="Q65" s="116"/>
      <c r="R65" s="86"/>
      <c r="S65" s="111"/>
      <c r="T65" s="111"/>
      <c r="U65" s="669"/>
      <c r="V65" s="669"/>
      <c r="W65" s="669"/>
      <c r="X65" s="669"/>
      <c r="Y65" s="667"/>
      <c r="Z65" s="667"/>
      <c r="AA65" s="667"/>
      <c r="AB65" s="667"/>
      <c r="AC65" s="669"/>
      <c r="AD65" s="669"/>
      <c r="AE65" s="80"/>
      <c r="AF65" s="669"/>
      <c r="AG65" s="669"/>
      <c r="AI65" s="35"/>
      <c r="AM65" s="2"/>
      <c r="AN65" s="2"/>
      <c r="AO65" s="2"/>
    </row>
    <row r="66" spans="1:41">
      <c r="A66" s="2"/>
      <c r="B66" s="29"/>
      <c r="C66" s="56"/>
      <c r="D66" s="44"/>
      <c r="E66" s="44"/>
      <c r="F66" s="49"/>
      <c r="G66" s="52"/>
      <c r="H66" s="36"/>
      <c r="I66" s="51"/>
      <c r="J66" s="36"/>
      <c r="K66" s="264"/>
      <c r="L66" s="192"/>
      <c r="M66" s="29"/>
      <c r="N66" s="111"/>
      <c r="O66" s="111"/>
      <c r="P66" s="111"/>
      <c r="Q66" s="116"/>
      <c r="R66" s="86"/>
      <c r="S66" s="111"/>
      <c r="T66" s="111"/>
      <c r="U66" s="669"/>
      <c r="V66" s="669"/>
      <c r="W66" s="669"/>
      <c r="X66" s="669"/>
      <c r="Y66" s="667"/>
      <c r="Z66" s="667"/>
      <c r="AA66" s="667"/>
      <c r="AB66" s="667"/>
      <c r="AC66" s="669"/>
      <c r="AD66" s="669"/>
      <c r="AE66" s="80"/>
      <c r="AF66" s="669"/>
      <c r="AG66" s="669"/>
      <c r="AI66" s="35"/>
      <c r="AM66" s="2"/>
      <c r="AN66" s="2"/>
      <c r="AO66" s="2"/>
    </row>
    <row r="67" spans="1:41">
      <c r="A67" s="2"/>
      <c r="B67" s="29"/>
      <c r="C67" s="56"/>
      <c r="D67" s="44"/>
      <c r="E67" s="44"/>
      <c r="F67" s="49"/>
      <c r="G67" s="52"/>
      <c r="H67" s="36"/>
      <c r="I67" s="51"/>
      <c r="J67" s="36"/>
      <c r="K67" s="264"/>
      <c r="L67" s="192"/>
      <c r="M67" s="29"/>
      <c r="N67" s="111"/>
      <c r="O67" s="111"/>
      <c r="P67" s="111"/>
      <c r="Q67" s="116"/>
      <c r="R67" s="86"/>
      <c r="S67" s="111"/>
      <c r="T67" s="111"/>
      <c r="U67" s="669"/>
      <c r="V67" s="669"/>
      <c r="W67" s="669"/>
      <c r="X67" s="669"/>
      <c r="Y67" s="667"/>
      <c r="Z67" s="667"/>
      <c r="AA67" s="667"/>
      <c r="AB67" s="667"/>
      <c r="AC67" s="669"/>
      <c r="AD67" s="669"/>
      <c r="AE67" s="80"/>
      <c r="AF67" s="669"/>
      <c r="AG67" s="669"/>
      <c r="AI67" s="35"/>
      <c r="AM67" s="2"/>
      <c r="AN67" s="2"/>
      <c r="AO67" s="2"/>
    </row>
    <row r="68" spans="1:41">
      <c r="A68" s="2"/>
      <c r="B68" s="29"/>
      <c r="C68" s="56"/>
      <c r="D68" s="44"/>
      <c r="E68" s="44"/>
      <c r="F68" s="49"/>
      <c r="G68" s="52"/>
      <c r="H68" s="36"/>
      <c r="I68" s="51"/>
      <c r="J68" s="36"/>
      <c r="K68" s="264"/>
      <c r="L68" s="192"/>
      <c r="M68" s="29"/>
      <c r="N68" s="111"/>
      <c r="O68" s="111"/>
      <c r="P68" s="111"/>
      <c r="Q68" s="116"/>
      <c r="R68" s="86"/>
      <c r="S68" s="111"/>
      <c r="T68" s="111"/>
      <c r="U68" s="669"/>
      <c r="V68" s="669"/>
      <c r="W68" s="669"/>
      <c r="X68" s="669"/>
      <c r="Y68" s="667"/>
      <c r="Z68" s="667"/>
      <c r="AA68" s="667"/>
      <c r="AB68" s="667"/>
      <c r="AC68" s="669"/>
      <c r="AD68" s="669"/>
      <c r="AE68" s="80"/>
      <c r="AF68" s="669"/>
      <c r="AG68" s="669"/>
      <c r="AI68" s="35"/>
      <c r="AM68" s="2"/>
      <c r="AN68" s="2"/>
      <c r="AO68" s="2"/>
    </row>
    <row r="69" spans="1:41">
      <c r="A69" s="2"/>
      <c r="B69" s="29"/>
      <c r="C69" s="56"/>
      <c r="D69" s="44"/>
      <c r="E69" s="44"/>
      <c r="F69" s="49"/>
      <c r="G69" s="52"/>
      <c r="H69" s="36"/>
      <c r="I69" s="51"/>
      <c r="J69" s="36"/>
      <c r="K69" s="264"/>
      <c r="L69" s="192"/>
      <c r="M69" s="29"/>
      <c r="N69" s="111"/>
      <c r="O69" s="111"/>
      <c r="P69" s="111"/>
      <c r="Q69" s="116"/>
      <c r="R69" s="86"/>
      <c r="S69" s="111"/>
      <c r="T69" s="111"/>
      <c r="U69" s="669"/>
      <c r="V69" s="669"/>
      <c r="W69" s="669"/>
      <c r="X69" s="669"/>
      <c r="Y69" s="667"/>
      <c r="Z69" s="667"/>
      <c r="AA69" s="667"/>
      <c r="AB69" s="667"/>
      <c r="AC69" s="669"/>
      <c r="AD69" s="669"/>
      <c r="AE69" s="80"/>
      <c r="AF69" s="669"/>
      <c r="AG69" s="669"/>
      <c r="AI69" s="35"/>
      <c r="AM69" s="2"/>
      <c r="AN69" s="2"/>
      <c r="AO69" s="2"/>
    </row>
    <row r="70" spans="1:41">
      <c r="A70" s="2"/>
      <c r="B70" s="29"/>
      <c r="C70" s="56"/>
      <c r="D70" s="44"/>
      <c r="E70" s="44"/>
      <c r="F70" s="49"/>
      <c r="G70" s="52"/>
      <c r="H70" s="36"/>
      <c r="I70" s="51"/>
      <c r="J70" s="36"/>
      <c r="K70" s="264"/>
      <c r="L70" s="192"/>
      <c r="M70" s="29"/>
      <c r="N70" s="111"/>
      <c r="O70" s="111"/>
      <c r="P70" s="111"/>
      <c r="Q70" s="116"/>
      <c r="R70" s="86"/>
      <c r="S70" s="111"/>
      <c r="T70" s="111"/>
      <c r="U70" s="669"/>
      <c r="V70" s="669"/>
      <c r="W70" s="669"/>
      <c r="X70" s="669"/>
      <c r="Y70" s="667"/>
      <c r="Z70" s="667"/>
      <c r="AA70" s="667"/>
      <c r="AB70" s="667"/>
      <c r="AC70" s="669"/>
      <c r="AD70" s="669"/>
      <c r="AE70" s="80"/>
      <c r="AF70" s="669"/>
      <c r="AG70" s="669"/>
      <c r="AI70" s="35"/>
      <c r="AM70" s="2"/>
      <c r="AN70" s="2"/>
      <c r="AO70" s="2"/>
    </row>
    <row r="71" spans="1:41">
      <c r="A71" s="2"/>
      <c r="B71" s="29"/>
      <c r="C71" s="56"/>
      <c r="D71" s="44"/>
      <c r="E71" s="44"/>
      <c r="F71" s="49"/>
      <c r="G71" s="52"/>
      <c r="H71" s="36"/>
      <c r="I71" s="51"/>
      <c r="J71" s="36"/>
      <c r="K71" s="264"/>
      <c r="L71" s="192"/>
      <c r="M71" s="29"/>
      <c r="N71" s="111"/>
      <c r="O71" s="111"/>
      <c r="P71" s="111"/>
      <c r="Q71" s="116"/>
      <c r="R71" s="86"/>
      <c r="S71" s="111"/>
      <c r="T71" s="111"/>
      <c r="U71" s="669"/>
      <c r="V71" s="669"/>
      <c r="W71" s="669"/>
      <c r="X71" s="669"/>
      <c r="Y71" s="667"/>
      <c r="Z71" s="667"/>
      <c r="AA71" s="667"/>
      <c r="AB71" s="667"/>
      <c r="AC71" s="669"/>
      <c r="AD71" s="669"/>
      <c r="AE71" s="80"/>
      <c r="AF71" s="669"/>
      <c r="AG71" s="669"/>
      <c r="AI71" s="35"/>
      <c r="AM71" s="2"/>
      <c r="AN71" s="2"/>
      <c r="AO71" s="2"/>
    </row>
    <row r="72" spans="1:41">
      <c r="A72" s="2"/>
      <c r="B72" s="29"/>
      <c r="C72" s="56"/>
      <c r="D72" s="44"/>
      <c r="E72" s="44"/>
      <c r="F72" s="49"/>
      <c r="G72" s="52"/>
      <c r="H72" s="36"/>
      <c r="I72" s="51"/>
      <c r="J72" s="36"/>
      <c r="K72" s="264"/>
      <c r="L72" s="192"/>
      <c r="M72" s="29"/>
      <c r="N72" s="111"/>
      <c r="O72" s="111"/>
      <c r="P72" s="111"/>
      <c r="Q72" s="116"/>
      <c r="R72" s="86"/>
      <c r="S72" s="111"/>
      <c r="T72" s="111"/>
      <c r="U72" s="669"/>
      <c r="V72" s="669"/>
      <c r="W72" s="669"/>
      <c r="X72" s="669"/>
      <c r="Y72" s="667"/>
      <c r="Z72" s="667"/>
      <c r="AA72" s="667"/>
      <c r="AB72" s="667"/>
      <c r="AC72" s="669"/>
      <c r="AD72" s="669"/>
      <c r="AE72" s="80"/>
      <c r="AF72" s="669"/>
      <c r="AG72" s="669"/>
      <c r="AI72" s="35"/>
      <c r="AM72" s="2"/>
      <c r="AN72" s="2"/>
      <c r="AO72" s="2"/>
    </row>
    <row r="73" spans="1:41">
      <c r="A73" s="2"/>
      <c r="B73" s="29"/>
      <c r="C73" s="56"/>
      <c r="D73" s="44"/>
      <c r="E73" s="44"/>
      <c r="F73" s="49"/>
      <c r="G73" s="52"/>
      <c r="H73" s="36"/>
      <c r="I73" s="51"/>
      <c r="J73" s="36"/>
      <c r="K73" s="264"/>
      <c r="L73" s="192"/>
      <c r="M73" s="29"/>
      <c r="N73" s="111"/>
      <c r="O73" s="111"/>
      <c r="P73" s="111"/>
      <c r="Q73" s="116"/>
      <c r="R73" s="86"/>
      <c r="S73" s="111"/>
      <c r="T73" s="111"/>
      <c r="U73" s="669"/>
      <c r="V73" s="669"/>
      <c r="W73" s="669"/>
      <c r="X73" s="669"/>
      <c r="Y73" s="667"/>
      <c r="Z73" s="667"/>
      <c r="AA73" s="667"/>
      <c r="AB73" s="667"/>
      <c r="AC73" s="669"/>
      <c r="AD73" s="669"/>
      <c r="AE73" s="80"/>
      <c r="AF73" s="669"/>
      <c r="AG73" s="669"/>
      <c r="AI73" s="35"/>
      <c r="AM73" s="2"/>
      <c r="AN73" s="2"/>
      <c r="AO73" s="2"/>
    </row>
    <row r="74" spans="1:41">
      <c r="A74" s="2"/>
      <c r="B74" s="29"/>
      <c r="C74" s="56"/>
      <c r="D74" s="44"/>
      <c r="E74" s="44"/>
      <c r="F74" s="49"/>
      <c r="G74" s="52"/>
      <c r="H74" s="36"/>
      <c r="I74" s="51"/>
      <c r="J74" s="36"/>
      <c r="K74" s="264"/>
      <c r="L74" s="192"/>
      <c r="M74" s="29"/>
      <c r="N74" s="111"/>
      <c r="O74" s="111"/>
      <c r="P74" s="111"/>
      <c r="Q74" s="116"/>
      <c r="R74" s="86"/>
      <c r="S74" s="111"/>
      <c r="T74" s="111"/>
      <c r="U74" s="669"/>
      <c r="V74" s="669"/>
      <c r="W74" s="669"/>
      <c r="X74" s="669"/>
      <c r="Y74" s="667"/>
      <c r="Z74" s="667"/>
      <c r="AA74" s="667"/>
      <c r="AB74" s="667"/>
      <c r="AC74" s="669"/>
      <c r="AD74" s="669"/>
      <c r="AE74" s="80"/>
      <c r="AF74" s="669"/>
      <c r="AG74" s="669"/>
      <c r="AI74" s="35"/>
      <c r="AM74" s="2"/>
      <c r="AN74" s="2"/>
      <c r="AO74" s="2"/>
    </row>
    <row r="75" spans="1:41">
      <c r="A75" s="2"/>
      <c r="B75" s="29"/>
      <c r="C75" s="56"/>
      <c r="D75" s="44"/>
      <c r="E75" s="44"/>
      <c r="F75" s="49"/>
      <c r="G75" s="52"/>
      <c r="H75" s="36"/>
      <c r="I75" s="51"/>
      <c r="J75" s="36"/>
      <c r="K75" s="264"/>
      <c r="L75" s="192"/>
      <c r="M75" s="29"/>
      <c r="N75" s="111"/>
      <c r="O75" s="111"/>
      <c r="P75" s="111"/>
      <c r="Q75" s="116"/>
      <c r="R75" s="86"/>
      <c r="S75" s="111"/>
      <c r="T75" s="111"/>
      <c r="U75" s="669"/>
      <c r="V75" s="669"/>
      <c r="W75" s="669"/>
      <c r="X75" s="669"/>
      <c r="Y75" s="667"/>
      <c r="Z75" s="667"/>
      <c r="AA75" s="667"/>
      <c r="AB75" s="667"/>
      <c r="AC75" s="669"/>
      <c r="AD75" s="669"/>
      <c r="AE75" s="80"/>
      <c r="AF75" s="669"/>
      <c r="AG75" s="669"/>
      <c r="AI75" s="35"/>
      <c r="AM75" s="2"/>
      <c r="AN75" s="2"/>
      <c r="AO75" s="2"/>
    </row>
    <row r="76" spans="1:41">
      <c r="A76" s="2"/>
      <c r="B76" s="29"/>
      <c r="C76" s="56"/>
      <c r="D76" s="44"/>
      <c r="E76" s="44"/>
      <c r="F76" s="49"/>
      <c r="G76" s="52"/>
      <c r="H76" s="36"/>
      <c r="I76" s="51"/>
      <c r="J76" s="36"/>
      <c r="K76" s="264"/>
      <c r="L76" s="192"/>
      <c r="M76" s="29"/>
      <c r="N76" s="111"/>
      <c r="O76" s="111"/>
      <c r="P76" s="111"/>
      <c r="Q76" s="116"/>
      <c r="R76" s="86"/>
      <c r="S76" s="111"/>
      <c r="T76" s="111"/>
      <c r="U76" s="669"/>
      <c r="V76" s="669"/>
      <c r="W76" s="669"/>
      <c r="X76" s="669"/>
      <c r="Y76" s="667"/>
      <c r="Z76" s="667"/>
      <c r="AA76" s="667"/>
      <c r="AB76" s="667"/>
      <c r="AC76" s="669"/>
      <c r="AD76" s="669"/>
      <c r="AE76" s="80"/>
      <c r="AF76" s="669"/>
      <c r="AG76" s="669"/>
      <c r="AM76" s="2"/>
      <c r="AN76" s="2"/>
      <c r="AO76" s="2"/>
    </row>
    <row r="77" spans="1:41">
      <c r="A77" s="2"/>
      <c r="B77" s="29"/>
      <c r="C77" s="56"/>
      <c r="D77" s="44"/>
      <c r="E77" s="44"/>
      <c r="F77" s="49"/>
      <c r="G77" s="52"/>
      <c r="H77" s="36"/>
      <c r="I77" s="51"/>
      <c r="J77" s="36"/>
      <c r="K77" s="264"/>
      <c r="L77" s="192"/>
      <c r="M77" s="29"/>
      <c r="N77" s="111"/>
      <c r="O77" s="111"/>
      <c r="P77" s="111"/>
      <c r="Q77" s="116"/>
      <c r="R77" s="86"/>
      <c r="S77" s="111"/>
      <c r="T77" s="111"/>
      <c r="U77" s="669"/>
      <c r="V77" s="669"/>
      <c r="W77" s="669"/>
      <c r="X77" s="669"/>
      <c r="Y77" s="80"/>
      <c r="Z77" s="80"/>
      <c r="AA77" s="80"/>
      <c r="AB77" s="80"/>
      <c r="AC77" s="80"/>
      <c r="AD77" s="80"/>
      <c r="AE77" s="80"/>
      <c r="AF77" s="80"/>
      <c r="AG77" s="80"/>
    </row>
    <row r="78" spans="1:41">
      <c r="A78" s="2"/>
      <c r="B78" s="29"/>
      <c r="C78" s="56"/>
      <c r="D78" s="44"/>
      <c r="E78" s="44"/>
      <c r="F78" s="49"/>
      <c r="G78" s="52"/>
      <c r="I78" s="51"/>
      <c r="J78" s="36"/>
      <c r="K78" s="264"/>
      <c r="L78" s="192"/>
      <c r="M78" s="29"/>
      <c r="N78" s="111"/>
      <c r="O78" s="111"/>
      <c r="P78" s="111"/>
      <c r="Q78" s="116"/>
      <c r="R78" s="86"/>
      <c r="T78" s="111"/>
      <c r="U78" s="669"/>
      <c r="V78" s="669"/>
      <c r="W78" s="669"/>
      <c r="X78" s="669"/>
      <c r="Y78" s="80"/>
      <c r="Z78" s="80"/>
      <c r="AA78" s="80"/>
      <c r="AB78" s="80"/>
      <c r="AC78" s="80"/>
      <c r="AD78" s="80"/>
      <c r="AE78" s="80"/>
      <c r="AF78" s="80"/>
      <c r="AG78" s="80"/>
    </row>
    <row r="79" spans="1:41">
      <c r="A79" s="2"/>
      <c r="B79" s="29"/>
      <c r="C79" s="56"/>
      <c r="D79" s="44"/>
      <c r="E79" s="44"/>
      <c r="F79" s="49"/>
      <c r="G79" s="52"/>
      <c r="I79" s="51"/>
      <c r="J79" s="36"/>
      <c r="K79" s="264"/>
      <c r="L79" s="192"/>
      <c r="M79" s="29"/>
      <c r="N79" s="111"/>
      <c r="O79" s="111"/>
      <c r="P79" s="111"/>
      <c r="Q79" s="116"/>
      <c r="R79" s="86"/>
      <c r="T79" s="111"/>
      <c r="U79" s="669"/>
      <c r="V79" s="669"/>
      <c r="W79" s="669"/>
      <c r="X79" s="669"/>
      <c r="Y79" s="80"/>
      <c r="Z79" s="80"/>
      <c r="AA79" s="80"/>
      <c r="AB79" s="80"/>
      <c r="AC79" s="80"/>
      <c r="AD79" s="80"/>
      <c r="AE79" s="80"/>
      <c r="AF79" s="80"/>
      <c r="AG79" s="80"/>
    </row>
    <row r="80" spans="1:41">
      <c r="A80" s="2"/>
      <c r="B80" s="29"/>
      <c r="C80" s="56"/>
      <c r="D80" s="44"/>
      <c r="E80" s="44"/>
      <c r="F80" s="49"/>
      <c r="G80" s="52"/>
      <c r="I80" s="51"/>
      <c r="J80" s="36"/>
      <c r="K80" s="264"/>
      <c r="L80" s="192"/>
      <c r="M80" s="29"/>
      <c r="N80" s="111"/>
      <c r="O80" s="111"/>
      <c r="P80" s="111"/>
      <c r="Q80" s="116"/>
      <c r="R80" s="86"/>
      <c r="T80" s="111"/>
      <c r="U80" s="669"/>
      <c r="V80" s="669"/>
      <c r="W80" s="669"/>
      <c r="X80" s="669"/>
      <c r="Y80" s="80"/>
      <c r="Z80" s="80"/>
      <c r="AA80" s="80"/>
      <c r="AB80" s="80"/>
      <c r="AC80" s="80"/>
      <c r="AD80" s="80"/>
      <c r="AE80" s="80"/>
      <c r="AF80" s="80"/>
      <c r="AG80" s="80"/>
    </row>
    <row r="81" spans="1:33">
      <c r="A81" s="2"/>
      <c r="B81" s="29"/>
      <c r="C81" s="56"/>
      <c r="D81" s="44"/>
      <c r="E81" s="44"/>
      <c r="F81" s="49"/>
      <c r="G81" s="52"/>
      <c r="I81" s="51"/>
      <c r="J81" s="36"/>
      <c r="K81" s="264"/>
      <c r="L81" s="192"/>
      <c r="M81" s="29"/>
      <c r="N81" s="111"/>
      <c r="O81" s="111"/>
      <c r="P81" s="111"/>
      <c r="Q81" s="116"/>
      <c r="R81" s="86"/>
      <c r="T81" s="111"/>
      <c r="U81" s="669"/>
      <c r="V81" s="669"/>
      <c r="W81" s="669"/>
      <c r="X81" s="669"/>
      <c r="Y81" s="80"/>
      <c r="Z81" s="80"/>
      <c r="AA81" s="80"/>
      <c r="AB81" s="80"/>
      <c r="AC81" s="80"/>
      <c r="AD81" s="80"/>
      <c r="AE81" s="80"/>
      <c r="AF81" s="80"/>
      <c r="AG81" s="80"/>
    </row>
    <row r="82" spans="1:33">
      <c r="A82" s="2"/>
      <c r="B82" s="29"/>
      <c r="C82" s="56"/>
      <c r="D82" s="44"/>
      <c r="E82" s="44"/>
      <c r="F82" s="49"/>
      <c r="G82" s="52"/>
      <c r="I82" s="51"/>
      <c r="J82" s="36"/>
      <c r="K82" s="264"/>
      <c r="L82" s="192"/>
      <c r="M82" s="29"/>
      <c r="N82" s="111"/>
      <c r="O82" s="111"/>
      <c r="P82" s="111"/>
      <c r="Q82" s="116"/>
      <c r="R82" s="86"/>
      <c r="T82" s="111"/>
      <c r="U82" s="669"/>
      <c r="V82" s="669"/>
      <c r="W82" s="669"/>
      <c r="X82" s="669"/>
      <c r="Y82" s="80"/>
      <c r="Z82" s="80"/>
      <c r="AA82" s="80"/>
      <c r="AB82" s="80"/>
      <c r="AC82" s="80"/>
      <c r="AD82" s="80"/>
      <c r="AE82" s="80"/>
      <c r="AF82" s="80"/>
      <c r="AG82" s="80"/>
    </row>
    <row r="83" spans="1:33">
      <c r="A83" s="2"/>
      <c r="B83" s="29"/>
      <c r="C83" s="56"/>
      <c r="D83" s="44"/>
      <c r="E83" s="44"/>
      <c r="F83" s="49"/>
      <c r="G83" s="52"/>
      <c r="I83" s="51"/>
      <c r="J83" s="36"/>
      <c r="K83" s="264"/>
      <c r="L83" s="192"/>
      <c r="M83" s="29"/>
      <c r="N83" s="111"/>
      <c r="O83" s="111"/>
      <c r="P83" s="111"/>
      <c r="Q83" s="116"/>
      <c r="R83" s="86"/>
      <c r="T83" s="111"/>
      <c r="U83" s="669"/>
      <c r="V83" s="669"/>
      <c r="W83" s="669"/>
      <c r="X83" s="669"/>
      <c r="Y83" s="80"/>
      <c r="Z83" s="80"/>
      <c r="AA83" s="80"/>
      <c r="AB83" s="80"/>
      <c r="AC83" s="80"/>
      <c r="AD83" s="80"/>
      <c r="AE83" s="80"/>
      <c r="AF83" s="80"/>
      <c r="AG83" s="80"/>
    </row>
    <row r="84" spans="1:33">
      <c r="A84" s="2"/>
      <c r="B84" s="29"/>
      <c r="C84" s="56"/>
      <c r="D84" s="44"/>
      <c r="E84" s="44"/>
      <c r="F84" s="49"/>
      <c r="G84" s="52"/>
      <c r="I84" s="51"/>
      <c r="J84" s="36"/>
      <c r="K84" s="39"/>
      <c r="L84" s="192"/>
      <c r="M84" s="29"/>
      <c r="N84" s="111"/>
      <c r="O84" s="111"/>
      <c r="P84" s="111"/>
      <c r="Q84" s="116"/>
      <c r="R84" s="86"/>
      <c r="T84" s="111"/>
      <c r="U84" s="669"/>
      <c r="V84" s="669"/>
      <c r="W84" s="669"/>
      <c r="X84" s="669"/>
      <c r="Y84" s="80"/>
      <c r="Z84" s="80"/>
      <c r="AA84" s="80"/>
      <c r="AB84" s="80"/>
      <c r="AC84" s="80"/>
      <c r="AD84" s="80"/>
      <c r="AE84" s="80"/>
      <c r="AF84" s="80"/>
      <c r="AG84" s="80"/>
    </row>
    <row r="85" spans="1:33">
      <c r="A85" s="2"/>
      <c r="B85" s="29"/>
      <c r="C85" s="56"/>
      <c r="D85" s="44"/>
      <c r="E85" s="44"/>
      <c r="F85" s="49"/>
      <c r="G85" s="52"/>
      <c r="I85" s="51"/>
      <c r="J85" s="36"/>
      <c r="K85" s="39"/>
      <c r="L85" s="192"/>
      <c r="M85" s="29"/>
      <c r="N85" s="111"/>
      <c r="O85" s="111"/>
      <c r="P85" s="111"/>
      <c r="Q85" s="116"/>
      <c r="R85" s="86"/>
      <c r="T85" s="111"/>
      <c r="U85" s="669"/>
      <c r="V85" s="669"/>
      <c r="W85" s="669"/>
      <c r="X85" s="669"/>
      <c r="Y85" s="80"/>
      <c r="Z85" s="80"/>
      <c r="AA85" s="80"/>
      <c r="AB85" s="80"/>
      <c r="AC85" s="80"/>
      <c r="AD85" s="80"/>
      <c r="AE85" s="80"/>
      <c r="AF85" s="80"/>
      <c r="AG85" s="80"/>
    </row>
    <row r="86" spans="1:33">
      <c r="A86" s="2"/>
      <c r="B86" s="29"/>
      <c r="C86" s="56"/>
      <c r="D86" s="44"/>
      <c r="E86" s="44"/>
      <c r="F86" s="49"/>
      <c r="G86" s="52"/>
      <c r="I86" s="51"/>
      <c r="J86" s="36"/>
      <c r="K86" s="39"/>
      <c r="L86" s="192"/>
      <c r="M86" s="29"/>
      <c r="N86" s="111"/>
      <c r="O86" s="111"/>
      <c r="P86" s="111"/>
      <c r="Q86" s="116"/>
      <c r="R86" s="86"/>
      <c r="T86" s="111"/>
      <c r="U86" s="669"/>
      <c r="V86" s="669"/>
      <c r="W86" s="669"/>
      <c r="X86" s="669"/>
      <c r="Y86" s="80"/>
      <c r="Z86" s="80"/>
      <c r="AA86" s="80"/>
      <c r="AB86" s="80"/>
      <c r="AC86" s="80"/>
      <c r="AD86" s="80"/>
      <c r="AE86" s="80"/>
      <c r="AF86" s="80"/>
      <c r="AG86" s="80"/>
    </row>
    <row r="87" spans="1:33">
      <c r="A87" s="2"/>
      <c r="B87" s="29"/>
      <c r="C87" s="56"/>
      <c r="D87" s="44"/>
      <c r="E87" s="44"/>
      <c r="F87" s="49"/>
      <c r="G87" s="52"/>
      <c r="I87" s="51"/>
      <c r="J87" s="36"/>
      <c r="L87" s="192"/>
      <c r="M87" s="29"/>
      <c r="N87" s="111"/>
      <c r="O87" s="111"/>
      <c r="P87" s="111"/>
      <c r="Q87" s="116"/>
      <c r="R87" s="86"/>
      <c r="T87" s="111"/>
      <c r="U87" s="672"/>
      <c r="V87" s="672"/>
      <c r="W87" s="672"/>
      <c r="X87" s="672"/>
      <c r="Y87" s="80"/>
      <c r="Z87" s="80"/>
      <c r="AA87" s="80"/>
      <c r="AB87" s="80"/>
      <c r="AC87" s="80"/>
      <c r="AD87" s="80"/>
      <c r="AE87" s="80"/>
      <c r="AF87" s="80"/>
      <c r="AG87" s="80"/>
    </row>
    <row r="88" spans="1:33">
      <c r="C88" s="56"/>
      <c r="N88" s="111"/>
      <c r="U88" s="80"/>
      <c r="V88" s="80"/>
      <c r="W88" s="80"/>
      <c r="X88" s="80"/>
      <c r="Y88" s="80"/>
      <c r="Z88" s="80"/>
      <c r="AA88" s="80"/>
      <c r="AB88" s="80"/>
      <c r="AC88" s="80"/>
      <c r="AD88" s="80"/>
      <c r="AE88" s="80"/>
      <c r="AF88" s="80"/>
      <c r="AG88" s="80"/>
    </row>
    <row r="89" spans="1:33">
      <c r="U89" s="80"/>
      <c r="V89" s="80"/>
      <c r="W89" s="80"/>
      <c r="X89" s="80"/>
      <c r="Y89" s="80"/>
      <c r="Z89" s="80"/>
      <c r="AA89" s="80"/>
      <c r="AB89" s="80"/>
      <c r="AC89" s="80"/>
      <c r="AD89" s="80"/>
      <c r="AE89" s="80"/>
      <c r="AF89" s="80"/>
      <c r="AG89" s="80"/>
    </row>
    <row r="90" spans="1:33">
      <c r="I90" s="41"/>
      <c r="J90" s="36"/>
      <c r="T90" s="41"/>
      <c r="U90" s="80"/>
      <c r="V90" s="80"/>
      <c r="W90" s="80"/>
      <c r="X90" s="80"/>
      <c r="Y90" s="80"/>
      <c r="Z90" s="80"/>
      <c r="AA90" s="80"/>
      <c r="AB90" s="80"/>
      <c r="AC90" s="80"/>
      <c r="AD90" s="80"/>
      <c r="AE90" s="80"/>
      <c r="AF90" s="80"/>
      <c r="AG90" s="80"/>
    </row>
    <row r="91" spans="1:33">
      <c r="I91" s="41"/>
      <c r="J91" s="36"/>
      <c r="T91" s="41"/>
    </row>
    <row r="92" spans="1:33">
      <c r="I92" s="47"/>
      <c r="J92" s="43"/>
      <c r="T92" s="47"/>
    </row>
  </sheetData>
  <phoneticPr fontId="6" type="noConversion"/>
  <pageMargins left="0.75" right="0.75" top="1" bottom="1" header="0.5" footer="0.5"/>
  <pageSetup paperSize="9" orientation="portrait" horizontalDpi="4294967292" verticalDpi="429496729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6"/>
  </sheetPr>
  <dimension ref="A1:AP93"/>
  <sheetViews>
    <sheetView topLeftCell="A11" workbookViewId="0">
      <selection activeCell="E12" sqref="E12"/>
    </sheetView>
  </sheetViews>
  <sheetFormatPr baseColWidth="10" defaultColWidth="10.83203125" defaultRowHeight="13"/>
  <cols>
    <col min="1" max="1" width="13.83203125" style="33" customWidth="1"/>
    <col min="2" max="2" width="13" style="33" customWidth="1"/>
    <col min="3" max="3" width="15" style="33" customWidth="1"/>
    <col min="4" max="4" width="14.5" style="33" customWidth="1"/>
    <col min="5" max="5" width="16.1640625" style="33" customWidth="1"/>
    <col min="6" max="6" width="16.5" style="33" customWidth="1"/>
    <col min="7" max="8" width="13.5" style="229" customWidth="1"/>
    <col min="9" max="9" width="14.83203125" style="33" customWidth="1"/>
    <col min="10" max="10" width="3.5" style="229" customWidth="1"/>
    <col min="11" max="11" width="14.83203125" style="33" customWidth="1"/>
    <col min="12" max="12" width="11.1640625" style="33" customWidth="1"/>
    <col min="13" max="33" width="10.83203125" style="33"/>
    <col min="34" max="34" width="13.1640625" style="33" customWidth="1"/>
    <col min="35" max="35" width="13.5" style="33" customWidth="1"/>
    <col min="36" max="16384" width="10.83203125" style="33"/>
  </cols>
  <sheetData>
    <row r="1" spans="1:38">
      <c r="A1" s="232" t="s">
        <v>323</v>
      </c>
      <c r="B1" s="232" t="s">
        <v>331</v>
      </c>
      <c r="C1" s="58"/>
      <c r="J1" s="242"/>
    </row>
    <row r="2" spans="1:38">
      <c r="A2" s="58" t="s">
        <v>465</v>
      </c>
      <c r="B2" s="228" t="s">
        <v>466</v>
      </c>
      <c r="C2" s="58" t="s">
        <v>467</v>
      </c>
      <c r="D2" s="58" t="s">
        <v>468</v>
      </c>
      <c r="J2" s="242"/>
      <c r="K2" s="58"/>
      <c r="L2" s="59"/>
      <c r="M2" s="58"/>
    </row>
    <row r="3" spans="1:38" ht="15">
      <c r="A3" s="33" t="s">
        <v>205</v>
      </c>
      <c r="B3" s="84" t="s">
        <v>101</v>
      </c>
      <c r="C3" s="33" t="s">
        <v>464</v>
      </c>
      <c r="D3" s="1" t="s">
        <v>115</v>
      </c>
      <c r="E3" s="1"/>
      <c r="F3" s="1"/>
      <c r="G3" s="1"/>
      <c r="H3" s="1"/>
      <c r="J3" s="242"/>
      <c r="K3" s="1"/>
      <c r="L3" s="46"/>
      <c r="M3" s="57"/>
      <c r="N3" s="1"/>
      <c r="O3" s="1"/>
      <c r="P3" s="1"/>
      <c r="Q3" s="1"/>
      <c r="R3" s="1"/>
      <c r="S3" s="1"/>
      <c r="T3" s="1"/>
      <c r="U3" s="1"/>
      <c r="V3" s="1"/>
    </row>
    <row r="4" spans="1:38" ht="16">
      <c r="A4" s="33" t="s">
        <v>332</v>
      </c>
      <c r="B4" s="3" t="s">
        <v>299</v>
      </c>
      <c r="C4" s="33" t="s">
        <v>485</v>
      </c>
      <c r="D4" s="64" t="s">
        <v>303</v>
      </c>
      <c r="E4" s="34"/>
      <c r="F4" s="34"/>
      <c r="G4" s="34"/>
      <c r="H4" s="34"/>
      <c r="J4" s="242"/>
      <c r="K4" s="1"/>
      <c r="L4" s="53"/>
      <c r="M4" s="57"/>
      <c r="N4" s="1"/>
      <c r="O4" s="1"/>
      <c r="P4" s="1"/>
      <c r="Q4" s="1"/>
      <c r="R4" s="1"/>
      <c r="S4" s="1"/>
      <c r="U4" s="1"/>
      <c r="V4" s="1"/>
      <c r="AG4" s="58"/>
    </row>
    <row r="5" spans="1:38" ht="16">
      <c r="A5" s="33" t="s">
        <v>296</v>
      </c>
      <c r="B5" s="2" t="s">
        <v>300</v>
      </c>
      <c r="C5" s="33" t="s">
        <v>485</v>
      </c>
      <c r="D5" s="64" t="s">
        <v>303</v>
      </c>
      <c r="E5" s="34"/>
      <c r="F5" s="34"/>
      <c r="G5" s="34"/>
      <c r="H5" s="34"/>
      <c r="J5" s="242"/>
      <c r="K5" s="34"/>
      <c r="L5" s="60"/>
      <c r="M5" s="57"/>
      <c r="N5" s="34"/>
      <c r="O5" s="34"/>
      <c r="P5" s="34"/>
      <c r="Q5" s="34"/>
      <c r="R5" s="34"/>
      <c r="S5" s="34"/>
      <c r="T5" s="34"/>
      <c r="U5" s="34"/>
      <c r="V5" s="34"/>
    </row>
    <row r="6" spans="1:38" ht="16">
      <c r="A6" s="33" t="s">
        <v>297</v>
      </c>
      <c r="B6" s="2" t="s">
        <v>302</v>
      </c>
      <c r="C6" s="33" t="s">
        <v>485</v>
      </c>
      <c r="D6" s="64" t="s">
        <v>303</v>
      </c>
      <c r="E6" s="34"/>
      <c r="F6" s="34"/>
      <c r="G6" s="34"/>
      <c r="H6" s="34"/>
      <c r="J6" s="242"/>
      <c r="K6" s="34"/>
      <c r="L6" s="60"/>
      <c r="M6" s="57"/>
      <c r="N6" s="34"/>
      <c r="O6" s="34"/>
      <c r="P6" s="34"/>
      <c r="Q6" s="34"/>
      <c r="R6" s="34"/>
      <c r="S6" s="34"/>
      <c r="T6" s="34"/>
      <c r="U6" s="34"/>
      <c r="V6" s="34"/>
    </row>
    <row r="7" spans="1:38" ht="16">
      <c r="A7" s="33" t="s">
        <v>298</v>
      </c>
      <c r="B7" s="2" t="s">
        <v>301</v>
      </c>
      <c r="C7" s="33" t="s">
        <v>485</v>
      </c>
      <c r="D7" s="64" t="s">
        <v>80</v>
      </c>
      <c r="E7" s="34"/>
      <c r="F7" s="34"/>
      <c r="G7" s="34"/>
      <c r="H7" s="34"/>
      <c r="J7" s="242"/>
      <c r="L7" s="270" t="s">
        <v>617</v>
      </c>
      <c r="M7" s="270"/>
      <c r="N7" s="270"/>
      <c r="O7" s="270"/>
      <c r="P7" s="270"/>
      <c r="Q7" s="34"/>
      <c r="R7" s="34"/>
      <c r="S7" s="34"/>
      <c r="T7" s="34"/>
      <c r="U7" s="34"/>
      <c r="V7" s="34"/>
    </row>
    <row r="8" spans="1:38" ht="15">
      <c r="A8" s="33" t="s">
        <v>374</v>
      </c>
      <c r="B8" s="2">
        <v>0.5</v>
      </c>
      <c r="C8" s="33" t="s">
        <v>375</v>
      </c>
      <c r="D8" s="34" t="s">
        <v>334</v>
      </c>
      <c r="J8" s="242"/>
      <c r="L8" s="270" t="s">
        <v>593</v>
      </c>
      <c r="M8" s="270"/>
      <c r="N8" s="270"/>
      <c r="O8" s="270"/>
      <c r="P8" s="270"/>
      <c r="Q8" s="34"/>
      <c r="R8" s="34"/>
      <c r="S8" s="34"/>
      <c r="T8" s="34"/>
      <c r="U8" s="34"/>
      <c r="V8" s="34"/>
    </row>
    <row r="9" spans="1:38">
      <c r="A9" s="33" t="s">
        <v>336</v>
      </c>
      <c r="B9" s="2">
        <v>0.2</v>
      </c>
      <c r="C9" s="33" t="s">
        <v>335</v>
      </c>
      <c r="D9" s="34" t="s">
        <v>334</v>
      </c>
      <c r="J9" s="242"/>
      <c r="L9" s="270"/>
      <c r="M9" s="270"/>
      <c r="N9" s="270"/>
      <c r="O9" s="270"/>
      <c r="P9" s="270"/>
      <c r="Q9" s="34"/>
      <c r="R9" s="34"/>
      <c r="S9" s="34"/>
      <c r="T9" s="34"/>
      <c r="U9" s="34"/>
      <c r="V9" s="34"/>
    </row>
    <row r="10" spans="1:38">
      <c r="E10" s="229"/>
      <c r="F10" s="229"/>
      <c r="I10" s="229"/>
      <c r="J10" s="242"/>
      <c r="K10" s="229"/>
      <c r="L10" s="270"/>
      <c r="M10" s="270"/>
      <c r="N10" s="270"/>
      <c r="O10" s="270"/>
      <c r="P10" s="270"/>
      <c r="Y10" s="2"/>
    </row>
    <row r="11" spans="1:38" ht="16">
      <c r="A11" s="89"/>
      <c r="B11" s="89"/>
      <c r="C11" s="290"/>
      <c r="D11" s="267"/>
      <c r="E11" s="291" t="s">
        <v>615</v>
      </c>
      <c r="F11" s="266">
        <f>AVERAGE(F18:F48)</f>
        <v>3.2320103600557521E-3</v>
      </c>
      <c r="G11" s="266"/>
      <c r="H11" s="266"/>
      <c r="J11" s="242"/>
      <c r="K11" s="229"/>
      <c r="L11" s="270"/>
      <c r="M11" s="270"/>
      <c r="N11" s="270"/>
      <c r="O11" s="270"/>
      <c r="P11" s="270"/>
      <c r="Y11" s="2"/>
    </row>
    <row r="12" spans="1:38" ht="16">
      <c r="B12" s="232"/>
      <c r="C12" s="232"/>
      <c r="D12" s="232"/>
      <c r="E12" s="236" t="s">
        <v>643</v>
      </c>
      <c r="F12" s="237">
        <f>F11*B8*44/12</f>
        <v>5.9253523267688785E-3</v>
      </c>
      <c r="H12" s="89"/>
      <c r="I12" s="229"/>
      <c r="J12" s="242"/>
      <c r="K12" s="229"/>
      <c r="L12" s="270"/>
      <c r="M12" s="270"/>
      <c r="N12" s="270"/>
      <c r="O12" s="270"/>
      <c r="P12" s="270"/>
      <c r="X12" s="58" t="s">
        <v>328</v>
      </c>
      <c r="Y12" s="2"/>
    </row>
    <row r="13" spans="1:38" s="231" customFormat="1">
      <c r="B13" s="290"/>
      <c r="C13" s="290"/>
      <c r="D13" s="290"/>
      <c r="E13" s="291"/>
      <c r="F13" s="267"/>
      <c r="H13" s="89"/>
      <c r="J13" s="242"/>
      <c r="L13" s="270"/>
      <c r="M13" s="270"/>
      <c r="N13" s="270"/>
      <c r="O13" s="270"/>
      <c r="P13" s="270"/>
      <c r="X13" s="58"/>
      <c r="Y13" s="192"/>
    </row>
    <row r="14" spans="1:38">
      <c r="B14" s="2"/>
      <c r="C14" s="2"/>
      <c r="E14" s="229"/>
      <c r="F14" s="229"/>
      <c r="G14" s="89"/>
      <c r="H14" s="89"/>
      <c r="I14" s="229"/>
      <c r="J14" s="242"/>
      <c r="K14" s="229"/>
      <c r="L14" s="270"/>
      <c r="M14" s="270"/>
      <c r="N14" s="270"/>
      <c r="O14" s="270"/>
      <c r="P14" s="270"/>
      <c r="AL14" s="62"/>
    </row>
    <row r="15" spans="1:38">
      <c r="A15" s="58"/>
      <c r="B15" s="265" t="s">
        <v>115</v>
      </c>
      <c r="C15" s="192" t="s">
        <v>321</v>
      </c>
      <c r="D15" s="192" t="s">
        <v>321</v>
      </c>
      <c r="E15" s="192" t="s">
        <v>337</v>
      </c>
      <c r="F15" s="234" t="s">
        <v>337</v>
      </c>
      <c r="G15" s="231"/>
      <c r="H15" s="188" t="s">
        <v>597</v>
      </c>
      <c r="I15" s="192"/>
      <c r="J15" s="247"/>
      <c r="K15" s="192"/>
      <c r="L15" s="271" t="s">
        <v>378</v>
      </c>
      <c r="M15" s="271" t="s">
        <v>378</v>
      </c>
      <c r="N15" s="271" t="s">
        <v>378</v>
      </c>
      <c r="O15" s="271" t="s">
        <v>337</v>
      </c>
      <c r="P15" s="271" t="s">
        <v>337</v>
      </c>
      <c r="Q15" s="2"/>
    </row>
    <row r="16" spans="1:38" ht="15">
      <c r="A16" s="234" t="s">
        <v>438</v>
      </c>
      <c r="B16" s="234" t="s">
        <v>439</v>
      </c>
      <c r="C16" s="192" t="s">
        <v>634</v>
      </c>
      <c r="D16" s="192" t="s">
        <v>635</v>
      </c>
      <c r="E16" s="192" t="s">
        <v>634</v>
      </c>
      <c r="F16" s="234" t="s">
        <v>636</v>
      </c>
      <c r="G16" s="231"/>
      <c r="H16" s="188" t="s">
        <v>635</v>
      </c>
      <c r="I16" s="192"/>
      <c r="J16" s="247"/>
      <c r="K16" s="192"/>
      <c r="L16" s="271" t="s">
        <v>618</v>
      </c>
      <c r="M16" s="271" t="s">
        <v>619</v>
      </c>
      <c r="N16" s="271" t="s">
        <v>632</v>
      </c>
      <c r="O16" s="271" t="s">
        <v>618</v>
      </c>
      <c r="P16" s="271" t="s">
        <v>619</v>
      </c>
      <c r="Q16" s="2"/>
      <c r="R16" s="2"/>
      <c r="S16" s="2"/>
      <c r="T16" s="2"/>
      <c r="U16" s="29"/>
      <c r="V16" s="36"/>
      <c r="W16" s="36"/>
      <c r="X16" s="36"/>
      <c r="Y16" s="36"/>
      <c r="Z16" s="36"/>
      <c r="AA16" s="36"/>
      <c r="AB16" s="36"/>
      <c r="AD16" s="2"/>
      <c r="AI16" s="3"/>
      <c r="AJ16" s="3"/>
    </row>
    <row r="17" spans="1:36" ht="15">
      <c r="A17" s="235" t="s">
        <v>487</v>
      </c>
      <c r="B17" s="235" t="s">
        <v>488</v>
      </c>
      <c r="C17" s="29" t="s">
        <v>591</v>
      </c>
      <c r="D17" s="29" t="s">
        <v>591</v>
      </c>
      <c r="E17" s="29" t="s">
        <v>338</v>
      </c>
      <c r="F17" s="235" t="s">
        <v>584</v>
      </c>
      <c r="G17" s="42"/>
      <c r="H17" s="250" t="s">
        <v>592</v>
      </c>
      <c r="I17" s="29"/>
      <c r="J17" s="248"/>
      <c r="K17" s="29"/>
      <c r="L17" s="272" t="s">
        <v>620</v>
      </c>
      <c r="M17" s="272" t="s">
        <v>621</v>
      </c>
      <c r="N17" s="272" t="s">
        <v>633</v>
      </c>
      <c r="O17" s="272" t="s">
        <v>620</v>
      </c>
      <c r="P17" s="272" t="s">
        <v>621</v>
      </c>
      <c r="Q17" s="29"/>
      <c r="R17" s="2"/>
      <c r="S17" s="2"/>
      <c r="T17" s="2"/>
      <c r="U17" s="29"/>
      <c r="V17" s="36"/>
      <c r="W17" s="36"/>
      <c r="X17" s="98"/>
      <c r="Y17" s="98"/>
      <c r="Z17" s="98"/>
      <c r="AD17" s="2"/>
      <c r="AH17" s="2"/>
      <c r="AI17" s="2"/>
      <c r="AJ17" s="2"/>
    </row>
    <row r="18" spans="1:36" s="42" customFormat="1">
      <c r="A18" s="234">
        <v>0</v>
      </c>
      <c r="B18" s="235">
        <f>'GC E. Alba'!J7</f>
        <v>0</v>
      </c>
      <c r="C18" s="55">
        <f>((7.725*EXP(B18*0.119))+(0.01*(B18^1.764))+(0.005*(B18^2.638))+(0.015*(B18^2.351)))/1000</f>
        <v>7.7249999999999992E-3</v>
      </c>
      <c r="D18" s="44">
        <f t="shared" ref="D18:D48" si="0">C18*(1+$B$9)</f>
        <v>9.2699999999999987E-3</v>
      </c>
      <c r="E18" s="51">
        <f>C18</f>
        <v>7.7249999999999992E-3</v>
      </c>
      <c r="F18" s="237">
        <f t="shared" ref="F18:F48" si="1">E18*(1+$B$9)</f>
        <v>9.2699999999999987E-3</v>
      </c>
      <c r="G18" s="267"/>
      <c r="H18" s="268">
        <v>0</v>
      </c>
      <c r="I18" s="111"/>
      <c r="J18" s="244"/>
      <c r="K18" s="111"/>
      <c r="L18" s="274">
        <f t="shared" ref="L18:L48" si="2">D18*$B$8</f>
        <v>4.6349999999999994E-3</v>
      </c>
      <c r="M18" s="273">
        <f>L18*44/12</f>
        <v>1.6995E-2</v>
      </c>
      <c r="N18" s="274" t="e">
        <f>M18*#REF!</f>
        <v>#REF!</v>
      </c>
      <c r="O18" s="273">
        <f t="shared" ref="O18:O48" si="3">F18*$B$8</f>
        <v>4.6349999999999994E-3</v>
      </c>
      <c r="P18" s="277">
        <f>O18*44/12</f>
        <v>1.6995E-2</v>
      </c>
      <c r="Q18" s="53"/>
      <c r="R18" s="29"/>
      <c r="S18" s="29"/>
      <c r="T18" s="29"/>
      <c r="X18" s="58"/>
      <c r="Y18" s="33"/>
      <c r="Z18" s="94" t="s">
        <v>303</v>
      </c>
      <c r="AA18" s="97"/>
      <c r="AB18" s="33"/>
      <c r="AD18" s="29"/>
      <c r="AH18" s="29"/>
      <c r="AI18" s="29"/>
      <c r="AJ18" s="29"/>
    </row>
    <row r="19" spans="1:36">
      <c r="A19" s="234">
        <v>1</v>
      </c>
      <c r="B19" s="235">
        <f>'GC E. Alba'!J8</f>
        <v>4.5</v>
      </c>
      <c r="C19" s="55">
        <f>((7.725*EXP(B19*0.119))+(0.01*(B19^1.764))+(0.005*(B19^2.638))+(0.015*(B19^2.351)))/1000</f>
        <v>1.4117940368644954E-2</v>
      </c>
      <c r="D19" s="44">
        <f t="shared" si="0"/>
        <v>1.6941528442373944E-2</v>
      </c>
      <c r="E19" s="51">
        <f t="shared" ref="E19:E48" si="4">C19-C18</f>
        <v>6.3929403686449546E-3</v>
      </c>
      <c r="F19" s="237">
        <f t="shared" si="1"/>
        <v>7.6715284423739451E-3</v>
      </c>
      <c r="G19" s="267"/>
      <c r="H19" s="268">
        <f>0.0032*A19-0.0032</f>
        <v>0</v>
      </c>
      <c r="I19" s="111"/>
      <c r="J19" s="244"/>
      <c r="K19" s="111"/>
      <c r="L19" s="274">
        <f t="shared" si="2"/>
        <v>8.4707642211869719E-3</v>
      </c>
      <c r="M19" s="273">
        <f t="shared" ref="M19:M48" si="5">L19*44/12</f>
        <v>3.1059468811018898E-2</v>
      </c>
      <c r="N19" s="274" t="e">
        <f>M19*#REF!</f>
        <v>#REF!</v>
      </c>
      <c r="O19" s="273">
        <f t="shared" si="3"/>
        <v>3.8357642211869726E-3</v>
      </c>
      <c r="P19" s="277">
        <f t="shared" ref="P19:P48" si="6">O19*44/12</f>
        <v>1.40644688110189E-2</v>
      </c>
      <c r="Q19" s="53"/>
      <c r="R19" s="40"/>
      <c r="S19" s="40"/>
      <c r="T19" s="40"/>
      <c r="Z19" s="2" t="s">
        <v>321</v>
      </c>
      <c r="AA19" s="2"/>
      <c r="AD19" s="35"/>
      <c r="AH19" s="2"/>
      <c r="AI19" s="55"/>
      <c r="AJ19" s="2"/>
    </row>
    <row r="20" spans="1:36" ht="15">
      <c r="A20" s="234">
        <f t="shared" ref="A20:A48" si="7">A19+1</f>
        <v>2</v>
      </c>
      <c r="B20" s="235">
        <f>'GC E. Alba'!J9</f>
        <v>9</v>
      </c>
      <c r="C20" s="55">
        <f t="shared" ref="C20:C48" si="8">((7.725*EXP(B20*0.119))+(0.01*(B20^1.764))+(0.005*(B20^2.638))+(0.015*(B20^2.351)))/1000</f>
        <v>2.7298799781957549E-2</v>
      </c>
      <c r="D20" s="44">
        <f t="shared" si="0"/>
        <v>3.2758559738349055E-2</v>
      </c>
      <c r="E20" s="51">
        <f t="shared" si="4"/>
        <v>1.3180859413312596E-2</v>
      </c>
      <c r="F20" s="237">
        <f t="shared" si="1"/>
        <v>1.5817031295975115E-2</v>
      </c>
      <c r="G20" s="267"/>
      <c r="H20" s="268">
        <f t="shared" ref="H20:H47" si="9">0.0032*A20-0.0032</f>
        <v>3.2000000000000002E-3</v>
      </c>
      <c r="I20" s="111"/>
      <c r="J20" s="244"/>
      <c r="K20" s="111"/>
      <c r="L20" s="274">
        <f t="shared" si="2"/>
        <v>1.6379279869174528E-2</v>
      </c>
      <c r="M20" s="273">
        <f t="shared" si="5"/>
        <v>6.0057359520306601E-2</v>
      </c>
      <c r="N20" s="274" t="e">
        <f>M20*#REF!</f>
        <v>#REF!</v>
      </c>
      <c r="O20" s="273">
        <f t="shared" si="3"/>
        <v>7.9085156479875574E-3</v>
      </c>
      <c r="P20" s="277">
        <f t="shared" si="6"/>
        <v>2.899789070928771E-2</v>
      </c>
      <c r="Q20" s="53"/>
      <c r="R20" s="40"/>
      <c r="S20" s="40"/>
      <c r="T20" s="40"/>
      <c r="X20" s="2" t="s">
        <v>438</v>
      </c>
      <c r="Y20" s="2" t="s">
        <v>439</v>
      </c>
      <c r="Z20" s="2" t="s">
        <v>379</v>
      </c>
      <c r="AA20" s="2"/>
      <c r="AD20" s="35"/>
      <c r="AH20" s="2"/>
      <c r="AI20" s="55"/>
      <c r="AJ20" s="2"/>
    </row>
    <row r="21" spans="1:36" ht="15">
      <c r="A21" s="234">
        <f t="shared" si="7"/>
        <v>3</v>
      </c>
      <c r="B21" s="235">
        <f>'GC E. Alba'!J10</f>
        <v>11.2</v>
      </c>
      <c r="C21" s="55">
        <f t="shared" si="8"/>
        <v>3.7322756579254837E-2</v>
      </c>
      <c r="D21" s="44">
        <f t="shared" si="0"/>
        <v>4.47873078951058E-2</v>
      </c>
      <c r="E21" s="51">
        <f t="shared" si="4"/>
        <v>1.0023956797297288E-2</v>
      </c>
      <c r="F21" s="237">
        <f t="shared" si="1"/>
        <v>1.2028748156756745E-2</v>
      </c>
      <c r="G21" s="267"/>
      <c r="H21" s="268">
        <f t="shared" si="9"/>
        <v>6.4000000000000012E-3</v>
      </c>
      <c r="I21" s="111"/>
      <c r="J21" s="244"/>
      <c r="K21" s="111"/>
      <c r="L21" s="274">
        <f t="shared" si="2"/>
        <v>2.23936539475529E-2</v>
      </c>
      <c r="M21" s="273">
        <f t="shared" si="5"/>
        <v>8.2110064474360631E-2</v>
      </c>
      <c r="N21" s="274" t="e">
        <f>M21*#REF!</f>
        <v>#REF!</v>
      </c>
      <c r="O21" s="273">
        <f t="shared" si="3"/>
        <v>6.0143740783783727E-3</v>
      </c>
      <c r="P21" s="277">
        <f t="shared" si="6"/>
        <v>2.2052704954054033E-2</v>
      </c>
      <c r="Q21" s="53"/>
      <c r="R21" s="40"/>
      <c r="S21" s="40"/>
      <c r="T21" s="40"/>
      <c r="X21" s="29" t="s">
        <v>487</v>
      </c>
      <c r="Y21" s="29" t="s">
        <v>488</v>
      </c>
      <c r="Z21" s="29" t="s">
        <v>333</v>
      </c>
      <c r="AA21" s="29"/>
      <c r="AB21" s="42"/>
      <c r="AD21" s="35"/>
      <c r="AH21" s="2"/>
      <c r="AI21" s="55"/>
      <c r="AJ21" s="2"/>
    </row>
    <row r="22" spans="1:36">
      <c r="A22" s="234">
        <f t="shared" si="7"/>
        <v>4</v>
      </c>
      <c r="B22" s="235">
        <f>'GC E. Alba'!J11</f>
        <v>13.399999999999999</v>
      </c>
      <c r="C22" s="55">
        <f t="shared" si="8"/>
        <v>5.0428760262112945E-2</v>
      </c>
      <c r="D22" s="44">
        <f t="shared" si="0"/>
        <v>6.0514512314535529E-2</v>
      </c>
      <c r="E22" s="51">
        <f t="shared" si="4"/>
        <v>1.3106003682858108E-2</v>
      </c>
      <c r="F22" s="237">
        <f t="shared" si="1"/>
        <v>1.5727204419429729E-2</v>
      </c>
      <c r="G22" s="267"/>
      <c r="H22" s="268">
        <f t="shared" si="9"/>
        <v>9.6000000000000009E-3</v>
      </c>
      <c r="I22" s="111"/>
      <c r="J22" s="244"/>
      <c r="K22" s="111"/>
      <c r="L22" s="274">
        <f t="shared" si="2"/>
        <v>3.0257256157267765E-2</v>
      </c>
      <c r="M22" s="273">
        <f t="shared" si="5"/>
        <v>0.11094327257664847</v>
      </c>
      <c r="N22" s="274" t="e">
        <f>M22*#REF!</f>
        <v>#REF!</v>
      </c>
      <c r="O22" s="273">
        <f t="shared" si="3"/>
        <v>7.8636022097148643E-3</v>
      </c>
      <c r="P22" s="277">
        <f t="shared" si="6"/>
        <v>2.8833208102287834E-2</v>
      </c>
      <c r="Q22" s="53"/>
      <c r="R22" s="40"/>
      <c r="S22" s="40"/>
      <c r="T22" s="40"/>
      <c r="X22" s="2">
        <v>0</v>
      </c>
      <c r="Y22" s="29">
        <f>'GC E. Alba'!J7</f>
        <v>0</v>
      </c>
      <c r="Z22" s="55">
        <f t="shared" ref="Z22:Z48" si="10">((7.725*EXP(Y22*0.119))+(0.01*(Y22^1.764))+(0.005*(Y22^2.638))+(0.015*(Y22^2.351)))/1000</f>
        <v>7.7249999999999992E-3</v>
      </c>
      <c r="AA22" s="52"/>
      <c r="AB22" s="54"/>
      <c r="AD22" s="35"/>
      <c r="AH22" s="2"/>
      <c r="AI22" s="55"/>
      <c r="AJ22" s="2"/>
    </row>
    <row r="23" spans="1:36">
      <c r="A23" s="234">
        <f t="shared" si="7"/>
        <v>5</v>
      </c>
      <c r="B23" s="235">
        <f>'GC E. Alba'!J12</f>
        <v>14.2</v>
      </c>
      <c r="C23" s="55">
        <f t="shared" si="8"/>
        <v>5.6089984069880548E-2</v>
      </c>
      <c r="D23" s="44">
        <f t="shared" si="0"/>
        <v>6.7307980883856658E-2</v>
      </c>
      <c r="E23" s="51">
        <f t="shared" si="4"/>
        <v>5.6612238077676028E-3</v>
      </c>
      <c r="F23" s="237">
        <f t="shared" si="1"/>
        <v>6.7934685693211228E-3</v>
      </c>
      <c r="G23" s="267"/>
      <c r="H23" s="268">
        <f t="shared" si="9"/>
        <v>1.2800000000000001E-2</v>
      </c>
      <c r="I23" s="111"/>
      <c r="J23" s="244"/>
      <c r="K23" s="111"/>
      <c r="L23" s="274">
        <f t="shared" si="2"/>
        <v>3.3653990441928329E-2</v>
      </c>
      <c r="M23" s="273">
        <f t="shared" si="5"/>
        <v>0.12339796495373721</v>
      </c>
      <c r="N23" s="274" t="e">
        <f>M23*#REF!</f>
        <v>#REF!</v>
      </c>
      <c r="O23" s="273">
        <f t="shared" si="3"/>
        <v>3.3967342846605614E-3</v>
      </c>
      <c r="P23" s="277">
        <f t="shared" si="6"/>
        <v>1.2454692377088725E-2</v>
      </c>
      <c r="Q23" s="53"/>
      <c r="R23" s="40"/>
      <c r="S23" s="40"/>
      <c r="T23" s="40"/>
      <c r="X23" s="2">
        <v>1</v>
      </c>
      <c r="Y23" s="29">
        <f>'GC E. Alba'!J8</f>
        <v>4.5</v>
      </c>
      <c r="Z23" s="55">
        <f t="shared" si="10"/>
        <v>1.4117940368644954E-2</v>
      </c>
      <c r="AA23" s="52"/>
      <c r="AB23" s="36"/>
      <c r="AD23" s="35"/>
      <c r="AH23" s="2"/>
      <c r="AI23" s="55"/>
      <c r="AJ23" s="2"/>
    </row>
    <row r="24" spans="1:36">
      <c r="A24" s="234">
        <f t="shared" si="7"/>
        <v>6</v>
      </c>
      <c r="B24" s="235">
        <f>'GC E. Alba'!J13</f>
        <v>15</v>
      </c>
      <c r="C24" s="55">
        <f t="shared" si="8"/>
        <v>6.2287975085599884E-2</v>
      </c>
      <c r="D24" s="44">
        <f t="shared" si="0"/>
        <v>7.4745570102719858E-2</v>
      </c>
      <c r="E24" s="51">
        <f t="shared" si="4"/>
        <v>6.1979910157193355E-3</v>
      </c>
      <c r="F24" s="237">
        <f t="shared" si="1"/>
        <v>7.4375892188632024E-3</v>
      </c>
      <c r="G24" s="267"/>
      <c r="H24" s="268">
        <f t="shared" si="9"/>
        <v>1.6E-2</v>
      </c>
      <c r="I24" s="111"/>
      <c r="J24" s="244"/>
      <c r="K24" s="111"/>
      <c r="L24" s="274">
        <f t="shared" si="2"/>
        <v>3.7372785051359929E-2</v>
      </c>
      <c r="M24" s="273">
        <f t="shared" si="5"/>
        <v>0.13703354518831976</v>
      </c>
      <c r="N24" s="274" t="e">
        <f>M24*#REF!</f>
        <v>#REF!</v>
      </c>
      <c r="O24" s="273">
        <f t="shared" si="3"/>
        <v>3.7187946094316012E-3</v>
      </c>
      <c r="P24" s="277">
        <f t="shared" si="6"/>
        <v>1.3635580234582537E-2</v>
      </c>
      <c r="Q24" s="53"/>
      <c r="R24" s="40"/>
      <c r="S24" s="40"/>
      <c r="T24" s="40"/>
      <c r="X24" s="2">
        <f t="shared" ref="X24:X49" si="11">X23+1</f>
        <v>2</v>
      </c>
      <c r="Y24" s="29">
        <f>'GC E. Alba'!J9</f>
        <v>9</v>
      </c>
      <c r="Z24" s="55">
        <f t="shared" si="10"/>
        <v>2.7298799781957549E-2</v>
      </c>
      <c r="AA24" s="52"/>
      <c r="AB24" s="36"/>
      <c r="AD24" s="35"/>
      <c r="AH24" s="2"/>
      <c r="AI24" s="55"/>
      <c r="AJ24" s="2"/>
    </row>
    <row r="25" spans="1:36">
      <c r="A25" s="234">
        <f t="shared" si="7"/>
        <v>7</v>
      </c>
      <c r="B25" s="235">
        <f>'GC E. Alba'!J14</f>
        <v>15.4</v>
      </c>
      <c r="C25" s="55">
        <f t="shared" si="8"/>
        <v>6.5601254966866432E-2</v>
      </c>
      <c r="D25" s="44">
        <f t="shared" si="0"/>
        <v>7.8721505960239718E-2</v>
      </c>
      <c r="E25" s="51">
        <f t="shared" si="4"/>
        <v>3.3132798812665482E-3</v>
      </c>
      <c r="F25" s="237">
        <f t="shared" si="1"/>
        <v>3.975935857519858E-3</v>
      </c>
      <c r="G25" s="267"/>
      <c r="H25" s="268">
        <f t="shared" si="9"/>
        <v>1.9199999999999998E-2</v>
      </c>
      <c r="I25" s="111"/>
      <c r="J25" s="244"/>
      <c r="K25" s="111"/>
      <c r="L25" s="274">
        <f t="shared" si="2"/>
        <v>3.9360752980119859E-2</v>
      </c>
      <c r="M25" s="273">
        <f t="shared" si="5"/>
        <v>0.14432276092710614</v>
      </c>
      <c r="N25" s="274" t="e">
        <f>M25*#REF!</f>
        <v>#REF!</v>
      </c>
      <c r="O25" s="273">
        <f t="shared" si="3"/>
        <v>1.987967928759929E-3</v>
      </c>
      <c r="P25" s="277">
        <f t="shared" si="6"/>
        <v>7.2892157387864061E-3</v>
      </c>
      <c r="Q25" s="53"/>
      <c r="R25" s="40"/>
      <c r="S25" s="40"/>
      <c r="T25" s="40"/>
      <c r="X25" s="2">
        <f t="shared" si="11"/>
        <v>3</v>
      </c>
      <c r="Y25" s="29">
        <f>'GC E. Alba'!J10</f>
        <v>11.2</v>
      </c>
      <c r="Z25" s="55">
        <f t="shared" si="10"/>
        <v>3.7322756579254837E-2</v>
      </c>
      <c r="AA25" s="52"/>
      <c r="AB25" s="36"/>
      <c r="AD25" s="35"/>
      <c r="AH25" s="2"/>
      <c r="AI25" s="55"/>
      <c r="AJ25" s="2"/>
    </row>
    <row r="26" spans="1:36">
      <c r="A26" s="234">
        <f t="shared" si="7"/>
        <v>8</v>
      </c>
      <c r="B26" s="235">
        <f>'GC E. Alba'!J15</f>
        <v>15.8</v>
      </c>
      <c r="C26" s="55">
        <f t="shared" si="8"/>
        <v>6.9064769814434782E-2</v>
      </c>
      <c r="D26" s="44">
        <f t="shared" si="0"/>
        <v>8.2877723777321735E-2</v>
      </c>
      <c r="E26" s="51">
        <f t="shared" si="4"/>
        <v>3.4635148475683497E-3</v>
      </c>
      <c r="F26" s="237">
        <f t="shared" si="1"/>
        <v>4.1562178170820195E-3</v>
      </c>
      <c r="G26" s="267"/>
      <c r="H26" s="268">
        <f t="shared" si="9"/>
        <v>2.24E-2</v>
      </c>
      <c r="I26" s="111"/>
      <c r="J26" s="244"/>
      <c r="K26" s="111"/>
      <c r="L26" s="274">
        <f t="shared" si="2"/>
        <v>4.1438861888660868E-2</v>
      </c>
      <c r="M26" s="273">
        <f t="shared" si="5"/>
        <v>0.15194249359175652</v>
      </c>
      <c r="N26" s="274" t="e">
        <f>M26*#REF!</f>
        <v>#REF!</v>
      </c>
      <c r="O26" s="273">
        <f t="shared" si="3"/>
        <v>2.0781089085410097E-3</v>
      </c>
      <c r="P26" s="277">
        <f t="shared" si="6"/>
        <v>7.6197326646503692E-3</v>
      </c>
      <c r="Q26" s="53"/>
      <c r="R26" s="40"/>
      <c r="S26" s="40"/>
      <c r="T26" s="40"/>
      <c r="X26" s="2">
        <f t="shared" si="11"/>
        <v>4</v>
      </c>
      <c r="Y26" s="29">
        <f>'GC E. Alba'!J11</f>
        <v>13.399999999999999</v>
      </c>
      <c r="Z26" s="55">
        <f t="shared" si="10"/>
        <v>5.0428760262112945E-2</v>
      </c>
      <c r="AA26" s="52"/>
      <c r="AB26" s="36"/>
      <c r="AD26" s="35"/>
      <c r="AH26" s="2"/>
      <c r="AI26" s="55"/>
      <c r="AJ26" s="2"/>
    </row>
    <row r="27" spans="1:36">
      <c r="A27" s="234">
        <f t="shared" si="7"/>
        <v>9</v>
      </c>
      <c r="B27" s="235">
        <f>'GC E. Alba'!J16</f>
        <v>16</v>
      </c>
      <c r="C27" s="55">
        <f t="shared" si="8"/>
        <v>7.0854678576946842E-2</v>
      </c>
      <c r="D27" s="44">
        <f t="shared" si="0"/>
        <v>8.502561429233621E-2</v>
      </c>
      <c r="E27" s="51">
        <f t="shared" si="4"/>
        <v>1.7899087625120602E-3</v>
      </c>
      <c r="F27" s="237">
        <f t="shared" si="1"/>
        <v>2.147890515014472E-3</v>
      </c>
      <c r="G27" s="267"/>
      <c r="H27" s="268">
        <f t="shared" si="9"/>
        <v>2.5600000000000001E-2</v>
      </c>
      <c r="I27" s="111"/>
      <c r="J27" s="244"/>
      <c r="K27" s="111"/>
      <c r="L27" s="274">
        <f t="shared" si="2"/>
        <v>4.2512807146168105E-2</v>
      </c>
      <c r="M27" s="273">
        <f t="shared" si="5"/>
        <v>0.15588029286928304</v>
      </c>
      <c r="N27" s="274" t="e">
        <f>M27*#REF!</f>
        <v>#REF!</v>
      </c>
      <c r="O27" s="273">
        <f t="shared" si="3"/>
        <v>1.073945257507236E-3</v>
      </c>
      <c r="P27" s="277">
        <f t="shared" si="6"/>
        <v>3.9377992775265318E-3</v>
      </c>
      <c r="Q27" s="53"/>
      <c r="R27" s="40"/>
      <c r="S27" s="40"/>
      <c r="T27" s="40"/>
      <c r="X27" s="2">
        <f t="shared" si="11"/>
        <v>5</v>
      </c>
      <c r="Y27" s="29">
        <f>'GC E. Alba'!J12</f>
        <v>14.2</v>
      </c>
      <c r="Z27" s="55">
        <f t="shared" si="10"/>
        <v>5.6089984069880548E-2</v>
      </c>
      <c r="AA27" s="52"/>
      <c r="AB27" s="36"/>
      <c r="AC27" s="89"/>
      <c r="AD27" s="96"/>
      <c r="AH27" s="2"/>
      <c r="AI27" s="55"/>
      <c r="AJ27" s="2"/>
    </row>
    <row r="28" spans="1:36">
      <c r="A28" s="234">
        <f t="shared" si="7"/>
        <v>10</v>
      </c>
      <c r="B28" s="235">
        <f>'GC E. Alba'!J17</f>
        <v>16.2</v>
      </c>
      <c r="C28" s="55">
        <f t="shared" si="8"/>
        <v>7.2684353271880886E-2</v>
      </c>
      <c r="D28" s="44">
        <f t="shared" si="0"/>
        <v>8.7221223926257058E-2</v>
      </c>
      <c r="E28" s="51">
        <f t="shared" si="4"/>
        <v>1.8296746949340442E-3</v>
      </c>
      <c r="F28" s="237">
        <f t="shared" si="1"/>
        <v>2.1956096339208532E-3</v>
      </c>
      <c r="G28" s="267"/>
      <c r="H28" s="268">
        <f t="shared" si="9"/>
        <v>2.8799999999999999E-2</v>
      </c>
      <c r="I28" s="111"/>
      <c r="J28" s="244"/>
      <c r="K28" s="111"/>
      <c r="L28" s="274">
        <f t="shared" si="2"/>
        <v>4.3610611963128529E-2</v>
      </c>
      <c r="M28" s="273">
        <f t="shared" si="5"/>
        <v>0.15990557719813794</v>
      </c>
      <c r="N28" s="274" t="e">
        <f>M28*#REF!</f>
        <v>#REF!</v>
      </c>
      <c r="O28" s="273">
        <f t="shared" si="3"/>
        <v>1.0978048169604266E-3</v>
      </c>
      <c r="P28" s="277">
        <f t="shared" si="6"/>
        <v>4.0252843288548978E-3</v>
      </c>
      <c r="Q28" s="53"/>
      <c r="R28" s="40"/>
      <c r="S28" s="40"/>
      <c r="T28" s="40"/>
      <c r="X28" s="2">
        <f t="shared" si="11"/>
        <v>6</v>
      </c>
      <c r="Y28" s="29">
        <f>'GC E. Alba'!J13</f>
        <v>15</v>
      </c>
      <c r="Z28" s="55">
        <f t="shared" si="10"/>
        <v>6.2287975085599884E-2</v>
      </c>
      <c r="AA28" s="52"/>
      <c r="AB28" s="36"/>
      <c r="AC28" s="89"/>
      <c r="AD28" s="96"/>
      <c r="AH28" s="2"/>
      <c r="AI28" s="55"/>
      <c r="AJ28" s="2"/>
    </row>
    <row r="29" spans="1:36">
      <c r="A29" s="234">
        <f t="shared" si="7"/>
        <v>11</v>
      </c>
      <c r="B29" s="235">
        <f>'GC E. Alba'!J18</f>
        <v>16.3</v>
      </c>
      <c r="C29" s="55">
        <f t="shared" si="8"/>
        <v>7.3614342522533488E-2</v>
      </c>
      <c r="D29" s="44">
        <f t="shared" si="0"/>
        <v>8.8337211027040188E-2</v>
      </c>
      <c r="E29" s="51">
        <f t="shared" si="4"/>
        <v>9.2998925065260196E-4</v>
      </c>
      <c r="F29" s="237">
        <f t="shared" si="1"/>
        <v>1.1159871007831222E-3</v>
      </c>
      <c r="G29" s="267"/>
      <c r="H29" s="268">
        <f t="shared" si="9"/>
        <v>3.2000000000000001E-2</v>
      </c>
      <c r="I29" s="111"/>
      <c r="J29" s="244"/>
      <c r="K29" s="111"/>
      <c r="L29" s="274">
        <f t="shared" si="2"/>
        <v>4.4168605513520094E-2</v>
      </c>
      <c r="M29" s="273">
        <f t="shared" si="5"/>
        <v>0.16195155354957366</v>
      </c>
      <c r="N29" s="274" t="e">
        <f>M29*#REF!</f>
        <v>#REF!</v>
      </c>
      <c r="O29" s="273">
        <f t="shared" si="3"/>
        <v>5.5799355039156111E-4</v>
      </c>
      <c r="P29" s="277">
        <f t="shared" si="6"/>
        <v>2.045976351435724E-3</v>
      </c>
      <c r="Q29" s="53"/>
      <c r="R29" s="40"/>
      <c r="S29" s="40"/>
      <c r="X29" s="2">
        <f t="shared" si="11"/>
        <v>7</v>
      </c>
      <c r="Y29" s="29">
        <f>'GC E. Alba'!J14</f>
        <v>15.4</v>
      </c>
      <c r="Z29" s="55">
        <f t="shared" si="10"/>
        <v>6.5601254966866432E-2</v>
      </c>
      <c r="AA29" s="52"/>
      <c r="AB29" s="36"/>
      <c r="AC29" s="89"/>
      <c r="AD29" s="96"/>
      <c r="AH29" s="2"/>
      <c r="AI29" s="55"/>
      <c r="AJ29" s="2"/>
    </row>
    <row r="30" spans="1:36">
      <c r="A30" s="234">
        <f t="shared" si="7"/>
        <v>12</v>
      </c>
      <c r="B30" s="235">
        <f>'GC E. Alba'!J19</f>
        <v>16.350000000000001</v>
      </c>
      <c r="C30" s="55">
        <f t="shared" si="8"/>
        <v>7.4083167689745127E-2</v>
      </c>
      <c r="D30" s="44">
        <f t="shared" si="0"/>
        <v>8.8899801227694156E-2</v>
      </c>
      <c r="E30" s="51">
        <f t="shared" si="4"/>
        <v>4.6882516721163947E-4</v>
      </c>
      <c r="F30" s="237">
        <f t="shared" si="1"/>
        <v>5.6259020065396736E-4</v>
      </c>
      <c r="G30" s="267"/>
      <c r="H30" s="268">
        <f t="shared" si="9"/>
        <v>3.5200000000000002E-2</v>
      </c>
      <c r="I30" s="111"/>
      <c r="J30" s="244"/>
      <c r="K30" s="111"/>
      <c r="L30" s="274">
        <f t="shared" si="2"/>
        <v>4.4449900613847078E-2</v>
      </c>
      <c r="M30" s="273">
        <f t="shared" si="5"/>
        <v>0.16298296891743927</v>
      </c>
      <c r="N30" s="274" t="e">
        <f>M30*#REF!</f>
        <v>#REF!</v>
      </c>
      <c r="O30" s="273">
        <f t="shared" si="3"/>
        <v>2.8129510032698368E-4</v>
      </c>
      <c r="P30" s="277">
        <f t="shared" si="6"/>
        <v>1.0314153678656068E-3</v>
      </c>
      <c r="Q30" s="53"/>
      <c r="R30" s="40"/>
      <c r="S30" s="40"/>
      <c r="X30" s="2">
        <f t="shared" si="11"/>
        <v>8</v>
      </c>
      <c r="Y30" s="29">
        <f>'GC E. Alba'!J15</f>
        <v>15.8</v>
      </c>
      <c r="Z30" s="55">
        <f t="shared" si="10"/>
        <v>6.9064769814434782E-2</v>
      </c>
      <c r="AA30" s="52"/>
      <c r="AB30" s="36"/>
      <c r="AC30" s="89"/>
      <c r="AD30" s="96"/>
      <c r="AH30" s="2"/>
      <c r="AI30" s="55"/>
      <c r="AJ30" s="2"/>
    </row>
    <row r="31" spans="1:36">
      <c r="A31" s="234">
        <f t="shared" si="7"/>
        <v>13</v>
      </c>
      <c r="B31" s="235">
        <f>'GC E. Alba'!J20</f>
        <v>16.450000000000003</v>
      </c>
      <c r="C31" s="55">
        <f t="shared" si="8"/>
        <v>7.5028540655796158E-2</v>
      </c>
      <c r="D31" s="44">
        <f t="shared" si="0"/>
        <v>9.0034248786955387E-2</v>
      </c>
      <c r="E31" s="51">
        <f t="shared" si="4"/>
        <v>9.4537296605103072E-4</v>
      </c>
      <c r="F31" s="237">
        <f t="shared" si="1"/>
        <v>1.1344475592612367E-3</v>
      </c>
      <c r="G31" s="267"/>
      <c r="H31" s="268">
        <f t="shared" si="9"/>
        <v>3.8400000000000004E-2</v>
      </c>
      <c r="I31" s="111"/>
      <c r="J31" s="244"/>
      <c r="K31" s="111"/>
      <c r="L31" s="274">
        <f t="shared" si="2"/>
        <v>4.5017124393477694E-2</v>
      </c>
      <c r="M31" s="273">
        <f t="shared" si="5"/>
        <v>0.16506278944275155</v>
      </c>
      <c r="N31" s="274" t="e">
        <f>M31*#REF!</f>
        <v>#REF!</v>
      </c>
      <c r="O31" s="273">
        <f t="shared" si="3"/>
        <v>5.6722377963061836E-4</v>
      </c>
      <c r="P31" s="277">
        <f t="shared" si="6"/>
        <v>2.0798205253122672E-3</v>
      </c>
      <c r="Q31" s="53"/>
      <c r="R31" s="40"/>
      <c r="S31" s="40"/>
      <c r="X31" s="2">
        <f t="shared" si="11"/>
        <v>9</v>
      </c>
      <c r="Y31" s="29">
        <f>'GC E. Alba'!J16</f>
        <v>16</v>
      </c>
      <c r="Z31" s="55">
        <f t="shared" si="10"/>
        <v>7.0854678576946842E-2</v>
      </c>
      <c r="AA31" s="52"/>
      <c r="AB31" s="36"/>
      <c r="AC31" s="89"/>
      <c r="AD31" s="96"/>
      <c r="AH31" s="2"/>
      <c r="AI31" s="55"/>
      <c r="AJ31" s="2"/>
    </row>
    <row r="32" spans="1:36">
      <c r="A32" s="234">
        <f t="shared" si="7"/>
        <v>14</v>
      </c>
      <c r="B32" s="235">
        <f>'GC E. Alba'!J21</f>
        <v>16.500000000000004</v>
      </c>
      <c r="C32" s="55">
        <f t="shared" si="8"/>
        <v>7.5505113273328192E-2</v>
      </c>
      <c r="D32" s="44">
        <f t="shared" si="0"/>
        <v>9.0606135927993825E-2</v>
      </c>
      <c r="E32" s="51">
        <f t="shared" si="4"/>
        <v>4.7657261753203395E-4</v>
      </c>
      <c r="F32" s="237">
        <f t="shared" si="1"/>
        <v>5.7188714103844067E-4</v>
      </c>
      <c r="G32" s="267"/>
      <c r="H32" s="268">
        <f t="shared" si="9"/>
        <v>4.1599999999999998E-2</v>
      </c>
      <c r="I32" s="111"/>
      <c r="J32" s="244"/>
      <c r="K32" s="111"/>
      <c r="L32" s="274">
        <f t="shared" si="2"/>
        <v>4.5303067963996912E-2</v>
      </c>
      <c r="M32" s="273">
        <f t="shared" si="5"/>
        <v>0.166111249201322</v>
      </c>
      <c r="N32" s="274" t="e">
        <f>M32*#REF!</f>
        <v>#REF!</v>
      </c>
      <c r="O32" s="273">
        <f t="shared" si="3"/>
        <v>2.8594357051922034E-4</v>
      </c>
      <c r="P32" s="277">
        <f t="shared" si="6"/>
        <v>1.0484597585704745E-3</v>
      </c>
      <c r="Q32" s="53"/>
      <c r="R32" s="40"/>
      <c r="S32" s="40"/>
      <c r="X32" s="2">
        <f t="shared" si="11"/>
        <v>10</v>
      </c>
      <c r="Y32" s="29">
        <f>'GC E. Alba'!J17</f>
        <v>16.2</v>
      </c>
      <c r="Z32" s="55">
        <f t="shared" si="10"/>
        <v>7.2684353271880886E-2</v>
      </c>
      <c r="AA32" s="52"/>
      <c r="AB32" s="36"/>
      <c r="AC32" s="89"/>
      <c r="AD32" s="96"/>
      <c r="AH32" s="2"/>
      <c r="AI32" s="55"/>
      <c r="AJ32" s="2"/>
    </row>
    <row r="33" spans="1:36">
      <c r="A33" s="234">
        <f t="shared" si="7"/>
        <v>15</v>
      </c>
      <c r="B33" s="235">
        <f>'GC E. Alba'!J22</f>
        <v>16.550000000000004</v>
      </c>
      <c r="C33" s="55">
        <f t="shared" si="8"/>
        <v>7.5984293304813141E-2</v>
      </c>
      <c r="D33" s="44">
        <f t="shared" si="0"/>
        <v>9.1181151965775767E-2</v>
      </c>
      <c r="E33" s="51">
        <f t="shared" si="4"/>
        <v>4.7918003148494925E-4</v>
      </c>
      <c r="F33" s="237">
        <f t="shared" si="1"/>
        <v>5.7501603778193906E-4</v>
      </c>
      <c r="G33" s="267"/>
      <c r="H33" s="268">
        <f t="shared" si="9"/>
        <v>4.48E-2</v>
      </c>
      <c r="I33" s="111"/>
      <c r="J33" s="244"/>
      <c r="K33" s="111"/>
      <c r="L33" s="274">
        <f t="shared" si="2"/>
        <v>4.5590575982887883E-2</v>
      </c>
      <c r="M33" s="273">
        <f t="shared" si="5"/>
        <v>0.16716544527058888</v>
      </c>
      <c r="N33" s="274" t="e">
        <f>M33*#REF!</f>
        <v>#REF!</v>
      </c>
      <c r="O33" s="273">
        <f t="shared" si="3"/>
        <v>2.8750801889096953E-4</v>
      </c>
      <c r="P33" s="277">
        <f t="shared" si="6"/>
        <v>1.0541960692668883E-3</v>
      </c>
      <c r="Q33" s="53"/>
      <c r="R33" s="40"/>
      <c r="S33" s="40"/>
      <c r="X33" s="2">
        <f t="shared" si="11"/>
        <v>11</v>
      </c>
      <c r="Y33" s="29">
        <f>'GC E. Alba'!J18</f>
        <v>16.3</v>
      </c>
      <c r="Z33" s="55">
        <f t="shared" si="10"/>
        <v>7.3614342522533488E-2</v>
      </c>
      <c r="AA33" s="52"/>
      <c r="AB33" s="36"/>
      <c r="AC33" s="89"/>
      <c r="AD33" s="96"/>
      <c r="AH33" s="2"/>
      <c r="AI33" s="55"/>
      <c r="AJ33" s="2"/>
    </row>
    <row r="34" spans="1:36">
      <c r="A34" s="234">
        <f t="shared" si="7"/>
        <v>16</v>
      </c>
      <c r="B34" s="235">
        <f>'GC E. Alba'!J23</f>
        <v>16.600000000000005</v>
      </c>
      <c r="C34" s="55">
        <f t="shared" si="8"/>
        <v>7.6466093327949E-2</v>
      </c>
      <c r="D34" s="44">
        <f t="shared" si="0"/>
        <v>9.1759311993538803E-2</v>
      </c>
      <c r="E34" s="51">
        <f t="shared" si="4"/>
        <v>4.8180002313585879E-4</v>
      </c>
      <c r="F34" s="237">
        <f t="shared" si="1"/>
        <v>5.7816002776303057E-4</v>
      </c>
      <c r="G34" s="267"/>
      <c r="H34" s="268">
        <f t="shared" si="9"/>
        <v>4.8000000000000001E-2</v>
      </c>
      <c r="I34" s="111"/>
      <c r="J34" s="244"/>
      <c r="K34" s="111"/>
      <c r="L34" s="274">
        <f t="shared" si="2"/>
        <v>4.5879655996769401E-2</v>
      </c>
      <c r="M34" s="273">
        <f t="shared" si="5"/>
        <v>0.1682254053214878</v>
      </c>
      <c r="N34" s="274" t="e">
        <f>M34*#REF!</f>
        <v>#REF!</v>
      </c>
      <c r="O34" s="273">
        <f t="shared" si="3"/>
        <v>2.8908001388151529E-4</v>
      </c>
      <c r="P34" s="277">
        <f t="shared" si="6"/>
        <v>1.0599600508988895E-3</v>
      </c>
      <c r="Q34" s="53"/>
      <c r="R34" s="40"/>
      <c r="S34" s="40"/>
      <c r="X34" s="2">
        <f t="shared" si="11"/>
        <v>12</v>
      </c>
      <c r="Y34" s="29">
        <f>'GC E. Alba'!J19</f>
        <v>16.350000000000001</v>
      </c>
      <c r="Z34" s="55">
        <f t="shared" si="10"/>
        <v>7.4083167689745127E-2</v>
      </c>
      <c r="AA34" s="52"/>
      <c r="AB34" s="36"/>
      <c r="AC34" s="89"/>
      <c r="AD34" s="96"/>
      <c r="AE34" s="35"/>
      <c r="AF34" s="35"/>
      <c r="AG34" s="35"/>
      <c r="AH34" s="2"/>
      <c r="AI34" s="55"/>
      <c r="AJ34" s="2"/>
    </row>
    <row r="35" spans="1:36">
      <c r="A35" s="234">
        <f t="shared" si="7"/>
        <v>17</v>
      </c>
      <c r="B35" s="235">
        <f>'GC E. Alba'!J24</f>
        <v>16.650000000000006</v>
      </c>
      <c r="C35" s="55">
        <f t="shared" si="8"/>
        <v>7.6950525988523491E-2</v>
      </c>
      <c r="D35" s="44">
        <f t="shared" si="0"/>
        <v>9.2340631186228192E-2</v>
      </c>
      <c r="E35" s="51">
        <f t="shared" si="4"/>
        <v>4.8443266057449086E-4</v>
      </c>
      <c r="F35" s="237">
        <f t="shared" si="1"/>
        <v>5.8131919268938903E-4</v>
      </c>
      <c r="G35" s="267"/>
      <c r="H35" s="268">
        <f t="shared" si="9"/>
        <v>5.1200000000000002E-2</v>
      </c>
      <c r="I35" s="111"/>
      <c r="J35" s="244"/>
      <c r="K35" s="111"/>
      <c r="L35" s="274">
        <f t="shared" si="2"/>
        <v>4.6170315593114096E-2</v>
      </c>
      <c r="M35" s="273">
        <f t="shared" si="5"/>
        <v>0.16929115717475171</v>
      </c>
      <c r="N35" s="274" t="e">
        <f>M35*#REF!</f>
        <v>#REF!</v>
      </c>
      <c r="O35" s="273">
        <f t="shared" si="3"/>
        <v>2.9065959634469452E-4</v>
      </c>
      <c r="P35" s="277">
        <f t="shared" si="6"/>
        <v>1.0657518532638799E-3</v>
      </c>
      <c r="Q35" s="53"/>
      <c r="R35" s="40"/>
      <c r="S35" s="40"/>
      <c r="X35" s="2">
        <f t="shared" si="11"/>
        <v>13</v>
      </c>
      <c r="Y35" s="29">
        <f>'GC E. Alba'!J20</f>
        <v>16.450000000000003</v>
      </c>
      <c r="Z35" s="55">
        <f t="shared" si="10"/>
        <v>7.5028540655796158E-2</v>
      </c>
      <c r="AA35" s="52"/>
      <c r="AB35" s="36"/>
      <c r="AC35" s="89"/>
      <c r="AD35" s="96"/>
      <c r="AE35" s="35"/>
      <c r="AF35" s="35"/>
      <c r="AG35" s="35"/>
      <c r="AH35" s="2"/>
      <c r="AI35" s="55"/>
      <c r="AJ35" s="2"/>
    </row>
    <row r="36" spans="1:36">
      <c r="A36" s="234">
        <f t="shared" si="7"/>
        <v>18</v>
      </c>
      <c r="B36" s="235">
        <f>'GC E. Alba'!J25</f>
        <v>16.700000000000006</v>
      </c>
      <c r="C36" s="55">
        <f t="shared" si="8"/>
        <v>7.7437604000833937E-2</v>
      </c>
      <c r="D36" s="44">
        <f t="shared" si="0"/>
        <v>9.2925124801000722E-2</v>
      </c>
      <c r="E36" s="51">
        <f t="shared" si="4"/>
        <v>4.8707801231044623E-4</v>
      </c>
      <c r="F36" s="237">
        <f t="shared" si="1"/>
        <v>5.8449361477253545E-4</v>
      </c>
      <c r="G36" s="267"/>
      <c r="H36" s="268">
        <f t="shared" si="9"/>
        <v>5.4400000000000004E-2</v>
      </c>
      <c r="I36" s="111"/>
      <c r="J36" s="244"/>
      <c r="K36" s="111"/>
      <c r="L36" s="274">
        <f t="shared" si="2"/>
        <v>4.6462562400500361E-2</v>
      </c>
      <c r="M36" s="273">
        <f t="shared" si="5"/>
        <v>0.17036272880183467</v>
      </c>
      <c r="N36" s="274" t="e">
        <f>M36*#REF!</f>
        <v>#REF!</v>
      </c>
      <c r="O36" s="273">
        <f t="shared" si="3"/>
        <v>2.9224680738626773E-4</v>
      </c>
      <c r="P36" s="277">
        <f t="shared" si="6"/>
        <v>1.0715716270829816E-3</v>
      </c>
      <c r="Q36" s="53"/>
      <c r="R36" s="40"/>
      <c r="S36" s="40"/>
      <c r="X36" s="2">
        <f t="shared" si="11"/>
        <v>14</v>
      </c>
      <c r="Y36" s="29">
        <f>'GC E. Alba'!J21</f>
        <v>16.500000000000004</v>
      </c>
      <c r="Z36" s="55">
        <f t="shared" si="10"/>
        <v>7.5505113273328192E-2</v>
      </c>
      <c r="AA36" s="52"/>
      <c r="AB36" s="36"/>
      <c r="AC36" s="89"/>
      <c r="AD36" s="96"/>
      <c r="AE36" s="35"/>
      <c r="AF36" s="35"/>
      <c r="AG36" s="35"/>
      <c r="AH36" s="2"/>
      <c r="AI36" s="55"/>
      <c r="AJ36" s="2"/>
    </row>
    <row r="37" spans="1:36">
      <c r="A37" s="234">
        <f t="shared" si="7"/>
        <v>19</v>
      </c>
      <c r="B37" s="235">
        <f>'GC E. Alba'!J26</f>
        <v>16.750000000000007</v>
      </c>
      <c r="C37" s="55">
        <f t="shared" si="8"/>
        <v>7.7927340148109453E-2</v>
      </c>
      <c r="D37" s="44">
        <f t="shared" si="0"/>
        <v>9.3512808177731346E-2</v>
      </c>
      <c r="E37" s="51">
        <f t="shared" si="4"/>
        <v>4.8973614727551573E-4</v>
      </c>
      <c r="F37" s="237">
        <f t="shared" si="1"/>
        <v>5.876833767306189E-4</v>
      </c>
      <c r="G37" s="267"/>
      <c r="H37" s="268">
        <f t="shared" si="9"/>
        <v>5.7599999999999998E-2</v>
      </c>
      <c r="I37" s="111"/>
      <c r="J37" s="244"/>
      <c r="K37" s="111"/>
      <c r="L37" s="274">
        <f t="shared" si="2"/>
        <v>4.6756404088865673E-2</v>
      </c>
      <c r="M37" s="273">
        <f t="shared" si="5"/>
        <v>0.17144014832584079</v>
      </c>
      <c r="N37" s="274" t="e">
        <f>M37*#REF!</f>
        <v>#REF!</v>
      </c>
      <c r="O37" s="273">
        <f t="shared" si="3"/>
        <v>2.9384168836530945E-4</v>
      </c>
      <c r="P37" s="277">
        <f t="shared" si="6"/>
        <v>1.0774195240061347E-3</v>
      </c>
      <c r="Q37" s="53"/>
      <c r="R37" s="40"/>
      <c r="S37" s="40"/>
      <c r="X37" s="2">
        <f t="shared" si="11"/>
        <v>15</v>
      </c>
      <c r="Y37" s="29">
        <f>'GC E. Alba'!J22</f>
        <v>16.550000000000004</v>
      </c>
      <c r="Z37" s="55">
        <f t="shared" si="10"/>
        <v>7.5984293304813141E-2</v>
      </c>
      <c r="AA37" s="52"/>
      <c r="AB37" s="36"/>
      <c r="AC37" s="89"/>
      <c r="AD37" s="96"/>
      <c r="AE37" s="35"/>
      <c r="AF37" s="35"/>
      <c r="AG37" s="35"/>
      <c r="AH37" s="2"/>
      <c r="AI37" s="55"/>
      <c r="AJ37" s="2"/>
    </row>
    <row r="38" spans="1:36">
      <c r="A38" s="234">
        <f t="shared" si="7"/>
        <v>20</v>
      </c>
      <c r="B38" s="235">
        <f>'GC E. Alba'!J27</f>
        <v>16.800000000000008</v>
      </c>
      <c r="C38" s="55">
        <f t="shared" si="8"/>
        <v>7.8419747282935853E-2</v>
      </c>
      <c r="D38" s="44">
        <f t="shared" si="0"/>
        <v>9.4103696739523027E-2</v>
      </c>
      <c r="E38" s="51">
        <f t="shared" si="4"/>
        <v>4.9240713482640031E-4</v>
      </c>
      <c r="F38" s="237">
        <f t="shared" si="1"/>
        <v>5.9088856179168037E-4</v>
      </c>
      <c r="G38" s="267"/>
      <c r="H38" s="268">
        <f t="shared" si="9"/>
        <v>6.08E-2</v>
      </c>
      <c r="I38" s="111"/>
      <c r="J38" s="244"/>
      <c r="K38" s="111"/>
      <c r="L38" s="274">
        <f t="shared" si="2"/>
        <v>4.7051848369761513E-2</v>
      </c>
      <c r="M38" s="273">
        <f t="shared" si="5"/>
        <v>0.17252344402245889</v>
      </c>
      <c r="N38" s="274" t="e">
        <f>M38*#REF!</f>
        <v>#REF!</v>
      </c>
      <c r="O38" s="273">
        <f t="shared" si="3"/>
        <v>2.9544428089584018E-4</v>
      </c>
      <c r="P38" s="277">
        <f t="shared" si="6"/>
        <v>1.0832956966180807E-3</v>
      </c>
      <c r="Q38" s="53"/>
      <c r="R38" s="40"/>
      <c r="S38" s="40"/>
      <c r="X38" s="2">
        <f t="shared" si="11"/>
        <v>16</v>
      </c>
      <c r="Y38" s="29">
        <f>'GC E. Alba'!J23</f>
        <v>16.600000000000005</v>
      </c>
      <c r="Z38" s="55">
        <f t="shared" si="10"/>
        <v>7.6466093327949E-2</v>
      </c>
      <c r="AA38" s="52"/>
      <c r="AB38" s="36"/>
      <c r="AC38" s="89"/>
      <c r="AD38" s="96"/>
      <c r="AE38" s="35"/>
      <c r="AF38" s="35"/>
      <c r="AG38" s="35"/>
      <c r="AH38" s="2"/>
      <c r="AI38" s="55"/>
      <c r="AJ38" s="2"/>
    </row>
    <row r="39" spans="1:36">
      <c r="A39" s="234">
        <f t="shared" si="7"/>
        <v>21</v>
      </c>
      <c r="B39" s="235">
        <f>'GC E. Alba'!J28</f>
        <v>16.850000000000009</v>
      </c>
      <c r="C39" s="55">
        <f t="shared" si="8"/>
        <v>7.8914838327682812E-2</v>
      </c>
      <c r="D39" s="44">
        <f t="shared" si="0"/>
        <v>9.4697805993219378E-2</v>
      </c>
      <c r="E39" s="51">
        <f t="shared" si="4"/>
        <v>4.950910447469592E-4</v>
      </c>
      <c r="F39" s="237">
        <f t="shared" si="1"/>
        <v>5.9410925369635104E-4</v>
      </c>
      <c r="G39" s="267"/>
      <c r="H39" s="268">
        <f t="shared" si="9"/>
        <v>6.4000000000000015E-2</v>
      </c>
      <c r="I39" s="111"/>
      <c r="J39" s="244"/>
      <c r="K39" s="111"/>
      <c r="L39" s="274">
        <f t="shared" si="2"/>
        <v>4.7348902996609689E-2</v>
      </c>
      <c r="M39" s="273">
        <f t="shared" si="5"/>
        <v>0.17361264432090218</v>
      </c>
      <c r="N39" s="274" t="e">
        <f>M39*#REF!</f>
        <v>#REF!</v>
      </c>
      <c r="O39" s="273">
        <f t="shared" si="3"/>
        <v>2.9705462684817552E-4</v>
      </c>
      <c r="P39" s="277">
        <f t="shared" si="6"/>
        <v>1.0892002984433102E-3</v>
      </c>
      <c r="Q39" s="53"/>
      <c r="R39" s="40"/>
      <c r="S39" s="40"/>
      <c r="X39" s="2">
        <f t="shared" si="11"/>
        <v>17</v>
      </c>
      <c r="Y39" s="29">
        <f>'GC E. Alba'!J24</f>
        <v>16.650000000000006</v>
      </c>
      <c r="Z39" s="55">
        <f t="shared" si="10"/>
        <v>7.6950525988523491E-2</v>
      </c>
      <c r="AA39" s="52"/>
      <c r="AB39" s="36"/>
      <c r="AC39" s="89"/>
      <c r="AD39" s="96"/>
      <c r="AE39" s="35"/>
      <c r="AF39" s="35"/>
      <c r="AG39" s="35"/>
      <c r="AH39" s="2"/>
      <c r="AI39" s="55"/>
      <c r="AJ39" s="2"/>
    </row>
    <row r="40" spans="1:36">
      <c r="A40" s="234">
        <f t="shared" si="7"/>
        <v>22</v>
      </c>
      <c r="B40" s="235">
        <f>'GC E. Alba'!J29</f>
        <v>16.900000000000009</v>
      </c>
      <c r="C40" s="55">
        <f t="shared" si="8"/>
        <v>7.9412626274933465E-2</v>
      </c>
      <c r="D40" s="44">
        <f t="shared" si="0"/>
        <v>9.5295151529920158E-2</v>
      </c>
      <c r="E40" s="51">
        <f t="shared" si="4"/>
        <v>4.9778794725065245E-4</v>
      </c>
      <c r="F40" s="237">
        <f t="shared" si="1"/>
        <v>5.9734553670078288E-4</v>
      </c>
      <c r="G40" s="267"/>
      <c r="H40" s="268">
        <f t="shared" si="9"/>
        <v>6.720000000000001E-2</v>
      </c>
      <c r="I40" s="111"/>
      <c r="J40" s="244"/>
      <c r="K40" s="111"/>
      <c r="L40" s="274">
        <f t="shared" si="2"/>
        <v>4.7647575764960079E-2</v>
      </c>
      <c r="M40" s="273">
        <f t="shared" si="5"/>
        <v>0.17470777780485361</v>
      </c>
      <c r="N40" s="274" t="e">
        <f>M40*#REF!</f>
        <v>#REF!</v>
      </c>
      <c r="O40" s="273">
        <f t="shared" si="3"/>
        <v>2.9867276835039144E-4</v>
      </c>
      <c r="P40" s="277">
        <f t="shared" si="6"/>
        <v>1.0951334839514352E-3</v>
      </c>
      <c r="Q40" s="53"/>
      <c r="R40" s="40"/>
      <c r="S40" s="40"/>
      <c r="X40" s="2">
        <f t="shared" si="11"/>
        <v>18</v>
      </c>
      <c r="Y40" s="29">
        <f>'GC E. Alba'!J25</f>
        <v>16.700000000000006</v>
      </c>
      <c r="Z40" s="55">
        <f t="shared" si="10"/>
        <v>7.7437604000833937E-2</v>
      </c>
      <c r="AA40" s="52"/>
      <c r="AB40" s="36"/>
      <c r="AC40" s="89"/>
      <c r="AD40" s="96"/>
      <c r="AE40" s="35"/>
      <c r="AH40" s="2"/>
      <c r="AI40" s="55"/>
      <c r="AJ40" s="2"/>
    </row>
    <row r="41" spans="1:36">
      <c r="A41" s="234">
        <f t="shared" si="7"/>
        <v>23</v>
      </c>
      <c r="B41" s="235">
        <f>'GC E. Alba'!J30</f>
        <v>16.95000000000001</v>
      </c>
      <c r="C41" s="55">
        <f t="shared" si="8"/>
        <v>7.9913124187916532E-2</v>
      </c>
      <c r="D41" s="44">
        <f t="shared" si="0"/>
        <v>9.5895749025499841E-2</v>
      </c>
      <c r="E41" s="51">
        <f t="shared" si="4"/>
        <v>5.0049791298306667E-4</v>
      </c>
      <c r="F41" s="237">
        <f t="shared" si="1"/>
        <v>6.0059749557967996E-4</v>
      </c>
      <c r="G41" s="267"/>
      <c r="H41" s="268">
        <f t="shared" si="9"/>
        <v>7.0400000000000004E-2</v>
      </c>
      <c r="I41" s="111"/>
      <c r="J41" s="244"/>
      <c r="K41" s="111"/>
      <c r="L41" s="274">
        <f t="shared" si="2"/>
        <v>4.794787451274992E-2</v>
      </c>
      <c r="M41" s="273">
        <f t="shared" si="5"/>
        <v>0.1758088732134164</v>
      </c>
      <c r="N41" s="274" t="e">
        <f>M41*#REF!</f>
        <v>#REF!</v>
      </c>
      <c r="O41" s="273">
        <f t="shared" si="3"/>
        <v>3.0029874778983998E-4</v>
      </c>
      <c r="P41" s="277">
        <f t="shared" si="6"/>
        <v>1.1010954085627466E-3</v>
      </c>
      <c r="Q41" s="53"/>
      <c r="R41" s="40"/>
      <c r="S41" s="40"/>
      <c r="X41" s="2">
        <f t="shared" si="11"/>
        <v>19</v>
      </c>
      <c r="Y41" s="29">
        <f>'GC E. Alba'!J26</f>
        <v>16.750000000000007</v>
      </c>
      <c r="Z41" s="55">
        <f t="shared" si="10"/>
        <v>7.7927340148109453E-2</v>
      </c>
      <c r="AA41" s="52"/>
      <c r="AB41" s="36"/>
      <c r="AC41" s="89"/>
      <c r="AD41" s="96"/>
      <c r="AE41" s="35"/>
      <c r="AH41" s="2"/>
      <c r="AI41" s="55"/>
      <c r="AJ41" s="2"/>
    </row>
    <row r="42" spans="1:36">
      <c r="A42" s="234">
        <f t="shared" si="7"/>
        <v>24</v>
      </c>
      <c r="B42" s="235">
        <f>'GC E. Alba'!J31</f>
        <v>17.000000000000011</v>
      </c>
      <c r="C42" s="55">
        <f t="shared" si="8"/>
        <v>8.041634520094125E-2</v>
      </c>
      <c r="D42" s="44">
        <f t="shared" si="0"/>
        <v>9.6499614241129503E-2</v>
      </c>
      <c r="E42" s="51">
        <f t="shared" si="4"/>
        <v>5.0322101302471833E-4</v>
      </c>
      <c r="F42" s="237">
        <f t="shared" si="1"/>
        <v>6.03865215629662E-4</v>
      </c>
      <c r="G42" s="267"/>
      <c r="H42" s="268">
        <f t="shared" si="9"/>
        <v>7.3600000000000013E-2</v>
      </c>
      <c r="I42" s="111"/>
      <c r="J42" s="244"/>
      <c r="K42" s="111"/>
      <c r="L42" s="274">
        <f t="shared" si="2"/>
        <v>4.8249807120564751E-2</v>
      </c>
      <c r="M42" s="273">
        <f t="shared" si="5"/>
        <v>0.17691595944207075</v>
      </c>
      <c r="N42" s="274" t="e">
        <f>M42*#REF!</f>
        <v>#REF!</v>
      </c>
      <c r="O42" s="273">
        <f t="shared" si="3"/>
        <v>3.01932607814831E-4</v>
      </c>
      <c r="P42" s="277">
        <f t="shared" si="6"/>
        <v>1.1070862286543803E-3</v>
      </c>
      <c r="Q42" s="53"/>
      <c r="R42" s="40"/>
      <c r="S42" s="40"/>
      <c r="X42" s="2">
        <f t="shared" si="11"/>
        <v>20</v>
      </c>
      <c r="Y42" s="29">
        <f>'GC E. Alba'!J27</f>
        <v>16.800000000000008</v>
      </c>
      <c r="Z42" s="55">
        <f t="shared" si="10"/>
        <v>7.8419747282935853E-2</v>
      </c>
      <c r="AA42" s="52"/>
      <c r="AC42" s="89"/>
      <c r="AD42" s="96"/>
      <c r="AE42" s="35"/>
      <c r="AH42" s="2"/>
      <c r="AI42" s="55"/>
      <c r="AJ42" s="2"/>
    </row>
    <row r="43" spans="1:36">
      <c r="A43" s="234">
        <f t="shared" si="7"/>
        <v>25</v>
      </c>
      <c r="B43" s="235">
        <f>'GC E. Alba'!J32</f>
        <v>17.050000000000011</v>
      </c>
      <c r="C43" s="55">
        <f t="shared" si="8"/>
        <v>8.0922302519834358E-2</v>
      </c>
      <c r="D43" s="44">
        <f t="shared" si="0"/>
        <v>9.7106763023801224E-2</v>
      </c>
      <c r="E43" s="51">
        <f t="shared" si="4"/>
        <v>5.0595731889310769E-4</v>
      </c>
      <c r="F43" s="237">
        <f t="shared" si="1"/>
        <v>6.0714878267172925E-4</v>
      </c>
      <c r="G43" s="267"/>
      <c r="H43" s="268">
        <f t="shared" si="9"/>
        <v>7.6800000000000007E-2</v>
      </c>
      <c r="I43" s="111"/>
      <c r="J43" s="244"/>
      <c r="K43" s="111"/>
      <c r="L43" s="274">
        <f t="shared" si="2"/>
        <v>4.8553381511900612E-2</v>
      </c>
      <c r="M43" s="273">
        <f t="shared" si="5"/>
        <v>0.1780290655436356</v>
      </c>
      <c r="N43" s="274" t="e">
        <f>M43*#REF!</f>
        <v>#REF!</v>
      </c>
      <c r="O43" s="273">
        <f t="shared" si="3"/>
        <v>3.0357439133586462E-4</v>
      </c>
      <c r="P43" s="277">
        <f t="shared" si="6"/>
        <v>1.113106101564837E-3</v>
      </c>
      <c r="Q43" s="53"/>
      <c r="R43" s="40"/>
      <c r="S43" s="40"/>
      <c r="X43" s="2">
        <f t="shared" si="11"/>
        <v>21</v>
      </c>
      <c r="Y43" s="29">
        <f>'GC E. Alba'!J28</f>
        <v>16.850000000000009</v>
      </c>
      <c r="Z43" s="55">
        <f t="shared" si="10"/>
        <v>7.8914838327682812E-2</v>
      </c>
      <c r="AA43" s="52"/>
      <c r="AD43" s="35"/>
      <c r="AE43" s="35"/>
      <c r="AH43" s="2"/>
      <c r="AI43" s="55"/>
      <c r="AJ43" s="2"/>
    </row>
    <row r="44" spans="1:36">
      <c r="A44" s="234">
        <f t="shared" si="7"/>
        <v>26</v>
      </c>
      <c r="B44" s="235">
        <f>'GC E. Alba'!J33</f>
        <v>17.100000000000012</v>
      </c>
      <c r="C44" s="55">
        <f t="shared" si="8"/>
        <v>8.1431009422379699E-2</v>
      </c>
      <c r="D44" s="44">
        <f t="shared" si="0"/>
        <v>9.7717211306855636E-2</v>
      </c>
      <c r="E44" s="51">
        <f t="shared" si="4"/>
        <v>5.0870690254534168E-4</v>
      </c>
      <c r="F44" s="237">
        <f t="shared" si="1"/>
        <v>6.1044828305440997E-4</v>
      </c>
      <c r="G44" s="267"/>
      <c r="H44" s="268">
        <f t="shared" si="9"/>
        <v>8.0000000000000016E-2</v>
      </c>
      <c r="I44" s="111"/>
      <c r="J44" s="244"/>
      <c r="K44" s="111"/>
      <c r="L44" s="274">
        <f t="shared" si="2"/>
        <v>4.8858605653427818E-2</v>
      </c>
      <c r="M44" s="273">
        <f t="shared" si="5"/>
        <v>0.17914822072923534</v>
      </c>
      <c r="N44" s="274" t="e">
        <f>M44*#REF!</f>
        <v>#REF!</v>
      </c>
      <c r="O44" s="273">
        <f t="shared" si="3"/>
        <v>3.0522414152720498E-4</v>
      </c>
      <c r="P44" s="277">
        <f t="shared" si="6"/>
        <v>1.1191551855997516E-3</v>
      </c>
      <c r="Q44" s="53"/>
      <c r="R44" s="40"/>
      <c r="S44" s="40"/>
      <c r="X44" s="2">
        <f t="shared" si="11"/>
        <v>22</v>
      </c>
      <c r="Y44" s="29">
        <f>'GC E. Alba'!J29</f>
        <v>16.900000000000009</v>
      </c>
      <c r="Z44" s="55">
        <f t="shared" si="10"/>
        <v>7.9412626274933465E-2</v>
      </c>
      <c r="AA44" s="52"/>
      <c r="AD44" s="35"/>
      <c r="AE44" s="35"/>
      <c r="AH44" s="2"/>
      <c r="AI44" s="55"/>
      <c r="AJ44" s="2"/>
    </row>
    <row r="45" spans="1:36">
      <c r="A45" s="234">
        <f t="shared" si="7"/>
        <v>27</v>
      </c>
      <c r="B45" s="235">
        <f>'GC E. Alba'!J34</f>
        <v>17.150000000000013</v>
      </c>
      <c r="C45" s="55">
        <f t="shared" si="8"/>
        <v>8.1942479258760817E-2</v>
      </c>
      <c r="D45" s="44">
        <f t="shared" si="0"/>
        <v>9.8330975110512975E-2</v>
      </c>
      <c r="E45" s="51">
        <f t="shared" si="4"/>
        <v>5.1146983638111765E-4</v>
      </c>
      <c r="F45" s="237">
        <f t="shared" si="1"/>
        <v>6.1376380365734111E-4</v>
      </c>
      <c r="G45" s="267"/>
      <c r="H45" s="268">
        <f t="shared" si="9"/>
        <v>8.320000000000001E-2</v>
      </c>
      <c r="I45" s="111"/>
      <c r="J45" s="244"/>
      <c r="K45" s="111"/>
      <c r="L45" s="274">
        <f t="shared" si="2"/>
        <v>4.9165487555256487E-2</v>
      </c>
      <c r="M45" s="273">
        <f t="shared" si="5"/>
        <v>0.18027345436927378</v>
      </c>
      <c r="N45" s="274" t="e">
        <f>M45*#REF!</f>
        <v>#REF!</v>
      </c>
      <c r="O45" s="273">
        <f t="shared" si="3"/>
        <v>3.0688190182867056E-4</v>
      </c>
      <c r="P45" s="277">
        <f t="shared" si="6"/>
        <v>1.1252336400384587E-3</v>
      </c>
      <c r="Q45" s="53"/>
      <c r="R45" s="40"/>
      <c r="S45" s="40"/>
      <c r="X45" s="2">
        <f t="shared" si="11"/>
        <v>23</v>
      </c>
      <c r="Y45" s="29">
        <f>'GC E. Alba'!J30</f>
        <v>16.95000000000001</v>
      </c>
      <c r="Z45" s="55">
        <f t="shared" si="10"/>
        <v>7.9913124187916532E-2</v>
      </c>
      <c r="AA45" s="52"/>
      <c r="AD45" s="35"/>
      <c r="AE45" s="35"/>
      <c r="AH45" s="2"/>
      <c r="AI45" s="55"/>
      <c r="AJ45" s="2"/>
    </row>
    <row r="46" spans="1:36">
      <c r="A46" s="234">
        <f t="shared" si="7"/>
        <v>28</v>
      </c>
      <c r="B46" s="235">
        <f>'GC E. Alba'!J35</f>
        <v>17.200000000000014</v>
      </c>
      <c r="C46" s="55">
        <f t="shared" si="8"/>
        <v>8.2456725452005608E-2</v>
      </c>
      <c r="D46" s="44">
        <f t="shared" si="0"/>
        <v>9.894807054240673E-2</v>
      </c>
      <c r="E46" s="51">
        <f t="shared" si="4"/>
        <v>5.1424619324479115E-4</v>
      </c>
      <c r="F46" s="237">
        <f t="shared" si="1"/>
        <v>6.170954318937494E-4</v>
      </c>
      <c r="G46" s="267"/>
      <c r="H46" s="268">
        <f t="shared" si="9"/>
        <v>8.6400000000000005E-2</v>
      </c>
      <c r="I46" s="111"/>
      <c r="J46" s="244"/>
      <c r="K46" s="111"/>
      <c r="L46" s="274">
        <f t="shared" si="2"/>
        <v>4.9474035271203365E-2</v>
      </c>
      <c r="M46" s="273">
        <f t="shared" si="5"/>
        <v>0.18140479599441237</v>
      </c>
      <c r="N46" s="274" t="e">
        <f>M46*#REF!</f>
        <v>#REF!</v>
      </c>
      <c r="O46" s="273">
        <f t="shared" si="3"/>
        <v>3.085477159468747E-4</v>
      </c>
      <c r="P46" s="277">
        <f t="shared" si="6"/>
        <v>1.1313416251385407E-3</v>
      </c>
      <c r="Q46" s="53"/>
      <c r="R46" s="40"/>
      <c r="S46" s="40"/>
      <c r="X46" s="2">
        <f t="shared" si="11"/>
        <v>24</v>
      </c>
      <c r="Y46" s="29">
        <f>'GC E. Alba'!J31</f>
        <v>17.000000000000011</v>
      </c>
      <c r="Z46" s="55">
        <f t="shared" si="10"/>
        <v>8.041634520094125E-2</v>
      </c>
      <c r="AA46" s="52"/>
      <c r="AC46" s="89"/>
      <c r="AD46" s="96"/>
      <c r="AE46" s="96"/>
      <c r="AH46" s="2"/>
      <c r="AI46" s="55"/>
      <c r="AJ46" s="2"/>
    </row>
    <row r="47" spans="1:36">
      <c r="A47" s="234">
        <f t="shared" si="7"/>
        <v>29</v>
      </c>
      <c r="B47" s="235">
        <f>'GC E. Alba'!J36</f>
        <v>17.250000000000014</v>
      </c>
      <c r="C47" s="55">
        <f t="shared" si="8"/>
        <v>8.2973761498433787E-2</v>
      </c>
      <c r="D47" s="44">
        <f t="shared" si="0"/>
        <v>9.9568513798120539E-2</v>
      </c>
      <c r="E47" s="51">
        <f t="shared" si="4"/>
        <v>5.1703604642817924E-4</v>
      </c>
      <c r="F47" s="237">
        <f t="shared" si="1"/>
        <v>6.2044325571381507E-4</v>
      </c>
      <c r="G47" s="267"/>
      <c r="H47" s="268">
        <f t="shared" si="9"/>
        <v>8.9600000000000013E-2</v>
      </c>
      <c r="I47" s="111"/>
      <c r="J47" s="244"/>
      <c r="K47" s="111"/>
      <c r="L47" s="274">
        <f t="shared" si="2"/>
        <v>4.978425689906027E-2</v>
      </c>
      <c r="M47" s="273">
        <f t="shared" si="5"/>
        <v>0.18254227529655431</v>
      </c>
      <c r="N47" s="274" t="e">
        <f>M47*#REF!</f>
        <v>#REF!</v>
      </c>
      <c r="O47" s="273">
        <f t="shared" si="3"/>
        <v>3.1022162785690753E-4</v>
      </c>
      <c r="P47" s="277">
        <f t="shared" si="6"/>
        <v>1.1374793021419942E-3</v>
      </c>
      <c r="Q47" s="53"/>
      <c r="R47" s="40"/>
      <c r="S47" s="40"/>
      <c r="X47" s="2">
        <f t="shared" si="11"/>
        <v>25</v>
      </c>
      <c r="Y47" s="29">
        <f>'GC E. Alba'!J32</f>
        <v>17.050000000000011</v>
      </c>
      <c r="Z47" s="55">
        <f t="shared" si="10"/>
        <v>8.0922302519834358E-2</v>
      </c>
      <c r="AA47" s="52"/>
      <c r="AC47" s="89"/>
      <c r="AD47" s="96"/>
      <c r="AE47" s="96"/>
      <c r="AH47" s="2"/>
      <c r="AI47" s="55"/>
      <c r="AJ47" s="2"/>
    </row>
    <row r="48" spans="1:36">
      <c r="A48" s="234">
        <f t="shared" si="7"/>
        <v>30</v>
      </c>
      <c r="B48" s="235">
        <f>'GC E. Alba'!J37</f>
        <v>17.300000000000015</v>
      </c>
      <c r="C48" s="55">
        <f t="shared" si="8"/>
        <v>8.3493600968106929E-2</v>
      </c>
      <c r="D48" s="44">
        <f t="shared" si="0"/>
        <v>0.10019232116172831</v>
      </c>
      <c r="E48" s="51">
        <f t="shared" si="4"/>
        <v>5.1983946967314176E-4</v>
      </c>
      <c r="F48" s="237">
        <f t="shared" si="1"/>
        <v>6.2380736360777007E-4</v>
      </c>
      <c r="G48" s="267"/>
      <c r="H48" s="268">
        <f>F11*A48</f>
        <v>9.696031080167257E-2</v>
      </c>
      <c r="I48" s="111"/>
      <c r="J48" s="244"/>
      <c r="K48" s="111"/>
      <c r="L48" s="274">
        <f t="shared" si="2"/>
        <v>5.0096160580864156E-2</v>
      </c>
      <c r="M48" s="273">
        <f t="shared" si="5"/>
        <v>0.18368592212983526</v>
      </c>
      <c r="N48" s="274" t="e">
        <f>M48*#REF!</f>
        <v>#REF!</v>
      </c>
      <c r="O48" s="273">
        <f t="shared" si="3"/>
        <v>3.1190368180388504E-4</v>
      </c>
      <c r="P48" s="277">
        <f t="shared" si="6"/>
        <v>1.1436468332809118E-3</v>
      </c>
      <c r="Q48" s="53"/>
      <c r="R48" s="40"/>
      <c r="S48" s="40"/>
      <c r="X48" s="2">
        <f t="shared" si="11"/>
        <v>26</v>
      </c>
      <c r="Y48" s="29">
        <f>'GC E. Alba'!J33</f>
        <v>17.100000000000012</v>
      </c>
      <c r="Z48" s="55">
        <f t="shared" si="10"/>
        <v>8.1431009422379699E-2</v>
      </c>
      <c r="AA48" s="52"/>
      <c r="AC48" s="89"/>
      <c r="AD48" s="96"/>
      <c r="AE48" s="96"/>
      <c r="AH48" s="2"/>
      <c r="AI48" s="55"/>
      <c r="AJ48" s="2"/>
    </row>
    <row r="49" spans="1:42">
      <c r="A49" s="29"/>
      <c r="B49" s="36"/>
      <c r="C49" s="36"/>
      <c r="E49" s="229"/>
      <c r="F49" s="229"/>
      <c r="I49" s="229"/>
      <c r="J49" s="242"/>
      <c r="K49" s="229"/>
      <c r="L49" s="274"/>
      <c r="M49" s="274"/>
      <c r="N49" s="274"/>
      <c r="O49" s="287"/>
      <c r="P49" s="274"/>
      <c r="R49" s="48"/>
      <c r="S49" s="47"/>
      <c r="T49" s="46"/>
      <c r="U49" s="40"/>
      <c r="V49" s="40"/>
      <c r="X49" s="2">
        <f t="shared" si="11"/>
        <v>27</v>
      </c>
      <c r="Y49" s="29">
        <f>'GC E. Alba'!J34</f>
        <v>17.150000000000013</v>
      </c>
      <c r="Z49" s="55">
        <f t="shared" ref="Z49:Z52" si="12">((7.725*EXP(Y49*0.119))+(0.01*(Y49^1.764))+(0.005*(Y49^2.638))+(0.015*(Y49^2.351)))/1000</f>
        <v>8.1942479258760817E-2</v>
      </c>
      <c r="AA49" s="44"/>
      <c r="AB49" s="44"/>
      <c r="AC49" s="49"/>
      <c r="AD49" s="52"/>
      <c r="AF49" s="89"/>
      <c r="AG49" s="96"/>
      <c r="AH49" s="96"/>
      <c r="AK49" s="2"/>
      <c r="AL49" s="55"/>
      <c r="AM49" s="2"/>
    </row>
    <row r="50" spans="1:42" ht="16">
      <c r="E50" s="229"/>
      <c r="F50" s="229"/>
      <c r="I50" s="229"/>
      <c r="J50" s="242"/>
      <c r="K50" s="229"/>
      <c r="L50" s="270"/>
      <c r="M50" s="270"/>
      <c r="N50" s="270"/>
      <c r="O50" s="280" t="s">
        <v>631</v>
      </c>
      <c r="P50" s="274">
        <f>F11*0.5*44/12</f>
        <v>5.9253523267688785E-3</v>
      </c>
      <c r="R50" s="39"/>
      <c r="T50" s="46"/>
      <c r="X50" s="2">
        <f t="shared" ref="X50:X52" si="13">X49+1</f>
        <v>28</v>
      </c>
      <c r="Y50" s="29">
        <f>'GC E. Alba'!J35</f>
        <v>17.200000000000014</v>
      </c>
      <c r="Z50" s="55">
        <f t="shared" si="12"/>
        <v>8.2456725452005608E-2</v>
      </c>
      <c r="AA50" s="44"/>
      <c r="AB50" s="44"/>
      <c r="AC50" s="49"/>
      <c r="AD50" s="52"/>
      <c r="AF50" s="89"/>
      <c r="AG50" s="96"/>
      <c r="AH50" s="96"/>
      <c r="AJ50" s="35"/>
      <c r="AN50" s="2"/>
      <c r="AO50" s="2"/>
      <c r="AP50" s="2"/>
    </row>
    <row r="51" spans="1:42">
      <c r="E51" s="229"/>
      <c r="F51" s="229"/>
      <c r="I51" s="229"/>
      <c r="J51" s="242"/>
      <c r="K51" s="229"/>
      <c r="O51" s="47"/>
      <c r="P51" s="43"/>
      <c r="R51" s="36"/>
      <c r="S51" s="36"/>
      <c r="T51" s="36"/>
      <c r="U51" s="46"/>
      <c r="V51" s="46"/>
      <c r="X51" s="2">
        <f t="shared" si="13"/>
        <v>29</v>
      </c>
      <c r="Y51" s="29">
        <f>'GC E. Alba'!J36</f>
        <v>17.250000000000014</v>
      </c>
      <c r="Z51" s="55">
        <f t="shared" si="12"/>
        <v>8.2973761498433787E-2</v>
      </c>
      <c r="AA51" s="44"/>
      <c r="AB51" s="44"/>
      <c r="AC51" s="49"/>
      <c r="AD51" s="52"/>
      <c r="AF51" s="96"/>
      <c r="AG51" s="89"/>
      <c r="AH51" s="96"/>
      <c r="AL51" s="2"/>
      <c r="AM51" s="2"/>
      <c r="AN51" s="2"/>
    </row>
    <row r="52" spans="1:42">
      <c r="E52" s="229"/>
      <c r="F52" s="229"/>
      <c r="I52" s="229"/>
      <c r="J52" s="242"/>
      <c r="K52" s="229"/>
      <c r="R52" s="36"/>
      <c r="S52" s="36"/>
      <c r="T52" s="36"/>
      <c r="U52" s="36"/>
      <c r="V52" s="36"/>
      <c r="X52" s="2">
        <f t="shared" si="13"/>
        <v>30</v>
      </c>
      <c r="Y52" s="29">
        <f>'GC E. Alba'!J37</f>
        <v>17.300000000000015</v>
      </c>
      <c r="Z52" s="55">
        <f t="shared" si="12"/>
        <v>8.3493600968106929E-2</v>
      </c>
      <c r="AA52" s="44"/>
      <c r="AF52" s="96"/>
      <c r="AG52" s="89"/>
      <c r="AH52" s="96"/>
      <c r="AL52" s="2"/>
      <c r="AM52" s="2"/>
      <c r="AN52" s="2"/>
    </row>
    <row r="53" spans="1:42">
      <c r="E53" s="229"/>
      <c r="F53" s="229"/>
      <c r="I53" s="229"/>
      <c r="J53" s="242"/>
      <c r="K53" s="229"/>
      <c r="U53" s="36"/>
      <c r="V53" s="36"/>
      <c r="AE53" s="96"/>
      <c r="AF53" s="96"/>
      <c r="AG53" s="89"/>
      <c r="AH53" s="96"/>
      <c r="AL53" s="2"/>
      <c r="AM53" s="2"/>
      <c r="AN53" s="2"/>
    </row>
    <row r="54" spans="1:42">
      <c r="J54" s="242"/>
      <c r="R54" s="36"/>
      <c r="AA54" s="89"/>
      <c r="AB54" s="96"/>
      <c r="AC54" s="96"/>
      <c r="AD54" s="89"/>
      <c r="AE54" s="35"/>
      <c r="AI54" s="2"/>
      <c r="AJ54" s="2"/>
      <c r="AK54" s="2"/>
    </row>
    <row r="55" spans="1:42">
      <c r="J55" s="242"/>
      <c r="R55" s="36"/>
      <c r="AB55" s="35"/>
      <c r="AC55" s="35"/>
      <c r="AE55" s="35"/>
      <c r="AI55" s="2"/>
      <c r="AJ55" s="2"/>
      <c r="AK55" s="2"/>
    </row>
    <row r="56" spans="1:42">
      <c r="J56" s="242"/>
      <c r="R56" s="36"/>
      <c r="AB56" s="35"/>
      <c r="AC56" s="35"/>
      <c r="AE56" s="35"/>
      <c r="AI56" s="2"/>
      <c r="AJ56" s="2"/>
      <c r="AK56" s="2"/>
    </row>
    <row r="57" spans="1:42">
      <c r="J57" s="242"/>
      <c r="R57" s="36"/>
      <c r="AA57" s="35"/>
      <c r="AB57" s="35"/>
      <c r="AD57" s="35"/>
      <c r="AH57" s="2"/>
      <c r="AI57" s="2"/>
      <c r="AJ57" s="2"/>
    </row>
    <row r="58" spans="1:42">
      <c r="J58" s="242"/>
      <c r="R58" s="36"/>
      <c r="AA58" s="35"/>
      <c r="AB58" s="35"/>
      <c r="AD58" s="35"/>
      <c r="AH58" s="2"/>
      <c r="AI58" s="2"/>
      <c r="AJ58" s="2"/>
    </row>
    <row r="59" spans="1:42">
      <c r="J59" s="242"/>
      <c r="R59" s="36"/>
      <c r="AA59" s="35"/>
      <c r="AB59" s="35"/>
      <c r="AD59" s="35"/>
      <c r="AH59" s="2"/>
      <c r="AI59" s="2"/>
      <c r="AJ59" s="2"/>
    </row>
    <row r="60" spans="1:42">
      <c r="J60" s="242"/>
      <c r="R60" s="36"/>
      <c r="AA60" s="35"/>
      <c r="AB60" s="35"/>
      <c r="AD60" s="35"/>
      <c r="AH60" s="2"/>
      <c r="AI60" s="2"/>
      <c r="AJ60" s="2"/>
    </row>
    <row r="61" spans="1:42">
      <c r="J61" s="242"/>
      <c r="R61" s="36"/>
      <c r="AA61" s="35"/>
      <c r="AB61" s="35"/>
      <c r="AD61" s="35"/>
      <c r="AH61" s="2"/>
      <c r="AI61" s="2"/>
      <c r="AJ61" s="2"/>
    </row>
    <row r="62" spans="1:42">
      <c r="J62" s="242"/>
      <c r="R62" s="36"/>
      <c r="AA62" s="35"/>
      <c r="AB62" s="35"/>
      <c r="AD62" s="35"/>
      <c r="AH62" s="2"/>
      <c r="AI62" s="2"/>
      <c r="AJ62" s="2"/>
    </row>
    <row r="63" spans="1:42">
      <c r="J63" s="242"/>
      <c r="R63" s="36"/>
      <c r="AA63" s="35"/>
      <c r="AB63" s="35"/>
      <c r="AD63" s="35"/>
      <c r="AH63" s="2"/>
      <c r="AI63" s="2"/>
      <c r="AJ63" s="2"/>
    </row>
    <row r="64" spans="1:42">
      <c r="J64" s="242"/>
      <c r="R64" s="36"/>
      <c r="AA64" s="35"/>
      <c r="AB64" s="35"/>
      <c r="AD64" s="35"/>
      <c r="AH64" s="2"/>
      <c r="AI64" s="2"/>
      <c r="AJ64" s="2"/>
    </row>
    <row r="65" spans="10:36">
      <c r="J65" s="242"/>
      <c r="R65" s="36"/>
      <c r="AA65" s="35"/>
      <c r="AB65" s="35"/>
      <c r="AD65" s="35"/>
      <c r="AH65" s="2"/>
      <c r="AI65" s="2"/>
      <c r="AJ65" s="2"/>
    </row>
    <row r="66" spans="10:36">
      <c r="J66" s="242"/>
      <c r="R66" s="36"/>
      <c r="AA66" s="35"/>
      <c r="AB66" s="35"/>
      <c r="AD66" s="35"/>
      <c r="AH66" s="2"/>
      <c r="AI66" s="2"/>
      <c r="AJ66" s="2"/>
    </row>
    <row r="67" spans="10:36">
      <c r="J67" s="242"/>
      <c r="R67" s="36"/>
      <c r="AA67" s="35"/>
      <c r="AB67" s="35"/>
      <c r="AD67" s="35"/>
      <c r="AH67" s="2"/>
      <c r="AI67" s="2"/>
      <c r="AJ67" s="2"/>
    </row>
    <row r="68" spans="10:36">
      <c r="J68" s="242"/>
      <c r="R68" s="36"/>
      <c r="AA68" s="35"/>
      <c r="AB68" s="35"/>
      <c r="AD68" s="35"/>
      <c r="AH68" s="2"/>
      <c r="AI68" s="2"/>
      <c r="AJ68" s="2"/>
    </row>
    <row r="69" spans="10:36">
      <c r="J69" s="242"/>
      <c r="R69" s="36"/>
      <c r="AA69" s="35"/>
      <c r="AB69" s="35"/>
      <c r="AD69" s="35"/>
      <c r="AH69" s="2"/>
      <c r="AI69" s="2"/>
      <c r="AJ69" s="2"/>
    </row>
    <row r="70" spans="10:36">
      <c r="J70" s="242"/>
      <c r="R70" s="36"/>
      <c r="AA70" s="35"/>
      <c r="AB70" s="35"/>
      <c r="AD70" s="35"/>
      <c r="AH70" s="2"/>
      <c r="AI70" s="2"/>
      <c r="AJ70" s="2"/>
    </row>
    <row r="71" spans="10:36">
      <c r="J71" s="242"/>
      <c r="R71" s="36"/>
      <c r="AA71" s="35"/>
      <c r="AB71" s="35"/>
      <c r="AD71" s="35"/>
      <c r="AH71" s="2"/>
      <c r="AI71" s="2"/>
      <c r="AJ71" s="2"/>
    </row>
    <row r="72" spans="10:36">
      <c r="J72" s="242"/>
      <c r="R72" s="36"/>
      <c r="AA72" s="35"/>
      <c r="AB72" s="35"/>
      <c r="AD72" s="35"/>
      <c r="AH72" s="2"/>
      <c r="AI72" s="2"/>
      <c r="AJ72" s="2"/>
    </row>
    <row r="73" spans="10:36">
      <c r="J73" s="242"/>
      <c r="R73" s="36"/>
      <c r="AA73" s="35"/>
      <c r="AB73" s="35"/>
      <c r="AD73" s="35"/>
      <c r="AH73" s="2"/>
      <c r="AI73" s="2"/>
      <c r="AJ73" s="2"/>
    </row>
    <row r="74" spans="10:36">
      <c r="J74" s="242"/>
      <c r="R74" s="36"/>
      <c r="AA74" s="35"/>
      <c r="AB74" s="35"/>
      <c r="AD74" s="35"/>
      <c r="AH74" s="2"/>
      <c r="AI74" s="2"/>
      <c r="AJ74" s="2"/>
    </row>
    <row r="75" spans="10:36">
      <c r="J75" s="242"/>
      <c r="R75" s="36"/>
      <c r="AA75" s="35"/>
      <c r="AB75" s="35"/>
      <c r="AD75" s="35"/>
      <c r="AH75" s="2"/>
      <c r="AI75" s="2"/>
      <c r="AJ75" s="2"/>
    </row>
    <row r="76" spans="10:36">
      <c r="J76" s="242"/>
      <c r="R76" s="36"/>
      <c r="AA76" s="35"/>
      <c r="AB76" s="35"/>
      <c r="AD76" s="35"/>
      <c r="AH76" s="2"/>
      <c r="AI76" s="2"/>
      <c r="AJ76" s="2"/>
    </row>
    <row r="77" spans="10:36">
      <c r="J77" s="242"/>
      <c r="R77" s="36"/>
      <c r="AA77" s="35"/>
      <c r="AB77" s="35"/>
      <c r="AD77" s="35"/>
      <c r="AH77" s="2"/>
      <c r="AI77" s="2"/>
      <c r="AJ77" s="2"/>
    </row>
    <row r="78" spans="10:36">
      <c r="J78" s="242"/>
      <c r="R78" s="36"/>
      <c r="AA78" s="35"/>
      <c r="AB78" s="35"/>
      <c r="AD78" s="35"/>
      <c r="AH78" s="2"/>
      <c r="AI78" s="2"/>
      <c r="AJ78" s="2"/>
    </row>
    <row r="79" spans="10:36">
      <c r="J79" s="242"/>
      <c r="R79" s="36"/>
      <c r="AA79" s="35"/>
      <c r="AB79" s="35"/>
      <c r="AH79" s="2"/>
      <c r="AI79" s="2"/>
      <c r="AJ79" s="2"/>
    </row>
    <row r="80" spans="10:36">
      <c r="J80" s="242"/>
    </row>
    <row r="81" spans="10:13">
      <c r="J81" s="242"/>
    </row>
    <row r="82" spans="10:13">
      <c r="J82" s="242"/>
    </row>
    <row r="83" spans="10:13">
      <c r="J83" s="242"/>
    </row>
    <row r="84" spans="10:13">
      <c r="J84" s="242"/>
    </row>
    <row r="91" spans="10:13">
      <c r="L91" s="41"/>
      <c r="M91" s="36"/>
    </row>
    <row r="92" spans="10:13">
      <c r="L92" s="41"/>
      <c r="M92" s="36"/>
    </row>
    <row r="93" spans="10:13">
      <c r="L93" s="47"/>
      <c r="M93" s="43"/>
    </row>
  </sheetData>
  <phoneticPr fontId="6" type="noConversion"/>
  <pageMargins left="0.75" right="0.75" top="1" bottom="1" header="0.5" footer="0.5"/>
  <pageSetup paperSize="9" orientation="portrait" horizontalDpi="4294967292" verticalDpi="429496729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6"/>
  </sheetPr>
  <dimension ref="A1:BD97"/>
  <sheetViews>
    <sheetView topLeftCell="H1" workbookViewId="0">
      <selection activeCell="K3" sqref="K3:P3"/>
    </sheetView>
  </sheetViews>
  <sheetFormatPr baseColWidth="10" defaultColWidth="10.83203125" defaultRowHeight="13"/>
  <cols>
    <col min="1" max="1" width="12.83203125" style="33" customWidth="1"/>
    <col min="2" max="2" width="13" style="33" customWidth="1"/>
    <col min="3" max="3" width="15" style="33" customWidth="1"/>
    <col min="4" max="4" width="14.5" style="33" customWidth="1"/>
    <col min="5" max="5" width="16.1640625" style="33" customWidth="1"/>
    <col min="6" max="6" width="13.5" style="33" customWidth="1"/>
    <col min="7" max="7" width="14.83203125" style="33" customWidth="1"/>
    <col min="8" max="8" width="14.1640625" style="192" customWidth="1"/>
    <col min="9" max="9" width="11.1640625" style="229" customWidth="1"/>
    <col min="10" max="10" width="4" style="229" customWidth="1"/>
    <col min="11" max="11" width="14.1640625" style="708" customWidth="1"/>
    <col min="12" max="12" width="13" style="708" customWidth="1"/>
    <col min="13" max="13" width="15" style="708" customWidth="1"/>
    <col min="14" max="14" width="14.5" style="708" customWidth="1"/>
    <col min="15" max="15" width="16.1640625" style="708" customWidth="1"/>
    <col min="16" max="16" width="13.5" style="708" customWidth="1"/>
    <col min="17" max="17" width="14.83203125" style="708" customWidth="1"/>
    <col min="18" max="18" width="14.1640625" style="192" customWidth="1"/>
    <col min="19" max="19" width="4" style="708" customWidth="1"/>
    <col min="20" max="23" width="10.83203125" style="708"/>
    <col min="24" max="24" width="11.1640625" style="33" customWidth="1"/>
    <col min="25" max="45" width="10.83203125" style="33"/>
    <col min="46" max="46" width="13.1640625" style="33" customWidth="1"/>
    <col min="47" max="47" width="13.5" style="33" customWidth="1"/>
    <col min="48" max="16384" width="10.83203125" style="33"/>
  </cols>
  <sheetData>
    <row r="1" spans="1:56">
      <c r="A1" s="232" t="s">
        <v>323</v>
      </c>
      <c r="B1" s="232" t="s">
        <v>315</v>
      </c>
      <c r="C1" s="58"/>
      <c r="J1" s="242"/>
      <c r="K1" s="482" t="s">
        <v>844</v>
      </c>
      <c r="L1" s="730"/>
      <c r="M1" s="482"/>
      <c r="N1" s="482" t="s">
        <v>315</v>
      </c>
      <c r="S1" s="242"/>
    </row>
    <row r="2" spans="1:56">
      <c r="A2" s="58" t="s">
        <v>465</v>
      </c>
      <c r="B2" s="228" t="s">
        <v>466</v>
      </c>
      <c r="C2" s="58" t="s">
        <v>467</v>
      </c>
      <c r="D2" s="58" t="s">
        <v>468</v>
      </c>
      <c r="J2" s="242"/>
      <c r="K2" s="58" t="s">
        <v>465</v>
      </c>
      <c r="L2" s="228" t="s">
        <v>466</v>
      </c>
      <c r="M2" s="58" t="s">
        <v>467</v>
      </c>
      <c r="N2" s="58" t="s">
        <v>291</v>
      </c>
      <c r="O2" s="464"/>
      <c r="P2" s="464"/>
      <c r="R2" s="708"/>
      <c r="S2" s="242"/>
      <c r="T2" s="58"/>
      <c r="U2" s="58"/>
      <c r="V2" s="58"/>
      <c r="W2" s="58"/>
      <c r="X2" s="59"/>
      <c r="Y2" s="58"/>
    </row>
    <row r="3" spans="1:56" ht="15">
      <c r="A3" s="33" t="s">
        <v>55</v>
      </c>
      <c r="B3" s="84" t="s">
        <v>77</v>
      </c>
      <c r="C3" s="33" t="s">
        <v>464</v>
      </c>
      <c r="D3" s="1" t="s">
        <v>78</v>
      </c>
      <c r="E3" s="1"/>
      <c r="F3" s="1"/>
      <c r="J3" s="242"/>
      <c r="K3" s="739" t="s">
        <v>878</v>
      </c>
      <c r="L3" s="478">
        <v>1.18</v>
      </c>
      <c r="M3" s="477" t="s">
        <v>595</v>
      </c>
      <c r="N3" s="544" t="s">
        <v>848</v>
      </c>
      <c r="O3" s="480"/>
      <c r="P3" s="480"/>
      <c r="R3" s="708"/>
      <c r="S3" s="242"/>
      <c r="T3" s="524"/>
      <c r="U3" s="524"/>
      <c r="V3" s="524"/>
      <c r="W3" s="524"/>
      <c r="X3" s="670"/>
      <c r="Y3" s="664"/>
      <c r="Z3" s="524"/>
      <c r="AA3" s="1"/>
      <c r="AB3" s="1"/>
      <c r="AC3" s="1"/>
      <c r="AD3" s="1"/>
      <c r="AE3" s="1"/>
      <c r="BD3" s="33" t="s">
        <v>473</v>
      </c>
    </row>
    <row r="4" spans="1:56">
      <c r="A4" s="33" t="s">
        <v>53</v>
      </c>
      <c r="B4" s="109">
        <v>0.25</v>
      </c>
      <c r="C4" s="33" t="s">
        <v>335</v>
      </c>
      <c r="D4" s="1" t="s">
        <v>54</v>
      </c>
      <c r="E4" s="1"/>
      <c r="F4" s="1"/>
      <c r="J4" s="242"/>
      <c r="L4" s="109"/>
      <c r="M4" s="708" t="s">
        <v>335</v>
      </c>
      <c r="N4" s="1" t="s">
        <v>54</v>
      </c>
      <c r="O4" s="1"/>
      <c r="P4" s="1"/>
      <c r="S4" s="242"/>
      <c r="T4" s="524"/>
      <c r="U4" s="524"/>
      <c r="V4" s="524"/>
      <c r="W4" s="524"/>
      <c r="X4" s="670"/>
      <c r="Y4" s="664"/>
      <c r="Z4" s="524"/>
      <c r="AA4" s="1"/>
      <c r="AB4" s="1"/>
      <c r="AC4" s="1"/>
      <c r="AD4" s="1"/>
      <c r="AE4" s="1"/>
      <c r="AS4" s="58"/>
    </row>
    <row r="5" spans="1:56" ht="16">
      <c r="A5" s="33" t="s">
        <v>637</v>
      </c>
      <c r="B5" s="99" t="s">
        <v>71</v>
      </c>
      <c r="C5" s="33" t="s">
        <v>485</v>
      </c>
      <c r="D5" s="61" t="s">
        <v>52</v>
      </c>
      <c r="E5" s="34"/>
      <c r="F5" s="34"/>
      <c r="J5" s="242"/>
      <c r="K5" s="708" t="s">
        <v>637</v>
      </c>
      <c r="L5" s="99" t="s">
        <v>71</v>
      </c>
      <c r="M5" s="708" t="s">
        <v>485</v>
      </c>
      <c r="N5" s="61" t="s">
        <v>52</v>
      </c>
      <c r="O5" s="34"/>
      <c r="P5" s="34"/>
      <c r="S5" s="242"/>
      <c r="T5" s="80"/>
      <c r="U5" s="80"/>
      <c r="V5" s="80"/>
      <c r="W5" s="80"/>
      <c r="X5" s="60"/>
      <c r="Y5" s="664"/>
      <c r="Z5" s="80"/>
      <c r="AA5" s="34"/>
      <c r="AB5" s="34"/>
      <c r="AC5" s="34"/>
      <c r="AD5" s="34"/>
      <c r="AE5" s="34"/>
    </row>
    <row r="6" spans="1:56" ht="15">
      <c r="A6" s="33" t="s">
        <v>374</v>
      </c>
      <c r="B6" s="84">
        <v>0.5</v>
      </c>
      <c r="C6" s="33" t="s">
        <v>375</v>
      </c>
      <c r="D6" s="34" t="s">
        <v>334</v>
      </c>
      <c r="J6" s="242"/>
      <c r="K6" s="708" t="s">
        <v>207</v>
      </c>
      <c r="L6" s="84">
        <v>0.5</v>
      </c>
      <c r="M6" s="708" t="s">
        <v>375</v>
      </c>
      <c r="N6" s="34" t="s">
        <v>334</v>
      </c>
      <c r="S6" s="242"/>
      <c r="T6" s="80"/>
      <c r="U6" s="80"/>
      <c r="V6" s="80"/>
      <c r="W6" s="80"/>
      <c r="X6" s="80"/>
      <c r="Y6" s="80"/>
      <c r="Z6" s="80"/>
    </row>
    <row r="7" spans="1:56">
      <c r="A7" s="33" t="s">
        <v>336</v>
      </c>
      <c r="B7" s="84">
        <v>0.2</v>
      </c>
      <c r="C7" s="33" t="s">
        <v>335</v>
      </c>
      <c r="D7" s="33" t="s">
        <v>79</v>
      </c>
      <c r="J7" s="242"/>
      <c r="K7" s="708" t="s">
        <v>336</v>
      </c>
      <c r="L7" s="84">
        <v>0.2</v>
      </c>
      <c r="M7" s="708" t="s">
        <v>335</v>
      </c>
      <c r="N7" s="708" t="s">
        <v>79</v>
      </c>
      <c r="S7" s="242"/>
      <c r="T7" s="80"/>
      <c r="U7" s="80"/>
      <c r="V7" s="80"/>
      <c r="W7" s="80"/>
      <c r="X7" s="80"/>
      <c r="Y7" s="80"/>
      <c r="Z7" s="80"/>
      <c r="AQ7" s="42"/>
    </row>
    <row r="8" spans="1:56">
      <c r="B8" s="91"/>
      <c r="J8" s="242"/>
      <c r="L8" s="91"/>
      <c r="S8" s="242"/>
      <c r="T8" s="80"/>
      <c r="U8" s="80"/>
      <c r="V8" s="80"/>
      <c r="W8" s="80"/>
      <c r="X8" s="80" t="s">
        <v>617</v>
      </c>
      <c r="Y8" s="80"/>
      <c r="Z8" s="80"/>
      <c r="AA8" s="270"/>
      <c r="AB8" s="270"/>
      <c r="AC8" s="270"/>
    </row>
    <row r="9" spans="1:56" ht="16">
      <c r="A9" s="290"/>
      <c r="B9" s="290"/>
      <c r="C9" s="290"/>
      <c r="D9" s="291" t="s">
        <v>615</v>
      </c>
      <c r="E9" s="267">
        <f>AVERAGE(F15:F45)</f>
        <v>2.909331855269218E-2</v>
      </c>
      <c r="J9" s="242"/>
      <c r="K9" s="290"/>
      <c r="L9" s="290"/>
      <c r="M9" s="290"/>
      <c r="N9" s="291" t="s">
        <v>615</v>
      </c>
      <c r="O9" s="267">
        <f>AVERAGE(P15:P45)</f>
        <v>2.3439510178386129E-2</v>
      </c>
      <c r="S9" s="242"/>
      <c r="T9" s="80"/>
      <c r="U9" s="80"/>
      <c r="V9" s="80"/>
      <c r="W9" s="80"/>
      <c r="X9" s="80" t="s">
        <v>593</v>
      </c>
      <c r="Y9" s="80"/>
      <c r="Z9" s="80"/>
      <c r="AA9" s="270"/>
      <c r="AB9" s="270"/>
      <c r="AC9" s="270"/>
      <c r="AT9" s="62"/>
    </row>
    <row r="10" spans="1:56" ht="16">
      <c r="A10" s="232"/>
      <c r="B10" s="232"/>
      <c r="C10" s="232"/>
      <c r="D10" s="236" t="s">
        <v>643</v>
      </c>
      <c r="E10" s="237">
        <f>E9*B6*44/12</f>
        <v>5.333775067993566E-2</v>
      </c>
      <c r="F10" s="231"/>
      <c r="G10" s="231"/>
      <c r="I10" s="231"/>
      <c r="J10" s="242"/>
      <c r="K10" s="482"/>
      <c r="L10" s="482"/>
      <c r="M10" s="482"/>
      <c r="N10" s="483" t="s">
        <v>643</v>
      </c>
      <c r="O10" s="481">
        <f>O9*L6*44/12</f>
        <v>4.2972435327041238E-2</v>
      </c>
      <c r="S10" s="242"/>
      <c r="T10" s="80"/>
      <c r="U10" s="80"/>
      <c r="V10" s="80"/>
      <c r="W10" s="80"/>
      <c r="X10" s="80"/>
      <c r="Y10" s="80"/>
      <c r="Z10" s="80"/>
      <c r="AA10" s="270"/>
      <c r="AB10" s="270"/>
      <c r="AC10" s="270"/>
    </row>
    <row r="11" spans="1:56">
      <c r="B11" s="2"/>
      <c r="C11" s="2"/>
      <c r="H11" s="163"/>
      <c r="J11" s="242"/>
      <c r="L11" s="192"/>
      <c r="M11" s="192"/>
      <c r="R11" s="163"/>
      <c r="S11" s="242"/>
      <c r="T11" s="80"/>
      <c r="U11" s="80"/>
      <c r="V11" s="80"/>
      <c r="W11" s="80"/>
      <c r="X11" s="84" t="s">
        <v>378</v>
      </c>
      <c r="Y11" s="84" t="s">
        <v>378</v>
      </c>
      <c r="Z11" s="84" t="s">
        <v>337</v>
      </c>
      <c r="AA11" s="271" t="s">
        <v>337</v>
      </c>
      <c r="AB11" s="271"/>
      <c r="AC11" s="271"/>
      <c r="AD11" s="2"/>
      <c r="AE11" s="2"/>
      <c r="AT11" s="3"/>
      <c r="AU11" s="3"/>
    </row>
    <row r="12" spans="1:56" ht="15">
      <c r="A12" s="58"/>
      <c r="C12" s="192" t="s">
        <v>321</v>
      </c>
      <c r="D12" s="192" t="s">
        <v>321</v>
      </c>
      <c r="E12" s="192" t="s">
        <v>337</v>
      </c>
      <c r="F12" s="234" t="s">
        <v>337</v>
      </c>
      <c r="G12" s="231"/>
      <c r="H12" s="188" t="s">
        <v>597</v>
      </c>
      <c r="J12" s="242"/>
      <c r="K12" s="58"/>
      <c r="M12" s="192" t="s">
        <v>321</v>
      </c>
      <c r="N12" s="192" t="s">
        <v>321</v>
      </c>
      <c r="O12" s="192" t="s">
        <v>337</v>
      </c>
      <c r="P12" s="732" t="s">
        <v>337</v>
      </c>
      <c r="R12" s="188" t="s">
        <v>597</v>
      </c>
      <c r="S12" s="242"/>
      <c r="T12" s="80"/>
      <c r="U12" s="80"/>
      <c r="V12" s="80"/>
      <c r="W12" s="80"/>
      <c r="X12" s="84" t="s">
        <v>854</v>
      </c>
      <c r="Y12" s="84" t="s">
        <v>855</v>
      </c>
      <c r="Z12" s="84" t="s">
        <v>854</v>
      </c>
      <c r="AA12" s="271" t="s">
        <v>619</v>
      </c>
      <c r="AB12" s="271"/>
      <c r="AC12" s="271"/>
      <c r="AD12" s="2"/>
      <c r="AE12" s="2"/>
      <c r="AS12" s="2"/>
      <c r="AT12" s="2"/>
      <c r="AU12" s="2"/>
    </row>
    <row r="13" spans="1:56" s="42" customFormat="1" ht="15">
      <c r="A13" s="234" t="s">
        <v>438</v>
      </c>
      <c r="B13" s="234" t="s">
        <v>439</v>
      </c>
      <c r="C13" s="192" t="s">
        <v>634</v>
      </c>
      <c r="D13" s="192" t="s">
        <v>635</v>
      </c>
      <c r="E13" s="192" t="s">
        <v>634</v>
      </c>
      <c r="F13" s="234" t="s">
        <v>636</v>
      </c>
      <c r="G13" s="231"/>
      <c r="H13" s="188" t="s">
        <v>635</v>
      </c>
      <c r="I13" s="229"/>
      <c r="J13" s="246"/>
      <c r="K13" s="709" t="s">
        <v>279</v>
      </c>
      <c r="L13" s="709" t="s">
        <v>74</v>
      </c>
      <c r="M13" s="192" t="s">
        <v>634</v>
      </c>
      <c r="N13" s="192" t="s">
        <v>635</v>
      </c>
      <c r="O13" s="192" t="s">
        <v>634</v>
      </c>
      <c r="P13" s="732" t="s">
        <v>636</v>
      </c>
      <c r="Q13" s="708"/>
      <c r="R13" s="188" t="s">
        <v>635</v>
      </c>
      <c r="S13" s="246"/>
      <c r="T13" s="666"/>
      <c r="U13" s="666"/>
      <c r="V13" s="666"/>
      <c r="W13" s="666"/>
      <c r="X13" s="665" t="s">
        <v>857</v>
      </c>
      <c r="Y13" s="665" t="s">
        <v>858</v>
      </c>
      <c r="Z13" s="665" t="s">
        <v>857</v>
      </c>
      <c r="AA13" s="272" t="s">
        <v>621</v>
      </c>
      <c r="AB13" s="272"/>
      <c r="AC13" s="272"/>
      <c r="AD13" s="29"/>
      <c r="AE13" s="29"/>
      <c r="AS13" s="29"/>
      <c r="AT13" s="29"/>
      <c r="AU13" s="29"/>
    </row>
    <row r="14" spans="1:56" ht="15">
      <c r="A14" s="235" t="s">
        <v>487</v>
      </c>
      <c r="B14" s="235" t="s">
        <v>488</v>
      </c>
      <c r="C14" s="29" t="s">
        <v>591</v>
      </c>
      <c r="D14" s="29" t="s">
        <v>591</v>
      </c>
      <c r="E14" s="29" t="s">
        <v>338</v>
      </c>
      <c r="F14" s="235" t="s">
        <v>584</v>
      </c>
      <c r="G14" s="42"/>
      <c r="H14" s="250" t="s">
        <v>592</v>
      </c>
      <c r="I14" s="42"/>
      <c r="J14" s="242"/>
      <c r="K14" s="728" t="s">
        <v>176</v>
      </c>
      <c r="L14" s="728" t="s">
        <v>488</v>
      </c>
      <c r="M14" s="29" t="s">
        <v>591</v>
      </c>
      <c r="N14" s="29" t="s">
        <v>591</v>
      </c>
      <c r="O14" s="29" t="s">
        <v>333</v>
      </c>
      <c r="P14" s="733" t="s">
        <v>584</v>
      </c>
      <c r="Q14" s="42"/>
      <c r="R14" s="250" t="s">
        <v>592</v>
      </c>
      <c r="S14" s="242"/>
      <c r="T14" s="80"/>
      <c r="U14" s="80"/>
      <c r="V14" s="80"/>
      <c r="W14" s="80"/>
      <c r="X14" s="667">
        <f t="shared" ref="X14:X44" si="0">D15*$B$6</f>
        <v>0</v>
      </c>
      <c r="Y14" s="668">
        <f>X14*44/12</f>
        <v>0</v>
      </c>
      <c r="Z14" s="668">
        <f t="shared" ref="Z14:Z44" si="1">F15*$B$6</f>
        <v>0</v>
      </c>
      <c r="AA14" s="276">
        <f>Z14*44/12</f>
        <v>0</v>
      </c>
      <c r="AB14" s="275"/>
      <c r="AC14" s="276"/>
      <c r="AD14" s="40"/>
      <c r="AE14" s="40"/>
      <c r="AS14" s="2"/>
      <c r="AT14" s="55"/>
      <c r="AU14" s="2"/>
    </row>
    <row r="15" spans="1:56">
      <c r="A15" s="234">
        <v>0</v>
      </c>
      <c r="B15" s="269">
        <f>60*((1-EXP(-0.07*A15))^1.165)*(1-$B$4)</f>
        <v>0</v>
      </c>
      <c r="C15" s="55">
        <f>0.093*(B15^2.462)/1000</f>
        <v>0</v>
      </c>
      <c r="D15" s="44">
        <f t="shared" ref="D15:D45" si="2">C15*(1+$B$7)</f>
        <v>0</v>
      </c>
      <c r="E15" s="51">
        <f>C15</f>
        <v>0</v>
      </c>
      <c r="F15" s="237">
        <f t="shared" ref="F15:F45" si="3">E15*(1+$B$7)</f>
        <v>0</v>
      </c>
      <c r="H15" s="116">
        <v>0</v>
      </c>
      <c r="J15" s="242"/>
      <c r="K15" s="709">
        <v>0</v>
      </c>
      <c r="L15" s="731">
        <f>K15*$L$3</f>
        <v>0</v>
      </c>
      <c r="M15" s="111">
        <f>0.093*(L15^2.462)/1000</f>
        <v>0</v>
      </c>
      <c r="N15" s="111">
        <f t="shared" ref="N15:N45" si="4">M15*(1+$B$7)</f>
        <v>0</v>
      </c>
      <c r="O15" s="111">
        <f>M15</f>
        <v>0</v>
      </c>
      <c r="P15" s="481">
        <f t="shared" ref="P15:P45" si="5">O15*(1+$B$7)</f>
        <v>0</v>
      </c>
      <c r="R15" s="116">
        <v>0</v>
      </c>
      <c r="S15" s="242"/>
      <c r="T15" s="80"/>
      <c r="U15" s="80"/>
      <c r="V15" s="80"/>
      <c r="W15" s="80"/>
      <c r="X15" s="667">
        <f t="shared" si="0"/>
        <v>2.8905154439536236E-4</v>
      </c>
      <c r="Y15" s="668">
        <f t="shared" ref="Y15:Y44" si="6">X15*44/12</f>
        <v>1.0598556627829953E-3</v>
      </c>
      <c r="Z15" s="668">
        <f t="shared" si="1"/>
        <v>2.8905154439536236E-4</v>
      </c>
      <c r="AA15" s="276">
        <f t="shared" ref="AA15:AA44" si="7">Z15*44/12</f>
        <v>1.0598556627829953E-3</v>
      </c>
      <c r="AB15" s="275"/>
      <c r="AC15" s="276"/>
      <c r="AD15" s="40"/>
      <c r="AE15" s="40"/>
      <c r="AS15" s="2"/>
      <c r="AT15" s="55"/>
      <c r="AU15" s="2"/>
    </row>
    <row r="16" spans="1:56">
      <c r="A16" s="234">
        <v>1</v>
      </c>
      <c r="B16" s="269">
        <f t="shared" ref="B16:B45" si="8">60*((1-EXP(-0.07*A16))^1.165)*(1-$B$4)</f>
        <v>1.9505032012297425</v>
      </c>
      <c r="C16" s="55">
        <f t="shared" ref="C16:C45" si="9">0.093*(B16^2.462)/1000</f>
        <v>4.817525739922706E-4</v>
      </c>
      <c r="D16" s="44">
        <f t="shared" si="2"/>
        <v>5.7810308879072472E-4</v>
      </c>
      <c r="E16" s="51">
        <f t="shared" ref="E16:E45" si="10">C16-C15</f>
        <v>4.817525739922706E-4</v>
      </c>
      <c r="F16" s="237">
        <f t="shared" si="3"/>
        <v>5.7810308879072472E-4</v>
      </c>
      <c r="H16" s="116">
        <f>0.0291*A16-0.0291</f>
        <v>0</v>
      </c>
      <c r="J16" s="242"/>
      <c r="K16" s="709">
        <v>1</v>
      </c>
      <c r="L16" s="731">
        <f t="shared" ref="L16:L45" si="11">K16*$L$3</f>
        <v>1.18</v>
      </c>
      <c r="M16" s="111">
        <f t="shared" ref="M16:M45" si="12">0.093*(L16^2.462)/1000</f>
        <v>1.3978367383514709E-4</v>
      </c>
      <c r="N16" s="111">
        <f t="shared" si="4"/>
        <v>1.677404086021765E-4</v>
      </c>
      <c r="O16" s="111">
        <f t="shared" ref="O16:O45" si="13">M16-M15</f>
        <v>1.3978367383514709E-4</v>
      </c>
      <c r="P16" s="481">
        <f t="shared" si="5"/>
        <v>1.677404086021765E-4</v>
      </c>
      <c r="R16" s="116">
        <f>0.0291*K16-0.0291</f>
        <v>0</v>
      </c>
      <c r="S16" s="242"/>
      <c r="T16" s="80"/>
      <c r="U16" s="80"/>
      <c r="V16" s="80"/>
      <c r="W16" s="80"/>
      <c r="X16" s="667">
        <f t="shared" si="0"/>
        <v>1.9123324356767912E-3</v>
      </c>
      <c r="Y16" s="668">
        <f t="shared" si="6"/>
        <v>7.0118855974815675E-3</v>
      </c>
      <c r="Z16" s="668">
        <f t="shared" si="1"/>
        <v>1.623280891281429E-3</v>
      </c>
      <c r="AA16" s="276">
        <f t="shared" si="7"/>
        <v>5.9520299346985731E-3</v>
      </c>
      <c r="AB16" s="275"/>
      <c r="AC16" s="276"/>
      <c r="AD16" s="40"/>
      <c r="AE16" s="40"/>
      <c r="AS16" s="2"/>
      <c r="AT16" s="55"/>
      <c r="AU16" s="2"/>
    </row>
    <row r="17" spans="1:47">
      <c r="A17" s="234">
        <f t="shared" ref="A17:A45" si="14">A16+1</f>
        <v>2</v>
      </c>
      <c r="B17" s="269">
        <f t="shared" si="8"/>
        <v>4.2019229822062325</v>
      </c>
      <c r="C17" s="55">
        <f t="shared" si="9"/>
        <v>3.1872207261279856E-3</v>
      </c>
      <c r="D17" s="44">
        <f t="shared" si="2"/>
        <v>3.8246648713535824E-3</v>
      </c>
      <c r="E17" s="51">
        <f t="shared" si="10"/>
        <v>2.705468152135715E-3</v>
      </c>
      <c r="F17" s="237">
        <f t="shared" si="3"/>
        <v>3.2465617825628581E-3</v>
      </c>
      <c r="H17" s="116">
        <f t="shared" ref="H17:H44" si="15">0.0291*A17-0.0291</f>
        <v>2.9100000000000001E-2</v>
      </c>
      <c r="J17" s="242"/>
      <c r="K17" s="709">
        <f t="shared" ref="K17:K45" si="16">K16+1</f>
        <v>2</v>
      </c>
      <c r="L17" s="731">
        <f t="shared" si="11"/>
        <v>2.36</v>
      </c>
      <c r="M17" s="111">
        <f t="shared" si="12"/>
        <v>7.7018011203131508E-4</v>
      </c>
      <c r="N17" s="111">
        <f t="shared" si="4"/>
        <v>9.242161344375781E-4</v>
      </c>
      <c r="O17" s="111">
        <f t="shared" si="13"/>
        <v>6.3039643819616802E-4</v>
      </c>
      <c r="P17" s="481">
        <f t="shared" si="5"/>
        <v>7.564757258354016E-4</v>
      </c>
      <c r="R17" s="116">
        <f t="shared" ref="R17:R44" si="17">0.0291*K17-0.0291</f>
        <v>2.9100000000000001E-2</v>
      </c>
      <c r="S17" s="242"/>
      <c r="T17" s="80"/>
      <c r="U17" s="80"/>
      <c r="V17" s="80"/>
      <c r="W17" s="80"/>
      <c r="X17" s="667">
        <f t="shared" si="0"/>
        <v>5.5501737653052248E-3</v>
      </c>
      <c r="Y17" s="668">
        <f t="shared" si="6"/>
        <v>2.0350637139452493E-2</v>
      </c>
      <c r="Z17" s="668">
        <f t="shared" si="1"/>
        <v>3.6378413296284332E-3</v>
      </c>
      <c r="AA17" s="276">
        <f t="shared" si="7"/>
        <v>1.3338751541970922E-2</v>
      </c>
      <c r="AB17" s="275"/>
      <c r="AC17" s="276"/>
      <c r="AD17" s="40"/>
      <c r="AE17" s="40"/>
      <c r="AS17" s="2"/>
      <c r="AT17" s="55"/>
      <c r="AU17" s="2"/>
    </row>
    <row r="18" spans="1:47">
      <c r="A18" s="234">
        <f t="shared" si="14"/>
        <v>3</v>
      </c>
      <c r="B18" s="269">
        <f t="shared" si="8"/>
        <v>6.4774231185905276</v>
      </c>
      <c r="C18" s="55">
        <f t="shared" si="9"/>
        <v>9.2502896088420411E-3</v>
      </c>
      <c r="D18" s="44">
        <f t="shared" si="2"/>
        <v>1.110034753061045E-2</v>
      </c>
      <c r="E18" s="51">
        <f t="shared" si="10"/>
        <v>6.0630688827140559E-3</v>
      </c>
      <c r="F18" s="237">
        <f t="shared" si="3"/>
        <v>7.2756826592568664E-3</v>
      </c>
      <c r="H18" s="116">
        <f t="shared" si="15"/>
        <v>5.8200000000000002E-2</v>
      </c>
      <c r="J18" s="242"/>
      <c r="K18" s="709">
        <f t="shared" si="16"/>
        <v>3</v>
      </c>
      <c r="L18" s="731">
        <f t="shared" si="11"/>
        <v>3.54</v>
      </c>
      <c r="M18" s="111">
        <f t="shared" si="12"/>
        <v>2.0899167160520044E-3</v>
      </c>
      <c r="N18" s="111">
        <f t="shared" si="4"/>
        <v>2.5079000592624053E-3</v>
      </c>
      <c r="O18" s="111">
        <f t="shared" si="13"/>
        <v>1.3197366040206893E-3</v>
      </c>
      <c r="P18" s="481">
        <f t="shared" si="5"/>
        <v>1.5836839248248272E-3</v>
      </c>
      <c r="R18" s="116">
        <f t="shared" si="17"/>
        <v>5.8200000000000002E-2</v>
      </c>
      <c r="S18" s="242"/>
      <c r="T18" s="80"/>
      <c r="U18" s="80"/>
      <c r="V18" s="80"/>
      <c r="W18" s="80"/>
      <c r="X18" s="667">
        <f t="shared" si="0"/>
        <v>1.1503766889952381E-2</v>
      </c>
      <c r="Y18" s="668">
        <f t="shared" si="6"/>
        <v>4.2180478596492064E-2</v>
      </c>
      <c r="Z18" s="668">
        <f t="shared" si="1"/>
        <v>5.9535931246471564E-3</v>
      </c>
      <c r="AA18" s="276">
        <f t="shared" si="7"/>
        <v>2.1829841457039575E-2</v>
      </c>
      <c r="AB18" s="275"/>
      <c r="AC18" s="276"/>
      <c r="AD18" s="40"/>
      <c r="AE18" s="40"/>
      <c r="AS18" s="2"/>
      <c r="AT18" s="55"/>
      <c r="AU18" s="2"/>
    </row>
    <row r="19" spans="1:47">
      <c r="A19" s="234">
        <f t="shared" si="14"/>
        <v>4</v>
      </c>
      <c r="B19" s="269">
        <f t="shared" si="8"/>
        <v>8.709032111231588</v>
      </c>
      <c r="C19" s="55">
        <f t="shared" si="9"/>
        <v>1.9172944816587302E-2</v>
      </c>
      <c r="D19" s="44">
        <f t="shared" si="2"/>
        <v>2.3007533779904762E-2</v>
      </c>
      <c r="E19" s="51">
        <f t="shared" si="10"/>
        <v>9.9226552077452609E-3</v>
      </c>
      <c r="F19" s="237">
        <f t="shared" si="3"/>
        <v>1.1907186249294313E-2</v>
      </c>
      <c r="H19" s="116">
        <f t="shared" si="15"/>
        <v>8.7300000000000003E-2</v>
      </c>
      <c r="J19" s="242"/>
      <c r="K19" s="709">
        <f t="shared" si="16"/>
        <v>4</v>
      </c>
      <c r="L19" s="731">
        <f t="shared" si="11"/>
        <v>4.72</v>
      </c>
      <c r="M19" s="111">
        <f t="shared" si="12"/>
        <v>4.2435385241636203E-3</v>
      </c>
      <c r="N19" s="111">
        <f t="shared" si="4"/>
        <v>5.0922462289963444E-3</v>
      </c>
      <c r="O19" s="111">
        <f t="shared" si="13"/>
        <v>2.1536218081116159E-3</v>
      </c>
      <c r="P19" s="481">
        <f t="shared" si="5"/>
        <v>2.5843461697339391E-3</v>
      </c>
      <c r="R19" s="116">
        <f t="shared" si="17"/>
        <v>8.7300000000000003E-2</v>
      </c>
      <c r="S19" s="242"/>
      <c r="T19" s="80"/>
      <c r="U19" s="80"/>
      <c r="V19" s="80"/>
      <c r="W19" s="80"/>
      <c r="X19" s="667">
        <f t="shared" si="0"/>
        <v>1.9837519842374769E-2</v>
      </c>
      <c r="Y19" s="668">
        <f t="shared" si="6"/>
        <v>7.2737572755374152E-2</v>
      </c>
      <c r="Z19" s="668">
        <f t="shared" si="1"/>
        <v>8.3337529524223873E-3</v>
      </c>
      <c r="AA19" s="276">
        <f t="shared" si="7"/>
        <v>3.0557094158882084E-2</v>
      </c>
      <c r="AB19" s="275"/>
      <c r="AC19" s="276"/>
      <c r="AD19" s="40"/>
      <c r="AE19" s="40"/>
      <c r="AS19" s="2"/>
      <c r="AT19" s="55"/>
      <c r="AU19" s="2"/>
    </row>
    <row r="20" spans="1:47">
      <c r="A20" s="234">
        <f t="shared" si="14"/>
        <v>5</v>
      </c>
      <c r="B20" s="269">
        <f t="shared" si="8"/>
        <v>10.866503784498954</v>
      </c>
      <c r="C20" s="55">
        <f t="shared" si="9"/>
        <v>3.3062533070624615E-2</v>
      </c>
      <c r="D20" s="44">
        <f t="shared" si="2"/>
        <v>3.9675039684749537E-2</v>
      </c>
      <c r="E20" s="51">
        <f t="shared" si="10"/>
        <v>1.3889588254037313E-2</v>
      </c>
      <c r="F20" s="237">
        <f t="shared" si="3"/>
        <v>1.6667505904844775E-2</v>
      </c>
      <c r="H20" s="116">
        <f t="shared" si="15"/>
        <v>0.11640000000000002</v>
      </c>
      <c r="J20" s="242"/>
      <c r="K20" s="709">
        <f t="shared" si="16"/>
        <v>5</v>
      </c>
      <c r="L20" s="731">
        <f t="shared" si="11"/>
        <v>5.8999999999999995</v>
      </c>
      <c r="M20" s="111">
        <f t="shared" si="12"/>
        <v>7.3505629499057996E-3</v>
      </c>
      <c r="N20" s="111">
        <f t="shared" si="4"/>
        <v>8.8206755398869598E-3</v>
      </c>
      <c r="O20" s="111">
        <f t="shared" si="13"/>
        <v>3.1070244257421793E-3</v>
      </c>
      <c r="P20" s="481">
        <f t="shared" si="5"/>
        <v>3.728429310890615E-3</v>
      </c>
      <c r="R20" s="116">
        <f t="shared" si="17"/>
        <v>0.11640000000000002</v>
      </c>
      <c r="S20" s="242"/>
      <c r="T20" s="80"/>
      <c r="U20" s="80"/>
      <c r="V20" s="80"/>
      <c r="W20" s="80"/>
      <c r="X20" s="667">
        <f t="shared" si="0"/>
        <v>3.0464216767283583E-2</v>
      </c>
      <c r="Y20" s="668">
        <f t="shared" si="6"/>
        <v>0.11170212814670648</v>
      </c>
      <c r="Z20" s="668">
        <f t="shared" si="1"/>
        <v>1.0626696924908814E-2</v>
      </c>
      <c r="AA20" s="276">
        <f t="shared" si="7"/>
        <v>3.8964555391332319E-2</v>
      </c>
      <c r="AB20" s="275"/>
      <c r="AC20" s="276"/>
      <c r="AD20" s="40"/>
      <c r="AE20" s="40"/>
      <c r="AS20" s="2"/>
      <c r="AT20" s="55"/>
      <c r="AU20" s="2"/>
    </row>
    <row r="21" spans="1:47">
      <c r="A21" s="234">
        <f t="shared" si="14"/>
        <v>6</v>
      </c>
      <c r="B21" s="269">
        <f t="shared" si="8"/>
        <v>12.934841038130365</v>
      </c>
      <c r="C21" s="55">
        <f t="shared" si="9"/>
        <v>5.0773694612139306E-2</v>
      </c>
      <c r="D21" s="44">
        <f t="shared" si="2"/>
        <v>6.0928433534567165E-2</v>
      </c>
      <c r="E21" s="51">
        <f t="shared" si="10"/>
        <v>1.771116154151469E-2</v>
      </c>
      <c r="F21" s="237">
        <f t="shared" si="3"/>
        <v>2.1253393849817628E-2</v>
      </c>
      <c r="H21" s="116">
        <f t="shared" si="15"/>
        <v>0.14550000000000002</v>
      </c>
      <c r="J21" s="242"/>
      <c r="K21" s="709">
        <f t="shared" si="16"/>
        <v>6</v>
      </c>
      <c r="L21" s="731">
        <f t="shared" si="11"/>
        <v>7.08</v>
      </c>
      <c r="M21" s="111">
        <f t="shared" si="12"/>
        <v>1.1515023509850921E-2</v>
      </c>
      <c r="N21" s="111">
        <f t="shared" si="4"/>
        <v>1.3818028211821105E-2</v>
      </c>
      <c r="O21" s="111">
        <f t="shared" si="13"/>
        <v>4.1644605599451216E-3</v>
      </c>
      <c r="P21" s="481">
        <f t="shared" si="5"/>
        <v>4.9973526719341455E-3</v>
      </c>
      <c r="R21" s="116">
        <f t="shared" si="17"/>
        <v>0.14550000000000002</v>
      </c>
      <c r="S21" s="242"/>
      <c r="T21" s="80"/>
      <c r="U21" s="80"/>
      <c r="V21" s="80"/>
      <c r="W21" s="80"/>
      <c r="X21" s="667">
        <f t="shared" si="0"/>
        <v>4.3202173119725511E-2</v>
      </c>
      <c r="Y21" s="668">
        <f t="shared" si="6"/>
        <v>0.15840796810566021</v>
      </c>
      <c r="Z21" s="668">
        <f t="shared" si="1"/>
        <v>1.2737956352441931E-2</v>
      </c>
      <c r="AA21" s="276">
        <f t="shared" si="7"/>
        <v>4.6705839958953749E-2</v>
      </c>
      <c r="AB21" s="275"/>
      <c r="AC21" s="276"/>
      <c r="AD21" s="40"/>
      <c r="AE21" s="40"/>
      <c r="AS21" s="2"/>
      <c r="AT21" s="55"/>
      <c r="AU21" s="2"/>
    </row>
    <row r="22" spans="1:47">
      <c r="A22" s="234">
        <f t="shared" si="14"/>
        <v>7</v>
      </c>
      <c r="B22" s="269">
        <f t="shared" si="8"/>
        <v>14.90678522634305</v>
      </c>
      <c r="C22" s="55">
        <f t="shared" si="9"/>
        <v>7.2003621866209191E-2</v>
      </c>
      <c r="D22" s="44">
        <f t="shared" si="2"/>
        <v>8.6404346239451021E-2</v>
      </c>
      <c r="E22" s="51">
        <f t="shared" si="10"/>
        <v>2.1229927254069886E-2</v>
      </c>
      <c r="F22" s="237">
        <f t="shared" si="3"/>
        <v>2.5475912704883863E-2</v>
      </c>
      <c r="H22" s="116">
        <f t="shared" si="15"/>
        <v>0.17459999999999998</v>
      </c>
      <c r="J22" s="242"/>
      <c r="K22" s="709">
        <f t="shared" si="16"/>
        <v>7</v>
      </c>
      <c r="L22" s="731">
        <f t="shared" si="11"/>
        <v>8.26</v>
      </c>
      <c r="M22" s="111">
        <f t="shared" si="12"/>
        <v>1.6830143736797469E-2</v>
      </c>
      <c r="N22" s="111">
        <f t="shared" si="4"/>
        <v>2.0196172484156963E-2</v>
      </c>
      <c r="O22" s="111">
        <f t="shared" si="13"/>
        <v>5.3151202269465479E-3</v>
      </c>
      <c r="P22" s="481">
        <f t="shared" si="5"/>
        <v>6.3781442723358575E-3</v>
      </c>
      <c r="R22" s="116">
        <f t="shared" si="17"/>
        <v>0.17459999999999998</v>
      </c>
      <c r="S22" s="242"/>
      <c r="T22" s="80"/>
      <c r="U22" s="80"/>
      <c r="V22" s="80"/>
      <c r="W22" s="80"/>
      <c r="X22" s="667">
        <f t="shared" si="0"/>
        <v>5.7814822333590858E-2</v>
      </c>
      <c r="Y22" s="668">
        <f t="shared" si="6"/>
        <v>0.21198768188983316</v>
      </c>
      <c r="Z22" s="668">
        <f t="shared" si="1"/>
        <v>1.4612649213865344E-2</v>
      </c>
      <c r="AA22" s="276">
        <f t="shared" si="7"/>
        <v>5.3579713784172929E-2</v>
      </c>
      <c r="AB22" s="275"/>
      <c r="AC22" s="276"/>
      <c r="AD22" s="40"/>
      <c r="AE22" s="40"/>
      <c r="AS22" s="2"/>
      <c r="AT22" s="55"/>
      <c r="AU22" s="2"/>
    </row>
    <row r="23" spans="1:47">
      <c r="A23" s="234">
        <f t="shared" si="14"/>
        <v>8</v>
      </c>
      <c r="B23" s="269">
        <f t="shared" si="8"/>
        <v>16.779485254453967</v>
      </c>
      <c r="C23" s="55">
        <f t="shared" si="9"/>
        <v>9.6358037222651433E-2</v>
      </c>
      <c r="D23" s="44">
        <f t="shared" si="2"/>
        <v>0.11562964466718172</v>
      </c>
      <c r="E23" s="51">
        <f t="shared" si="10"/>
        <v>2.4354415356442241E-2</v>
      </c>
      <c r="F23" s="237">
        <f t="shared" si="3"/>
        <v>2.9225298427730688E-2</v>
      </c>
      <c r="H23" s="116">
        <f t="shared" si="15"/>
        <v>0.20369999999999999</v>
      </c>
      <c r="J23" s="242"/>
      <c r="K23" s="709">
        <f t="shared" si="16"/>
        <v>8</v>
      </c>
      <c r="L23" s="731">
        <f t="shared" si="11"/>
        <v>9.44</v>
      </c>
      <c r="M23" s="111">
        <f t="shared" si="12"/>
        <v>2.3381049347751228E-2</v>
      </c>
      <c r="N23" s="111">
        <f t="shared" si="4"/>
        <v>2.8057259217301473E-2</v>
      </c>
      <c r="O23" s="111">
        <f t="shared" si="13"/>
        <v>6.550905610953759E-3</v>
      </c>
      <c r="P23" s="481">
        <f t="shared" si="5"/>
        <v>7.8610867331445101E-3</v>
      </c>
      <c r="R23" s="116">
        <f t="shared" si="17"/>
        <v>0.20369999999999999</v>
      </c>
      <c r="S23" s="242"/>
      <c r="T23" s="80"/>
      <c r="U23" s="80"/>
      <c r="V23" s="80"/>
      <c r="W23" s="80"/>
      <c r="X23" s="667">
        <f t="shared" si="0"/>
        <v>7.403831080609749E-2</v>
      </c>
      <c r="Y23" s="668">
        <f t="shared" si="6"/>
        <v>0.27147380628902412</v>
      </c>
      <c r="Z23" s="668">
        <f t="shared" si="1"/>
        <v>1.6223488472506632E-2</v>
      </c>
      <c r="AA23" s="276">
        <f t="shared" si="7"/>
        <v>5.9486124399190987E-2</v>
      </c>
      <c r="AB23" s="275"/>
      <c r="AC23" s="276"/>
      <c r="AD23" s="40"/>
      <c r="AE23" s="40"/>
      <c r="AS23" s="2"/>
      <c r="AT23" s="55"/>
      <c r="AU23" s="2"/>
    </row>
    <row r="24" spans="1:47">
      <c r="A24" s="234">
        <f t="shared" si="14"/>
        <v>9</v>
      </c>
      <c r="B24" s="269">
        <f t="shared" si="8"/>
        <v>18.552768856495668</v>
      </c>
      <c r="C24" s="55">
        <f t="shared" si="9"/>
        <v>0.12339718467682916</v>
      </c>
      <c r="D24" s="44">
        <f t="shared" si="2"/>
        <v>0.14807662161219498</v>
      </c>
      <c r="E24" s="51">
        <f t="shared" si="10"/>
        <v>2.7039147454177723E-2</v>
      </c>
      <c r="F24" s="237">
        <f t="shared" si="3"/>
        <v>3.2446976945013264E-2</v>
      </c>
      <c r="H24" s="116">
        <f t="shared" si="15"/>
        <v>0.23280000000000001</v>
      </c>
      <c r="J24" s="242"/>
      <c r="K24" s="709">
        <f t="shared" si="16"/>
        <v>9</v>
      </c>
      <c r="L24" s="731">
        <f t="shared" si="11"/>
        <v>10.62</v>
      </c>
      <c r="M24" s="111">
        <f t="shared" si="12"/>
        <v>3.1246509411282715E-2</v>
      </c>
      <c r="N24" s="111">
        <f t="shared" si="4"/>
        <v>3.7495811293539259E-2</v>
      </c>
      <c r="O24" s="111">
        <f t="shared" si="13"/>
        <v>7.8654600635314868E-3</v>
      </c>
      <c r="P24" s="481">
        <f t="shared" si="5"/>
        <v>9.4385520762377845E-3</v>
      </c>
      <c r="R24" s="116">
        <f t="shared" si="17"/>
        <v>0.23280000000000001</v>
      </c>
      <c r="S24" s="242"/>
      <c r="T24" s="80"/>
      <c r="U24" s="80"/>
      <c r="V24" s="80"/>
      <c r="W24" s="80"/>
      <c r="X24" s="667">
        <f t="shared" si="0"/>
        <v>9.1600596689333499E-2</v>
      </c>
      <c r="Y24" s="668">
        <f t="shared" si="6"/>
        <v>0.33586885452755616</v>
      </c>
      <c r="Z24" s="668">
        <f t="shared" si="1"/>
        <v>1.7562285883236002E-2</v>
      </c>
      <c r="AA24" s="276">
        <f t="shared" si="7"/>
        <v>6.439504823853201E-2</v>
      </c>
      <c r="AB24" s="275"/>
      <c r="AC24" s="276"/>
      <c r="AD24" s="40"/>
      <c r="AE24" s="40"/>
      <c r="AS24" s="2"/>
      <c r="AT24" s="55"/>
      <c r="AU24" s="2"/>
    </row>
    <row r="25" spans="1:47">
      <c r="A25" s="234">
        <f t="shared" si="14"/>
        <v>10</v>
      </c>
      <c r="B25" s="269">
        <f t="shared" si="8"/>
        <v>20.228150462103905</v>
      </c>
      <c r="C25" s="55">
        <f t="shared" si="9"/>
        <v>0.15266766114888916</v>
      </c>
      <c r="D25" s="44">
        <f t="shared" si="2"/>
        <v>0.183201193378667</v>
      </c>
      <c r="E25" s="51">
        <f t="shared" si="10"/>
        <v>2.9270476472060006E-2</v>
      </c>
      <c r="F25" s="237">
        <f t="shared" si="3"/>
        <v>3.5124571766472004E-2</v>
      </c>
      <c r="H25" s="116">
        <f t="shared" si="15"/>
        <v>0.26190000000000002</v>
      </c>
      <c r="J25" s="242"/>
      <c r="K25" s="709">
        <f t="shared" si="16"/>
        <v>10</v>
      </c>
      <c r="L25" s="731">
        <f t="shared" si="11"/>
        <v>11.799999999999999</v>
      </c>
      <c r="M25" s="111">
        <f t="shared" si="12"/>
        <v>4.0500133105159694E-2</v>
      </c>
      <c r="N25" s="111">
        <f t="shared" si="4"/>
        <v>4.8600159726191632E-2</v>
      </c>
      <c r="O25" s="111">
        <f t="shared" si="13"/>
        <v>9.2536236938769792E-3</v>
      </c>
      <c r="P25" s="481">
        <f t="shared" si="5"/>
        <v>1.1104348432652374E-2</v>
      </c>
      <c r="R25" s="116">
        <f t="shared" si="17"/>
        <v>0.26190000000000002</v>
      </c>
      <c r="S25" s="242"/>
      <c r="T25" s="80"/>
      <c r="U25" s="80"/>
      <c r="V25" s="80"/>
      <c r="W25" s="80"/>
      <c r="X25" s="667">
        <f t="shared" si="0"/>
        <v>0.11023442445347624</v>
      </c>
      <c r="Y25" s="668">
        <f t="shared" si="6"/>
        <v>0.40419288966274625</v>
      </c>
      <c r="Z25" s="668">
        <f t="shared" si="1"/>
        <v>1.8633827764142744E-2</v>
      </c>
      <c r="AA25" s="276">
        <f t="shared" si="7"/>
        <v>6.8324035135190059E-2</v>
      </c>
      <c r="AB25" s="275"/>
      <c r="AC25" s="276"/>
      <c r="AD25" s="40"/>
      <c r="AE25" s="40"/>
      <c r="AS25" s="2"/>
      <c r="AT25" s="55"/>
      <c r="AU25" s="2"/>
    </row>
    <row r="26" spans="1:47">
      <c r="A26" s="234">
        <f t="shared" si="14"/>
        <v>11</v>
      </c>
      <c r="B26" s="269">
        <f t="shared" si="8"/>
        <v>21.808221207992425</v>
      </c>
      <c r="C26" s="55">
        <f t="shared" si="9"/>
        <v>0.18372404075579374</v>
      </c>
      <c r="D26" s="44">
        <f t="shared" si="2"/>
        <v>0.22046884890695248</v>
      </c>
      <c r="E26" s="51">
        <f t="shared" si="10"/>
        <v>3.1056379606904577E-2</v>
      </c>
      <c r="F26" s="237">
        <f t="shared" si="3"/>
        <v>3.7267655528285488E-2</v>
      </c>
      <c r="H26" s="116">
        <f t="shared" si="15"/>
        <v>0.29099999999999998</v>
      </c>
      <c r="J26" s="242"/>
      <c r="K26" s="709">
        <f t="shared" si="16"/>
        <v>11</v>
      </c>
      <c r="L26" s="731">
        <f t="shared" si="11"/>
        <v>12.979999999999999</v>
      </c>
      <c r="M26" s="111">
        <f t="shared" si="12"/>
        <v>5.1211234066179084E-2</v>
      </c>
      <c r="N26" s="111">
        <f t="shared" si="4"/>
        <v>6.14534808794149E-2</v>
      </c>
      <c r="O26" s="111">
        <f t="shared" si="13"/>
        <v>1.071110096101939E-2</v>
      </c>
      <c r="P26" s="481">
        <f t="shared" si="5"/>
        <v>1.2853321153223268E-2</v>
      </c>
      <c r="R26" s="116">
        <f t="shared" si="17"/>
        <v>0.29099999999999998</v>
      </c>
      <c r="S26" s="242"/>
      <c r="T26" s="80"/>
      <c r="U26" s="80"/>
      <c r="V26" s="80"/>
      <c r="W26" s="80"/>
      <c r="X26" s="667">
        <f t="shared" si="0"/>
        <v>0.12968585563247995</v>
      </c>
      <c r="Y26" s="668">
        <f t="shared" si="6"/>
        <v>0.47551480398575979</v>
      </c>
      <c r="Z26" s="668">
        <f t="shared" si="1"/>
        <v>1.9451431179003713E-2</v>
      </c>
      <c r="AA26" s="276">
        <f t="shared" si="7"/>
        <v>7.1321914323013616E-2</v>
      </c>
      <c r="AB26" s="275"/>
      <c r="AC26" s="276"/>
      <c r="AD26" s="40"/>
      <c r="AE26" s="40"/>
      <c r="AS26" s="2"/>
      <c r="AT26" s="55"/>
      <c r="AU26" s="2"/>
    </row>
    <row r="27" spans="1:47">
      <c r="A27" s="234">
        <f t="shared" si="14"/>
        <v>12</v>
      </c>
      <c r="B27" s="269">
        <f t="shared" si="8"/>
        <v>23.296255140664901</v>
      </c>
      <c r="C27" s="55">
        <f t="shared" si="9"/>
        <v>0.21614309272079993</v>
      </c>
      <c r="D27" s="44">
        <f t="shared" si="2"/>
        <v>0.25937171126495989</v>
      </c>
      <c r="E27" s="51">
        <f t="shared" si="10"/>
        <v>3.241905196500619E-2</v>
      </c>
      <c r="F27" s="237">
        <f t="shared" si="3"/>
        <v>3.8902862358007426E-2</v>
      </c>
      <c r="H27" s="116">
        <f t="shared" si="15"/>
        <v>0.3201</v>
      </c>
      <c r="J27" s="242"/>
      <c r="K27" s="709">
        <f t="shared" si="16"/>
        <v>12</v>
      </c>
      <c r="L27" s="731">
        <f t="shared" si="11"/>
        <v>14.16</v>
      </c>
      <c r="M27" s="111">
        <f t="shared" si="12"/>
        <v>6.3445478670988265E-2</v>
      </c>
      <c r="N27" s="111">
        <f t="shared" si="4"/>
        <v>7.6134574405185909E-2</v>
      </c>
      <c r="O27" s="111">
        <f t="shared" si="13"/>
        <v>1.223424460480918E-2</v>
      </c>
      <c r="P27" s="481">
        <f t="shared" si="5"/>
        <v>1.4681093525771016E-2</v>
      </c>
      <c r="R27" s="116">
        <f t="shared" si="17"/>
        <v>0.3201</v>
      </c>
      <c r="S27" s="242"/>
      <c r="T27" s="80"/>
      <c r="U27" s="80"/>
      <c r="V27" s="80"/>
      <c r="W27" s="80"/>
      <c r="X27" s="667">
        <f t="shared" si="0"/>
        <v>0.14971957565593424</v>
      </c>
      <c r="Y27" s="668">
        <f t="shared" si="6"/>
        <v>0.54897177740509229</v>
      </c>
      <c r="Z27" s="668">
        <f t="shared" si="1"/>
        <v>2.0033720023454289E-2</v>
      </c>
      <c r="AA27" s="276">
        <f t="shared" si="7"/>
        <v>7.3456973419332397E-2</v>
      </c>
      <c r="AB27" s="275"/>
      <c r="AC27" s="276"/>
      <c r="AD27" s="40"/>
      <c r="AE27" s="40"/>
      <c r="AS27" s="2"/>
      <c r="AT27" s="55"/>
      <c r="AU27" s="2"/>
    </row>
    <row r="28" spans="1:47">
      <c r="A28" s="234">
        <f t="shared" si="14"/>
        <v>13</v>
      </c>
      <c r="B28" s="269">
        <f t="shared" si="8"/>
        <v>24.695945926552145</v>
      </c>
      <c r="C28" s="55">
        <f t="shared" si="9"/>
        <v>0.24953262609322374</v>
      </c>
      <c r="D28" s="44">
        <f t="shared" si="2"/>
        <v>0.29943915131186849</v>
      </c>
      <c r="E28" s="51">
        <f t="shared" si="10"/>
        <v>3.3389533372423813E-2</v>
      </c>
      <c r="F28" s="237">
        <f t="shared" si="3"/>
        <v>4.0067440046908577E-2</v>
      </c>
      <c r="H28" s="116">
        <f t="shared" si="15"/>
        <v>0.34920000000000001</v>
      </c>
      <c r="J28" s="242"/>
      <c r="K28" s="709">
        <f t="shared" si="16"/>
        <v>13</v>
      </c>
      <c r="L28" s="731">
        <f t="shared" si="11"/>
        <v>15.34</v>
      </c>
      <c r="M28" s="111">
        <f t="shared" si="12"/>
        <v>7.7265386950853471E-2</v>
      </c>
      <c r="N28" s="111">
        <f t="shared" si="4"/>
        <v>9.2718464341024168E-2</v>
      </c>
      <c r="O28" s="111">
        <f t="shared" si="13"/>
        <v>1.3819908279865206E-2</v>
      </c>
      <c r="P28" s="481">
        <f t="shared" si="5"/>
        <v>1.6583889935838248E-2</v>
      </c>
      <c r="R28" s="116">
        <f t="shared" si="17"/>
        <v>0.34920000000000001</v>
      </c>
      <c r="S28" s="242"/>
      <c r="T28" s="80"/>
      <c r="U28" s="80"/>
      <c r="V28" s="80"/>
      <c r="W28" s="80"/>
      <c r="X28" s="667">
        <f t="shared" si="0"/>
        <v>0.170121874731061</v>
      </c>
      <c r="Y28" s="668">
        <f t="shared" si="6"/>
        <v>0.62378020734722373</v>
      </c>
      <c r="Z28" s="668">
        <f t="shared" si="1"/>
        <v>2.0402299075126761E-2</v>
      </c>
      <c r="AA28" s="276">
        <f t="shared" si="7"/>
        <v>7.4808429942131452E-2</v>
      </c>
      <c r="AB28" s="275"/>
      <c r="AC28" s="276"/>
      <c r="AD28" s="40"/>
      <c r="AE28" s="40"/>
      <c r="AS28" s="2"/>
      <c r="AT28" s="55"/>
      <c r="AU28" s="2"/>
    </row>
    <row r="29" spans="1:47">
      <c r="A29" s="234">
        <f t="shared" si="14"/>
        <v>14</v>
      </c>
      <c r="B29" s="269">
        <f t="shared" si="8"/>
        <v>26.011226390254841</v>
      </c>
      <c r="C29" s="55">
        <f t="shared" si="9"/>
        <v>0.28353645788510168</v>
      </c>
      <c r="D29" s="44">
        <f t="shared" si="2"/>
        <v>0.34024374946212199</v>
      </c>
      <c r="E29" s="51">
        <f t="shared" si="10"/>
        <v>3.4003831791877936E-2</v>
      </c>
      <c r="F29" s="237">
        <f t="shared" si="3"/>
        <v>4.0804598150253522E-2</v>
      </c>
      <c r="H29" s="116">
        <f t="shared" si="15"/>
        <v>0.37829999999999997</v>
      </c>
      <c r="J29" s="242"/>
      <c r="K29" s="709">
        <f t="shared" si="16"/>
        <v>14</v>
      </c>
      <c r="L29" s="731">
        <f t="shared" si="11"/>
        <v>16.52</v>
      </c>
      <c r="M29" s="111">
        <f t="shared" si="12"/>
        <v>9.2730729083546251E-2</v>
      </c>
      <c r="N29" s="111">
        <f t="shared" si="4"/>
        <v>0.11127687490025549</v>
      </c>
      <c r="O29" s="111">
        <f t="shared" si="13"/>
        <v>1.546534213269278E-2</v>
      </c>
      <c r="P29" s="481">
        <f t="shared" si="5"/>
        <v>1.8558410559231336E-2</v>
      </c>
      <c r="R29" s="116">
        <f t="shared" si="17"/>
        <v>0.37829999999999997</v>
      </c>
      <c r="S29" s="242"/>
      <c r="T29" s="80"/>
      <c r="U29" s="80"/>
      <c r="V29" s="80"/>
      <c r="W29" s="80"/>
      <c r="X29" s="667">
        <f t="shared" si="0"/>
        <v>0.19070196863286162</v>
      </c>
      <c r="Y29" s="668">
        <f t="shared" si="6"/>
        <v>0.69924055165382593</v>
      </c>
      <c r="Z29" s="668">
        <f t="shared" si="1"/>
        <v>2.0580093901800631E-2</v>
      </c>
      <c r="AA29" s="276">
        <f t="shared" si="7"/>
        <v>7.5460344306602312E-2</v>
      </c>
      <c r="AB29" s="275"/>
      <c r="AC29" s="276"/>
      <c r="AD29" s="40"/>
      <c r="AE29" s="40"/>
      <c r="AQ29" s="35"/>
      <c r="AR29" s="35"/>
      <c r="AS29" s="2"/>
      <c r="AT29" s="55"/>
      <c r="AU29" s="2"/>
    </row>
    <row r="30" spans="1:47">
      <c r="A30" s="234">
        <f t="shared" si="14"/>
        <v>15</v>
      </c>
      <c r="B30" s="269">
        <f t="shared" si="8"/>
        <v>27.246142730814924</v>
      </c>
      <c r="C30" s="55">
        <f t="shared" si="9"/>
        <v>0.31783661438810273</v>
      </c>
      <c r="D30" s="44">
        <f t="shared" si="2"/>
        <v>0.38140393726572325</v>
      </c>
      <c r="E30" s="51">
        <f t="shared" si="10"/>
        <v>3.4300156503001056E-2</v>
      </c>
      <c r="F30" s="237">
        <f t="shared" si="3"/>
        <v>4.1160187803601263E-2</v>
      </c>
      <c r="H30" s="116">
        <f t="shared" si="15"/>
        <v>0.40739999999999998</v>
      </c>
      <c r="J30" s="242"/>
      <c r="K30" s="709">
        <f t="shared" si="16"/>
        <v>15</v>
      </c>
      <c r="L30" s="731">
        <f t="shared" si="11"/>
        <v>17.7</v>
      </c>
      <c r="M30" s="111">
        <f t="shared" si="12"/>
        <v>0.10989884555128959</v>
      </c>
      <c r="N30" s="111">
        <f t="shared" si="4"/>
        <v>0.13187861466154752</v>
      </c>
      <c r="O30" s="111">
        <f t="shared" si="13"/>
        <v>1.7168116467743341E-2</v>
      </c>
      <c r="P30" s="481">
        <f t="shared" si="5"/>
        <v>2.0601739761292009E-2</v>
      </c>
      <c r="R30" s="116">
        <f t="shared" si="17"/>
        <v>0.40739999999999998</v>
      </c>
      <c r="S30" s="242"/>
      <c r="T30" s="80"/>
      <c r="U30" s="80"/>
      <c r="V30" s="80"/>
      <c r="W30" s="80"/>
      <c r="X30" s="667">
        <f t="shared" si="0"/>
        <v>0.21129215457879352</v>
      </c>
      <c r="Y30" s="668">
        <f t="shared" si="6"/>
        <v>0.77473790012224297</v>
      </c>
      <c r="Z30" s="668">
        <f t="shared" si="1"/>
        <v>2.0590185945931882E-2</v>
      </c>
      <c r="AA30" s="276">
        <f t="shared" si="7"/>
        <v>7.5497348468416894E-2</v>
      </c>
      <c r="AB30" s="275"/>
      <c r="AC30" s="276"/>
      <c r="AD30" s="40"/>
      <c r="AE30" s="40"/>
      <c r="AQ30" s="35"/>
      <c r="AR30" s="35"/>
      <c r="AS30" s="2"/>
      <c r="AT30" s="55"/>
      <c r="AU30" s="2"/>
    </row>
    <row r="31" spans="1:47">
      <c r="A31" s="234">
        <f t="shared" si="14"/>
        <v>16</v>
      </c>
      <c r="B31" s="269">
        <f t="shared" si="8"/>
        <v>28.404765980137206</v>
      </c>
      <c r="C31" s="55">
        <f t="shared" si="9"/>
        <v>0.35215359096465587</v>
      </c>
      <c r="D31" s="44">
        <f t="shared" si="2"/>
        <v>0.42258430915758705</v>
      </c>
      <c r="E31" s="51">
        <f t="shared" si="10"/>
        <v>3.4316976576553138E-2</v>
      </c>
      <c r="F31" s="237">
        <f t="shared" si="3"/>
        <v>4.1180371891863764E-2</v>
      </c>
      <c r="H31" s="116">
        <f t="shared" si="15"/>
        <v>0.4365</v>
      </c>
      <c r="J31" s="242"/>
      <c r="K31" s="709">
        <f t="shared" si="16"/>
        <v>16</v>
      </c>
      <c r="L31" s="731">
        <f t="shared" si="11"/>
        <v>18.88</v>
      </c>
      <c r="M31" s="111">
        <f t="shared" si="12"/>
        <v>0.12882491003418553</v>
      </c>
      <c r="N31" s="111">
        <f t="shared" si="4"/>
        <v>0.15458989204102264</v>
      </c>
      <c r="O31" s="111">
        <f t="shared" si="13"/>
        <v>1.8926064482895938E-2</v>
      </c>
      <c r="P31" s="481">
        <f t="shared" si="5"/>
        <v>2.2711277379475123E-2</v>
      </c>
      <c r="R31" s="116">
        <f t="shared" si="17"/>
        <v>0.4365</v>
      </c>
      <c r="S31" s="242"/>
      <c r="T31" s="80"/>
      <c r="U31" s="80"/>
      <c r="V31" s="80"/>
      <c r="W31" s="80"/>
      <c r="X31" s="667">
        <f t="shared" si="0"/>
        <v>0.23174717024774788</v>
      </c>
      <c r="Y31" s="668">
        <f t="shared" si="6"/>
        <v>0.84973962424174221</v>
      </c>
      <c r="Z31" s="668">
        <f t="shared" si="1"/>
        <v>2.0455015668954378E-2</v>
      </c>
      <c r="AA31" s="276">
        <f t="shared" si="7"/>
        <v>7.5001724119499388E-2</v>
      </c>
      <c r="AB31" s="275"/>
      <c r="AC31" s="276"/>
      <c r="AD31" s="40"/>
      <c r="AE31" s="40"/>
      <c r="AQ31" s="35"/>
      <c r="AR31" s="35"/>
      <c r="AS31" s="2"/>
      <c r="AT31" s="55"/>
      <c r="AU31" s="2"/>
    </row>
    <row r="32" spans="1:47">
      <c r="A32" s="234">
        <f t="shared" si="14"/>
        <v>17</v>
      </c>
      <c r="B32" s="269">
        <f t="shared" si="8"/>
        <v>29.491129469464585</v>
      </c>
      <c r="C32" s="55">
        <f t="shared" si="9"/>
        <v>0.3862452837462465</v>
      </c>
      <c r="D32" s="44">
        <f t="shared" si="2"/>
        <v>0.46349434049549576</v>
      </c>
      <c r="E32" s="51">
        <f t="shared" si="10"/>
        <v>3.4091692781590632E-2</v>
      </c>
      <c r="F32" s="237">
        <f t="shared" si="3"/>
        <v>4.0910031337908756E-2</v>
      </c>
      <c r="H32" s="116">
        <f t="shared" si="15"/>
        <v>0.46560000000000001</v>
      </c>
      <c r="J32" s="242"/>
      <c r="K32" s="709">
        <f t="shared" si="16"/>
        <v>17</v>
      </c>
      <c r="L32" s="731">
        <f t="shared" si="11"/>
        <v>20.059999999999999</v>
      </c>
      <c r="M32" s="111">
        <f t="shared" si="12"/>
        <v>0.14956214839403933</v>
      </c>
      <c r="N32" s="111">
        <f t="shared" si="4"/>
        <v>0.1794745780728472</v>
      </c>
      <c r="O32" s="111">
        <f t="shared" si="13"/>
        <v>2.0737238359853805E-2</v>
      </c>
      <c r="P32" s="481">
        <f t="shared" si="5"/>
        <v>2.4884686031824563E-2</v>
      </c>
      <c r="R32" s="116">
        <f t="shared" si="17"/>
        <v>0.46560000000000001</v>
      </c>
      <c r="S32" s="242"/>
      <c r="T32" s="80"/>
      <c r="U32" s="80"/>
      <c r="V32" s="80"/>
      <c r="W32" s="80"/>
      <c r="X32" s="667">
        <f t="shared" si="0"/>
        <v>0.25194302857775619</v>
      </c>
      <c r="Y32" s="668">
        <f t="shared" si="6"/>
        <v>0.92379110478510607</v>
      </c>
      <c r="Z32" s="668">
        <f t="shared" si="1"/>
        <v>2.0195858330008275E-2</v>
      </c>
      <c r="AA32" s="276">
        <f t="shared" si="7"/>
        <v>7.4051480543363676E-2</v>
      </c>
      <c r="AB32" s="275"/>
      <c r="AC32" s="276"/>
      <c r="AD32" s="40"/>
      <c r="AE32" s="40"/>
      <c r="AQ32" s="35"/>
      <c r="AR32" s="35"/>
      <c r="AS32" s="2"/>
      <c r="AT32" s="55"/>
      <c r="AU32" s="2"/>
    </row>
    <row r="33" spans="1:50">
      <c r="A33" s="234">
        <f t="shared" si="14"/>
        <v>18</v>
      </c>
      <c r="B33" s="269">
        <f t="shared" si="8"/>
        <v>30.509184823901808</v>
      </c>
      <c r="C33" s="55">
        <f t="shared" si="9"/>
        <v>0.41990504762959363</v>
      </c>
      <c r="D33" s="44">
        <f t="shared" si="2"/>
        <v>0.50388605715551238</v>
      </c>
      <c r="E33" s="51">
        <f t="shared" si="10"/>
        <v>3.3659763883347127E-2</v>
      </c>
      <c r="F33" s="237">
        <f t="shared" si="3"/>
        <v>4.0391716660016549E-2</v>
      </c>
      <c r="H33" s="116">
        <f t="shared" si="15"/>
        <v>0.49470000000000003</v>
      </c>
      <c r="J33" s="242"/>
      <c r="K33" s="709">
        <f t="shared" si="16"/>
        <v>18</v>
      </c>
      <c r="L33" s="731">
        <f t="shared" si="11"/>
        <v>21.24</v>
      </c>
      <c r="M33" s="111">
        <f t="shared" si="12"/>
        <v>0.17216202335152991</v>
      </c>
      <c r="N33" s="111">
        <f t="shared" si="4"/>
        <v>0.20659442802183589</v>
      </c>
      <c r="O33" s="111">
        <f t="shared" si="13"/>
        <v>2.2599874957490579E-2</v>
      </c>
      <c r="P33" s="481">
        <f t="shared" si="5"/>
        <v>2.7119849948988695E-2</v>
      </c>
      <c r="R33" s="116">
        <f t="shared" si="17"/>
        <v>0.49470000000000003</v>
      </c>
      <c r="S33" s="242"/>
      <c r="T33" s="80"/>
      <c r="U33" s="80"/>
      <c r="V33" s="80"/>
      <c r="W33" s="80"/>
      <c r="X33" s="667">
        <f t="shared" si="0"/>
        <v>0.27177552901499386</v>
      </c>
      <c r="Y33" s="668">
        <f t="shared" si="6"/>
        <v>0.99651027305497752</v>
      </c>
      <c r="Z33" s="668">
        <f t="shared" si="1"/>
        <v>1.9832500437237676E-2</v>
      </c>
      <c r="AA33" s="276">
        <f t="shared" si="7"/>
        <v>7.2719168269871473E-2</v>
      </c>
      <c r="AB33" s="275"/>
      <c r="AC33" s="276"/>
      <c r="AD33" s="40"/>
      <c r="AE33" s="40"/>
      <c r="AQ33" s="35"/>
      <c r="AR33" s="35"/>
      <c r="AS33" s="2"/>
      <c r="AT33" s="55"/>
      <c r="AU33" s="2"/>
    </row>
    <row r="34" spans="1:50">
      <c r="A34" s="234">
        <f t="shared" si="14"/>
        <v>19</v>
      </c>
      <c r="B34" s="269">
        <f t="shared" si="8"/>
        <v>31.462771365171765</v>
      </c>
      <c r="C34" s="55">
        <f t="shared" si="9"/>
        <v>0.45295921502498976</v>
      </c>
      <c r="D34" s="44">
        <f t="shared" si="2"/>
        <v>0.54355105802998771</v>
      </c>
      <c r="E34" s="51">
        <f t="shared" si="10"/>
        <v>3.3054167395396128E-2</v>
      </c>
      <c r="F34" s="237">
        <f t="shared" si="3"/>
        <v>3.9665000874475352E-2</v>
      </c>
      <c r="H34" s="116">
        <f t="shared" si="15"/>
        <v>0.52380000000000004</v>
      </c>
      <c r="J34" s="242"/>
      <c r="K34" s="709">
        <f t="shared" si="16"/>
        <v>19</v>
      </c>
      <c r="L34" s="731">
        <f t="shared" si="11"/>
        <v>22.419999999999998</v>
      </c>
      <c r="M34" s="111">
        <f t="shared" si="12"/>
        <v>0.19667439192026534</v>
      </c>
      <c r="N34" s="111">
        <f t="shared" si="4"/>
        <v>0.2360092703043184</v>
      </c>
      <c r="O34" s="111">
        <f t="shared" si="13"/>
        <v>2.4512368568735426E-2</v>
      </c>
      <c r="P34" s="481">
        <f t="shared" si="5"/>
        <v>2.941484228248251E-2</v>
      </c>
      <c r="R34" s="116">
        <f t="shared" si="17"/>
        <v>0.52380000000000004</v>
      </c>
      <c r="S34" s="242"/>
      <c r="T34" s="80"/>
      <c r="U34" s="80"/>
      <c r="V34" s="80"/>
      <c r="W34" s="80"/>
      <c r="X34" s="667">
        <f t="shared" si="0"/>
        <v>0.29115859151086282</v>
      </c>
      <c r="Y34" s="668">
        <f t="shared" si="6"/>
        <v>1.0675815022064969</v>
      </c>
      <c r="Z34" s="668">
        <f t="shared" si="1"/>
        <v>1.9383062495868995E-2</v>
      </c>
      <c r="AA34" s="276">
        <f t="shared" si="7"/>
        <v>7.1071229151519644E-2</v>
      </c>
      <c r="AB34" s="275"/>
      <c r="AC34" s="276"/>
      <c r="AD34" s="40"/>
      <c r="AE34" s="40"/>
      <c r="AQ34" s="35"/>
      <c r="AR34" s="35"/>
      <c r="AS34" s="2"/>
      <c r="AT34" s="55"/>
      <c r="AU34" s="2"/>
    </row>
    <row r="35" spans="1:50">
      <c r="A35" s="234">
        <f t="shared" si="14"/>
        <v>20</v>
      </c>
      <c r="B35" s="269">
        <f t="shared" si="8"/>
        <v>32.355595335564232</v>
      </c>
      <c r="C35" s="55">
        <f t="shared" si="9"/>
        <v>0.48526431918477142</v>
      </c>
      <c r="D35" s="44">
        <f t="shared" si="2"/>
        <v>0.58231718302172564</v>
      </c>
      <c r="E35" s="51">
        <f t="shared" si="10"/>
        <v>3.2305104159781661E-2</v>
      </c>
      <c r="F35" s="237">
        <f t="shared" si="3"/>
        <v>3.8766124991737989E-2</v>
      </c>
      <c r="H35" s="116">
        <f t="shared" si="15"/>
        <v>0.55290000000000006</v>
      </c>
      <c r="J35" s="242"/>
      <c r="K35" s="709">
        <f t="shared" si="16"/>
        <v>20</v>
      </c>
      <c r="L35" s="731">
        <f t="shared" si="11"/>
        <v>23.599999999999998</v>
      </c>
      <c r="M35" s="111">
        <f t="shared" si="12"/>
        <v>0.22314764089690181</v>
      </c>
      <c r="N35" s="111">
        <f t="shared" si="4"/>
        <v>0.26777716907628218</v>
      </c>
      <c r="O35" s="111">
        <f t="shared" si="13"/>
        <v>2.6473248976636471E-2</v>
      </c>
      <c r="P35" s="481">
        <f t="shared" si="5"/>
        <v>3.1767898771963766E-2</v>
      </c>
      <c r="R35" s="116">
        <f t="shared" si="17"/>
        <v>0.55290000000000006</v>
      </c>
      <c r="S35" s="242"/>
      <c r="T35" s="80"/>
      <c r="U35" s="80"/>
      <c r="V35" s="80"/>
      <c r="W35" s="80"/>
      <c r="X35" s="667">
        <f t="shared" si="0"/>
        <v>0.31002251848057372</v>
      </c>
      <c r="Y35" s="668">
        <f t="shared" si="6"/>
        <v>1.1367492344287704</v>
      </c>
      <c r="Z35" s="668">
        <f t="shared" si="1"/>
        <v>1.8863926969710863E-2</v>
      </c>
      <c r="AA35" s="276">
        <f t="shared" si="7"/>
        <v>6.9167732222273168E-2</v>
      </c>
      <c r="AB35" s="275"/>
      <c r="AC35" s="276"/>
      <c r="AD35" s="40"/>
      <c r="AE35" s="40"/>
      <c r="AS35" s="2"/>
      <c r="AT35" s="55"/>
      <c r="AU35" s="2"/>
    </row>
    <row r="36" spans="1:50">
      <c r="A36" s="234">
        <f t="shared" si="14"/>
        <v>21</v>
      </c>
      <c r="B36" s="269">
        <f t="shared" si="8"/>
        <v>33.191216379761066</v>
      </c>
      <c r="C36" s="55">
        <f t="shared" si="9"/>
        <v>0.51670419746762286</v>
      </c>
      <c r="D36" s="44">
        <f t="shared" si="2"/>
        <v>0.62004503696114743</v>
      </c>
      <c r="E36" s="51">
        <f t="shared" si="10"/>
        <v>3.1439878282851441E-2</v>
      </c>
      <c r="F36" s="237">
        <f t="shared" si="3"/>
        <v>3.7727853939421727E-2</v>
      </c>
      <c r="H36" s="116">
        <f t="shared" si="15"/>
        <v>0.58199999999999996</v>
      </c>
      <c r="J36" s="242"/>
      <c r="K36" s="709">
        <f t="shared" si="16"/>
        <v>21</v>
      </c>
      <c r="L36" s="731">
        <f t="shared" si="11"/>
        <v>24.779999999999998</v>
      </c>
      <c r="M36" s="111">
        <f t="shared" si="12"/>
        <v>0.251628804452319</v>
      </c>
      <c r="N36" s="111">
        <f t="shared" si="4"/>
        <v>0.30195456534278281</v>
      </c>
      <c r="O36" s="111">
        <f t="shared" si="13"/>
        <v>2.8481163555417188E-2</v>
      </c>
      <c r="P36" s="481">
        <f t="shared" si="5"/>
        <v>3.4177396266500626E-2</v>
      </c>
      <c r="R36" s="116">
        <f t="shared" si="17"/>
        <v>0.58199999999999996</v>
      </c>
      <c r="S36" s="242"/>
      <c r="T36" s="80"/>
      <c r="U36" s="80"/>
      <c r="V36" s="80"/>
      <c r="W36" s="80"/>
      <c r="X36" s="667">
        <f t="shared" si="0"/>
        <v>0.32831225895704147</v>
      </c>
      <c r="Y36" s="668">
        <f t="shared" si="6"/>
        <v>1.2038116161758188</v>
      </c>
      <c r="Z36" s="668">
        <f t="shared" si="1"/>
        <v>1.8289740476467784E-2</v>
      </c>
      <c r="AA36" s="276">
        <f t="shared" si="7"/>
        <v>6.7062381747048538E-2</v>
      </c>
      <c r="AB36" s="275"/>
      <c r="AC36" s="276"/>
      <c r="AD36" s="40"/>
      <c r="AE36" s="40"/>
      <c r="AS36" s="2"/>
      <c r="AT36" s="55"/>
      <c r="AU36" s="2"/>
    </row>
    <row r="37" spans="1:50">
      <c r="A37" s="234">
        <f t="shared" si="14"/>
        <v>22</v>
      </c>
      <c r="B37" s="269">
        <f t="shared" si="8"/>
        <v>33.973039421828602</v>
      </c>
      <c r="C37" s="55">
        <f t="shared" si="9"/>
        <v>0.54718709826173584</v>
      </c>
      <c r="D37" s="44">
        <f t="shared" si="2"/>
        <v>0.65662451791408294</v>
      </c>
      <c r="E37" s="51">
        <f t="shared" si="10"/>
        <v>3.0482900794112977E-2</v>
      </c>
      <c r="F37" s="237">
        <f t="shared" si="3"/>
        <v>3.6579480952935568E-2</v>
      </c>
      <c r="H37" s="116">
        <f t="shared" si="15"/>
        <v>0.61109999999999998</v>
      </c>
      <c r="J37" s="242"/>
      <c r="K37" s="709">
        <f t="shared" si="16"/>
        <v>22</v>
      </c>
      <c r="L37" s="731">
        <f t="shared" si="11"/>
        <v>25.959999999999997</v>
      </c>
      <c r="M37" s="111">
        <f t="shared" si="12"/>
        <v>0.28216366695918399</v>
      </c>
      <c r="N37" s="111">
        <f t="shared" si="4"/>
        <v>0.33859640035102079</v>
      </c>
      <c r="O37" s="111">
        <f t="shared" si="13"/>
        <v>3.053486250686499E-2</v>
      </c>
      <c r="P37" s="481">
        <f t="shared" si="5"/>
        <v>3.6641835008237984E-2</v>
      </c>
      <c r="R37" s="116">
        <f t="shared" si="17"/>
        <v>0.61109999999999998</v>
      </c>
      <c r="S37" s="242"/>
      <c r="T37" s="80"/>
      <c r="U37" s="80"/>
      <c r="V37" s="80"/>
      <c r="W37" s="80"/>
      <c r="X37" s="667">
        <f t="shared" si="0"/>
        <v>0.34598572590095544</v>
      </c>
      <c r="Y37" s="668">
        <f t="shared" si="6"/>
        <v>1.2686143283035032</v>
      </c>
      <c r="Z37" s="668">
        <f t="shared" si="1"/>
        <v>1.7673466943913939E-2</v>
      </c>
      <c r="AA37" s="276">
        <f t="shared" si="7"/>
        <v>6.4802712127684445E-2</v>
      </c>
      <c r="AB37" s="275"/>
      <c r="AC37" s="276"/>
      <c r="AD37" s="40"/>
      <c r="AE37" s="40"/>
      <c r="AS37" s="2"/>
      <c r="AT37" s="55"/>
      <c r="AU37" s="2"/>
    </row>
    <row r="38" spans="1:50">
      <c r="A38" s="234">
        <f t="shared" si="14"/>
        <v>23</v>
      </c>
      <c r="B38" s="269">
        <f t="shared" si="8"/>
        <v>34.704310564469083</v>
      </c>
      <c r="C38" s="55">
        <f t="shared" si="9"/>
        <v>0.57664287650159241</v>
      </c>
      <c r="D38" s="44">
        <f t="shared" si="2"/>
        <v>0.69197145180191089</v>
      </c>
      <c r="E38" s="51">
        <f t="shared" si="10"/>
        <v>2.9455778239856567E-2</v>
      </c>
      <c r="F38" s="237">
        <f t="shared" si="3"/>
        <v>3.5346933887827878E-2</v>
      </c>
      <c r="H38" s="116">
        <f t="shared" si="15"/>
        <v>0.64019999999999999</v>
      </c>
      <c r="J38" s="242"/>
      <c r="K38" s="709">
        <f t="shared" si="16"/>
        <v>23</v>
      </c>
      <c r="L38" s="731">
        <f t="shared" si="11"/>
        <v>27.139999999999997</v>
      </c>
      <c r="M38" s="111">
        <f t="shared" si="12"/>
        <v>0.31479685351959463</v>
      </c>
      <c r="N38" s="111">
        <f t="shared" si="4"/>
        <v>0.37775622422351357</v>
      </c>
      <c r="O38" s="111">
        <f t="shared" si="13"/>
        <v>3.2633186560410643E-2</v>
      </c>
      <c r="P38" s="481">
        <f t="shared" si="5"/>
        <v>3.9159823872492769E-2</v>
      </c>
      <c r="R38" s="116">
        <f t="shared" si="17"/>
        <v>0.64019999999999999</v>
      </c>
      <c r="S38" s="242"/>
      <c r="T38" s="80"/>
      <c r="U38" s="80"/>
      <c r="V38" s="80"/>
      <c r="W38" s="80"/>
      <c r="X38" s="667">
        <f t="shared" si="0"/>
        <v>0.36301220024374525</v>
      </c>
      <c r="Y38" s="668">
        <f t="shared" si="6"/>
        <v>1.3310447342270659</v>
      </c>
      <c r="Z38" s="668">
        <f t="shared" si="1"/>
        <v>1.702647434278981E-2</v>
      </c>
      <c r="AA38" s="276">
        <f t="shared" si="7"/>
        <v>6.2430405923562637E-2</v>
      </c>
      <c r="AB38" s="275"/>
      <c r="AC38" s="276"/>
      <c r="AD38" s="40"/>
      <c r="AE38" s="40"/>
      <c r="AS38" s="2"/>
      <c r="AT38" s="55"/>
      <c r="AU38" s="2"/>
    </row>
    <row r="39" spans="1:50">
      <c r="A39" s="234">
        <f t="shared" si="14"/>
        <v>24</v>
      </c>
      <c r="B39" s="269">
        <f t="shared" si="8"/>
        <v>35.38811598651025</v>
      </c>
      <c r="C39" s="55">
        <f t="shared" si="9"/>
        <v>0.60502033373957542</v>
      </c>
      <c r="D39" s="44">
        <f t="shared" si="2"/>
        <v>0.72602440048749051</v>
      </c>
      <c r="E39" s="51">
        <f t="shared" si="10"/>
        <v>2.8377457237983017E-2</v>
      </c>
      <c r="F39" s="237">
        <f t="shared" si="3"/>
        <v>3.405294868557962E-2</v>
      </c>
      <c r="H39" s="116">
        <f t="shared" si="15"/>
        <v>0.66930000000000001</v>
      </c>
      <c r="J39" s="242"/>
      <c r="K39" s="709">
        <f t="shared" si="16"/>
        <v>24</v>
      </c>
      <c r="L39" s="731">
        <f t="shared" si="11"/>
        <v>28.32</v>
      </c>
      <c r="M39" s="111">
        <f t="shared" si="12"/>
        <v>0.34957191015261285</v>
      </c>
      <c r="N39" s="111">
        <f t="shared" si="4"/>
        <v>0.41948629218313543</v>
      </c>
      <c r="O39" s="111">
        <f t="shared" si="13"/>
        <v>3.477505663301822E-2</v>
      </c>
      <c r="P39" s="481">
        <f t="shared" si="5"/>
        <v>4.1730067959621864E-2</v>
      </c>
      <c r="R39" s="116">
        <f t="shared" si="17"/>
        <v>0.66930000000000001</v>
      </c>
      <c r="S39" s="242"/>
      <c r="T39" s="80"/>
      <c r="U39" s="80"/>
      <c r="V39" s="80"/>
      <c r="W39" s="80"/>
      <c r="X39" s="667">
        <f t="shared" si="0"/>
        <v>0.37937084235710916</v>
      </c>
      <c r="Y39" s="668">
        <f t="shared" si="6"/>
        <v>1.3910264219760669</v>
      </c>
      <c r="Z39" s="668">
        <f t="shared" si="1"/>
        <v>1.6358642113363929E-2</v>
      </c>
      <c r="AA39" s="276">
        <f t="shared" si="7"/>
        <v>5.9981687749001068E-2</v>
      </c>
      <c r="AB39" s="275"/>
      <c r="AC39" s="276"/>
      <c r="AD39" s="40"/>
      <c r="AE39" s="40"/>
      <c r="AS39" s="2"/>
      <c r="AT39" s="55"/>
      <c r="AU39" s="2"/>
    </row>
    <row r="40" spans="1:50">
      <c r="A40" s="234">
        <f t="shared" si="14"/>
        <v>25</v>
      </c>
      <c r="B40" s="269">
        <f t="shared" si="8"/>
        <v>36.027383067244656</v>
      </c>
      <c r="C40" s="55">
        <f t="shared" si="9"/>
        <v>0.63228473726184864</v>
      </c>
      <c r="D40" s="44">
        <f t="shared" si="2"/>
        <v>0.75874168471421832</v>
      </c>
      <c r="E40" s="51">
        <f t="shared" si="10"/>
        <v>2.7264403522273217E-2</v>
      </c>
      <c r="F40" s="237">
        <f t="shared" si="3"/>
        <v>3.2717284226727858E-2</v>
      </c>
      <c r="H40" s="116">
        <f t="shared" si="15"/>
        <v>0.69840000000000002</v>
      </c>
      <c r="J40" s="242"/>
      <c r="K40" s="709">
        <f t="shared" si="16"/>
        <v>25</v>
      </c>
      <c r="L40" s="731">
        <f t="shared" si="11"/>
        <v>29.5</v>
      </c>
      <c r="M40" s="111">
        <f t="shared" si="12"/>
        <v>0.38653137521802933</v>
      </c>
      <c r="N40" s="111">
        <f t="shared" si="4"/>
        <v>0.46383765026163515</v>
      </c>
      <c r="O40" s="111">
        <f t="shared" si="13"/>
        <v>3.6959465065416475E-2</v>
      </c>
      <c r="P40" s="481">
        <f t="shared" si="5"/>
        <v>4.435135807849977E-2</v>
      </c>
      <c r="R40" s="116">
        <f t="shared" si="17"/>
        <v>0.69840000000000002</v>
      </c>
      <c r="S40" s="242"/>
      <c r="T40" s="80"/>
      <c r="U40" s="80"/>
      <c r="V40" s="80"/>
      <c r="W40" s="80"/>
      <c r="X40" s="667">
        <f t="shared" si="0"/>
        <v>0.39504932219697686</v>
      </c>
      <c r="Y40" s="668">
        <f t="shared" si="6"/>
        <v>1.4485141813889151</v>
      </c>
      <c r="Z40" s="668">
        <f t="shared" si="1"/>
        <v>1.5678479839867698E-2</v>
      </c>
      <c r="AA40" s="276">
        <f t="shared" si="7"/>
        <v>5.7487759412848227E-2</v>
      </c>
      <c r="AB40" s="275"/>
      <c r="AC40" s="276"/>
      <c r="AD40" s="40"/>
      <c r="AE40" s="40"/>
      <c r="AS40" s="2"/>
      <c r="AT40" s="55"/>
      <c r="AU40" s="2"/>
    </row>
    <row r="41" spans="1:50">
      <c r="A41" s="234">
        <f t="shared" si="14"/>
        <v>26</v>
      </c>
      <c r="B41" s="269">
        <f t="shared" si="8"/>
        <v>36.624883151828648</v>
      </c>
      <c r="C41" s="55">
        <f t="shared" si="9"/>
        <v>0.65841553699496147</v>
      </c>
      <c r="D41" s="44">
        <f t="shared" si="2"/>
        <v>0.79009864439395372</v>
      </c>
      <c r="E41" s="51">
        <f t="shared" si="10"/>
        <v>2.6130799733112831E-2</v>
      </c>
      <c r="F41" s="237">
        <f t="shared" si="3"/>
        <v>3.1356959679735397E-2</v>
      </c>
      <c r="H41" s="116">
        <f t="shared" si="15"/>
        <v>0.72750000000000004</v>
      </c>
      <c r="J41" s="242"/>
      <c r="K41" s="709">
        <f t="shared" si="16"/>
        <v>26</v>
      </c>
      <c r="L41" s="731">
        <f t="shared" si="11"/>
        <v>30.68</v>
      </c>
      <c r="M41" s="111">
        <f t="shared" si="12"/>
        <v>0.42571684335705701</v>
      </c>
      <c r="N41" s="111">
        <f t="shared" si="4"/>
        <v>0.51086021202846843</v>
      </c>
      <c r="O41" s="111">
        <f t="shared" si="13"/>
        <v>3.9185468139027679E-2</v>
      </c>
      <c r="P41" s="481">
        <f t="shared" si="5"/>
        <v>4.7022561766833212E-2</v>
      </c>
      <c r="R41" s="116">
        <f t="shared" si="17"/>
        <v>0.72750000000000004</v>
      </c>
      <c r="S41" s="242"/>
      <c r="T41" s="80"/>
      <c r="U41" s="80"/>
      <c r="V41" s="80"/>
      <c r="W41" s="80"/>
      <c r="X41" s="667">
        <f t="shared" si="0"/>
        <v>0.4100425725429484</v>
      </c>
      <c r="Y41" s="668">
        <f t="shared" si="6"/>
        <v>1.5034894326574773</v>
      </c>
      <c r="Z41" s="668">
        <f t="shared" si="1"/>
        <v>1.499325034597152E-2</v>
      </c>
      <c r="AA41" s="276">
        <f t="shared" si="7"/>
        <v>5.4975251268562238E-2</v>
      </c>
      <c r="AB41" s="275"/>
      <c r="AC41" s="276"/>
      <c r="AD41" s="40"/>
      <c r="AE41" s="40"/>
      <c r="AS41" s="2"/>
      <c r="AT41" s="55"/>
      <c r="AU41" s="2"/>
    </row>
    <row r="42" spans="1:50">
      <c r="A42" s="234">
        <f t="shared" si="14"/>
        <v>27</v>
      </c>
      <c r="B42" s="269">
        <f t="shared" si="8"/>
        <v>37.183235510050736</v>
      </c>
      <c r="C42" s="55">
        <f t="shared" si="9"/>
        <v>0.68340428757158067</v>
      </c>
      <c r="D42" s="44">
        <f t="shared" si="2"/>
        <v>0.82008514508589681</v>
      </c>
      <c r="E42" s="51">
        <f t="shared" si="10"/>
        <v>2.4988750576619201E-2</v>
      </c>
      <c r="F42" s="237">
        <f t="shared" si="3"/>
        <v>2.998650069194304E-2</v>
      </c>
      <c r="H42" s="116">
        <f t="shared" si="15"/>
        <v>0.75660000000000005</v>
      </c>
      <c r="J42" s="242"/>
      <c r="K42" s="709">
        <f t="shared" si="16"/>
        <v>27</v>
      </c>
      <c r="L42" s="731">
        <f t="shared" si="11"/>
        <v>31.86</v>
      </c>
      <c r="M42" s="111">
        <f t="shared" si="12"/>
        <v>0.46716902299999763</v>
      </c>
      <c r="N42" s="111">
        <f t="shared" si="4"/>
        <v>0.56060282759999713</v>
      </c>
      <c r="O42" s="111">
        <f t="shared" si="13"/>
        <v>4.1452179642940623E-2</v>
      </c>
      <c r="P42" s="481">
        <f t="shared" si="5"/>
        <v>4.9742615571528745E-2</v>
      </c>
      <c r="R42" s="116">
        <f t="shared" si="17"/>
        <v>0.75660000000000005</v>
      </c>
      <c r="S42" s="242"/>
      <c r="T42" s="80"/>
      <c r="U42" s="80"/>
      <c r="V42" s="80"/>
      <c r="W42" s="80"/>
      <c r="X42" s="667">
        <f t="shared" si="0"/>
        <v>0.42435166491615822</v>
      </c>
      <c r="Y42" s="668">
        <f t="shared" si="6"/>
        <v>1.5559561046925801</v>
      </c>
      <c r="Z42" s="668">
        <f t="shared" si="1"/>
        <v>1.430909237320983E-2</v>
      </c>
      <c r="AA42" s="276">
        <f t="shared" si="7"/>
        <v>5.2466672035102711E-2</v>
      </c>
      <c r="AB42" s="275"/>
      <c r="AC42" s="276"/>
      <c r="AD42" s="40"/>
      <c r="AE42" s="40"/>
      <c r="AS42" s="2"/>
      <c r="AT42" s="55"/>
      <c r="AU42" s="2"/>
    </row>
    <row r="43" spans="1:50">
      <c r="A43" s="234">
        <f t="shared" si="14"/>
        <v>28</v>
      </c>
      <c r="B43" s="269">
        <f t="shared" si="8"/>
        <v>37.704912144689018</v>
      </c>
      <c r="C43" s="55">
        <f t="shared" si="9"/>
        <v>0.70725277486026372</v>
      </c>
      <c r="D43" s="44">
        <f t="shared" si="2"/>
        <v>0.84870332983231644</v>
      </c>
      <c r="E43" s="51">
        <f t="shared" si="10"/>
        <v>2.3848487288683051E-2</v>
      </c>
      <c r="F43" s="237">
        <f t="shared" si="3"/>
        <v>2.861818474641966E-2</v>
      </c>
      <c r="H43" s="116">
        <f t="shared" si="15"/>
        <v>0.78569999999999995</v>
      </c>
      <c r="J43" s="242"/>
      <c r="K43" s="709">
        <f t="shared" si="16"/>
        <v>28</v>
      </c>
      <c r="L43" s="731">
        <f t="shared" si="11"/>
        <v>33.04</v>
      </c>
      <c r="M43" s="111">
        <f t="shared" si="12"/>
        <v>0.51092778830909069</v>
      </c>
      <c r="N43" s="111">
        <f t="shared" si="4"/>
        <v>0.61311334597090883</v>
      </c>
      <c r="O43" s="111">
        <f t="shared" si="13"/>
        <v>4.3758765309093062E-2</v>
      </c>
      <c r="P43" s="481">
        <f t="shared" si="5"/>
        <v>5.2510518370911675E-2</v>
      </c>
      <c r="R43" s="116">
        <f t="shared" si="17"/>
        <v>0.78569999999999995</v>
      </c>
      <c r="S43" s="242"/>
      <c r="T43" s="80"/>
      <c r="U43" s="80"/>
      <c r="V43" s="80"/>
      <c r="W43" s="80"/>
      <c r="X43" s="667">
        <f t="shared" si="0"/>
        <v>0.43798280442319709</v>
      </c>
      <c r="Y43" s="668">
        <f t="shared" si="6"/>
        <v>1.6059369495517226</v>
      </c>
      <c r="Z43" s="668">
        <f t="shared" si="1"/>
        <v>1.3631139507038892E-2</v>
      </c>
      <c r="AA43" s="276">
        <f t="shared" si="7"/>
        <v>4.9980844859142608E-2</v>
      </c>
      <c r="AB43" s="275"/>
      <c r="AC43" s="276"/>
      <c r="AD43" s="40"/>
      <c r="AE43" s="40"/>
      <c r="AS43" s="2"/>
      <c r="AT43" s="55"/>
      <c r="AU43" s="2"/>
    </row>
    <row r="44" spans="1:50">
      <c r="A44" s="234">
        <f t="shared" si="14"/>
        <v>29</v>
      </c>
      <c r="B44" s="269">
        <f t="shared" si="8"/>
        <v>38.192243184632318</v>
      </c>
      <c r="C44" s="55">
        <f t="shared" si="9"/>
        <v>0.72997134070532854</v>
      </c>
      <c r="D44" s="44">
        <f t="shared" si="2"/>
        <v>0.87596560884639418</v>
      </c>
      <c r="E44" s="51">
        <f t="shared" si="10"/>
        <v>2.271856584506482E-2</v>
      </c>
      <c r="F44" s="237">
        <f t="shared" si="3"/>
        <v>2.7262279014077784E-2</v>
      </c>
      <c r="H44" s="116">
        <f t="shared" si="15"/>
        <v>0.81479999999999997</v>
      </c>
      <c r="J44" s="242"/>
      <c r="K44" s="709">
        <f t="shared" si="16"/>
        <v>29</v>
      </c>
      <c r="L44" s="731">
        <f t="shared" si="11"/>
        <v>34.22</v>
      </c>
      <c r="M44" s="111">
        <f t="shared" si="12"/>
        <v>0.55703222627991278</v>
      </c>
      <c r="N44" s="111">
        <f t="shared" si="4"/>
        <v>0.66843867153589531</v>
      </c>
      <c r="O44" s="111">
        <f t="shared" si="13"/>
        <v>4.6104437970822088E-2</v>
      </c>
      <c r="P44" s="481">
        <f t="shared" si="5"/>
        <v>5.5325325564986504E-2</v>
      </c>
      <c r="R44" s="116">
        <f t="shared" si="17"/>
        <v>0.81479999999999997</v>
      </c>
      <c r="S44" s="242"/>
      <c r="T44" s="80"/>
      <c r="U44" s="80"/>
      <c r="V44" s="80"/>
      <c r="W44" s="80"/>
      <c r="X44" s="667">
        <f t="shared" si="0"/>
        <v>0.45094643756672892</v>
      </c>
      <c r="Y44" s="668">
        <f t="shared" si="6"/>
        <v>1.653470271078006</v>
      </c>
      <c r="Z44" s="668">
        <f t="shared" si="1"/>
        <v>1.2963633143531795E-2</v>
      </c>
      <c r="AA44" s="276">
        <f t="shared" si="7"/>
        <v>4.753332152628325E-2</v>
      </c>
      <c r="AB44" s="275"/>
      <c r="AC44" s="276"/>
      <c r="AD44" s="40"/>
      <c r="AE44" s="40"/>
      <c r="AS44" s="2"/>
      <c r="AT44" s="55"/>
      <c r="AU44" s="2"/>
    </row>
    <row r="45" spans="1:50" ht="15">
      <c r="A45" s="234">
        <f t="shared" si="14"/>
        <v>30</v>
      </c>
      <c r="B45" s="269">
        <f t="shared" si="8"/>
        <v>38.647422658444889</v>
      </c>
      <c r="C45" s="55">
        <f t="shared" si="9"/>
        <v>0.7515773959445482</v>
      </c>
      <c r="D45" s="44">
        <f t="shared" si="2"/>
        <v>0.90189287513345784</v>
      </c>
      <c r="E45" s="51">
        <f t="shared" si="10"/>
        <v>2.1606055239219657E-2</v>
      </c>
      <c r="F45" s="237">
        <f t="shared" si="3"/>
        <v>2.5927266287063589E-2</v>
      </c>
      <c r="H45" s="81">
        <f>E9*A45</f>
        <v>0.87279955658076536</v>
      </c>
      <c r="J45" s="244"/>
      <c r="K45" s="709">
        <f t="shared" si="16"/>
        <v>30</v>
      </c>
      <c r="L45" s="731">
        <f t="shared" si="11"/>
        <v>35.4</v>
      </c>
      <c r="M45" s="111">
        <f t="shared" si="12"/>
        <v>0.60552067960830835</v>
      </c>
      <c r="N45" s="111">
        <f t="shared" si="4"/>
        <v>0.72662481552997005</v>
      </c>
      <c r="O45" s="111">
        <f t="shared" si="13"/>
        <v>4.8488453328395575E-2</v>
      </c>
      <c r="P45" s="481">
        <f t="shared" si="5"/>
        <v>5.8186143994074686E-2</v>
      </c>
      <c r="R45" s="81">
        <f>O9*K45</f>
        <v>0.70318530535158386</v>
      </c>
      <c r="S45" s="244"/>
      <c r="T45" s="667"/>
      <c r="U45" s="667"/>
      <c r="V45" s="667"/>
      <c r="W45" s="667"/>
      <c r="X45" s="667"/>
      <c r="Y45" s="80"/>
      <c r="Z45" s="671"/>
      <c r="AA45" s="279" t="s">
        <v>630</v>
      </c>
      <c r="AB45" s="275">
        <f>SUM(AB14:AB44)</f>
        <v>0</v>
      </c>
      <c r="AC45" s="270"/>
      <c r="AH45" s="36"/>
      <c r="AI45" s="36"/>
      <c r="AJ45" s="36"/>
      <c r="AK45" s="36"/>
      <c r="AL45" s="35"/>
      <c r="AM45" s="35"/>
      <c r="AO45" s="35"/>
      <c r="AP45" s="35"/>
      <c r="AR45" s="35"/>
      <c r="AV45" s="2"/>
      <c r="AW45" s="2"/>
      <c r="AX45" s="2"/>
    </row>
    <row r="46" spans="1:50">
      <c r="A46" s="29"/>
      <c r="B46" s="36"/>
      <c r="C46" s="36"/>
      <c r="E46" s="36"/>
      <c r="F46" s="36"/>
      <c r="G46" s="36"/>
      <c r="H46" s="111"/>
      <c r="I46" s="111"/>
      <c r="J46" s="242"/>
      <c r="K46" s="726"/>
      <c r="L46" s="725"/>
      <c r="M46" s="111"/>
      <c r="O46" s="111"/>
      <c r="P46" s="111"/>
      <c r="Q46" s="111"/>
      <c r="R46" s="111"/>
      <c r="S46" s="242"/>
      <c r="T46" s="80"/>
      <c r="U46" s="80"/>
      <c r="V46" s="80"/>
      <c r="W46" s="80"/>
      <c r="X46" s="80"/>
      <c r="Y46" s="80"/>
      <c r="Z46" s="668">
        <f>E9*10</f>
        <v>0.29093318552692182</v>
      </c>
      <c r="AA46" s="270"/>
      <c r="AB46" s="275"/>
      <c r="AC46" s="275"/>
      <c r="AD46" s="46"/>
      <c r="AE46" s="46"/>
      <c r="AF46" s="46"/>
      <c r="AG46" s="46"/>
      <c r="AH46" s="36"/>
      <c r="AI46" s="36"/>
      <c r="AJ46" s="35"/>
      <c r="AK46" s="35"/>
      <c r="AM46" s="35"/>
      <c r="AN46" s="35"/>
      <c r="AP46" s="35"/>
      <c r="AT46" s="2"/>
      <c r="AU46" s="2"/>
      <c r="AV46" s="2"/>
    </row>
    <row r="47" spans="1:50" ht="16">
      <c r="C47" s="108"/>
      <c r="J47" s="242"/>
      <c r="M47" s="108"/>
      <c r="S47" s="242"/>
      <c r="T47" s="80"/>
      <c r="U47" s="80"/>
      <c r="V47" s="80"/>
      <c r="W47" s="80"/>
      <c r="X47" s="80"/>
      <c r="Y47" s="80"/>
      <c r="Z47" s="80"/>
      <c r="AA47" s="280" t="s">
        <v>631</v>
      </c>
      <c r="AB47" s="274">
        <f>E9*0.5*44/12</f>
        <v>5.333775067993566E-2</v>
      </c>
      <c r="AC47" s="274"/>
      <c r="AD47" s="36"/>
      <c r="AE47" s="36"/>
      <c r="AF47" s="36"/>
      <c r="AG47" s="36"/>
      <c r="AH47" s="36"/>
      <c r="AI47" s="36"/>
      <c r="AJ47" s="35"/>
      <c r="AK47" s="35"/>
      <c r="AM47" s="35"/>
      <c r="AN47" s="35"/>
      <c r="AP47" s="35"/>
      <c r="AT47" s="2"/>
      <c r="AU47" s="2"/>
      <c r="AV47" s="2"/>
    </row>
    <row r="48" spans="1:50" ht="15">
      <c r="J48" s="242"/>
      <c r="S48" s="242"/>
      <c r="T48" s="80"/>
      <c r="U48" s="80"/>
      <c r="V48" s="80"/>
      <c r="W48" s="80"/>
      <c r="X48" s="80"/>
      <c r="Y48" s="80"/>
      <c r="Z48" s="80"/>
      <c r="AA48" s="279" t="s">
        <v>622</v>
      </c>
      <c r="AB48" s="275">
        <f>AB47*B8*A45</f>
        <v>0</v>
      </c>
      <c r="AC48" s="274"/>
      <c r="AD48" s="36"/>
      <c r="AE48" s="36"/>
      <c r="AF48" s="36"/>
      <c r="AG48" s="36"/>
      <c r="AH48" s="36"/>
      <c r="AI48" s="36"/>
      <c r="AJ48" s="35"/>
      <c r="AK48" s="35"/>
      <c r="AM48" s="35"/>
      <c r="AN48" s="35"/>
      <c r="AP48" s="35"/>
      <c r="AT48" s="2"/>
      <c r="AU48" s="2"/>
      <c r="AV48" s="2"/>
    </row>
    <row r="49" spans="1:49">
      <c r="J49" s="244"/>
      <c r="S49" s="244"/>
      <c r="T49" s="667"/>
      <c r="U49" s="667"/>
      <c r="V49" s="667"/>
      <c r="W49" s="667"/>
      <c r="X49" s="667"/>
      <c r="Y49" s="667"/>
      <c r="Z49" s="667"/>
      <c r="AA49" s="36"/>
      <c r="AB49" s="36"/>
      <c r="AC49" s="36"/>
      <c r="AD49" s="36"/>
      <c r="AE49" s="36"/>
      <c r="AF49" s="36"/>
      <c r="AG49" s="36"/>
      <c r="AH49" s="36"/>
      <c r="AI49" s="36"/>
      <c r="AJ49" s="36"/>
      <c r="AK49" s="35"/>
      <c r="AL49" s="35"/>
      <c r="AN49" s="35"/>
      <c r="AO49" s="35"/>
      <c r="AQ49" s="35"/>
      <c r="AU49" s="2"/>
      <c r="AV49" s="2"/>
      <c r="AW49" s="2"/>
    </row>
    <row r="50" spans="1:49">
      <c r="A50" s="29"/>
      <c r="B50" s="36"/>
      <c r="C50" s="36"/>
      <c r="D50" s="36"/>
      <c r="E50" s="36"/>
      <c r="F50" s="36"/>
      <c r="G50" s="36"/>
      <c r="H50" s="111"/>
      <c r="I50" s="111"/>
      <c r="J50" s="244"/>
      <c r="K50" s="29"/>
      <c r="L50" s="111"/>
      <c r="M50" s="111"/>
      <c r="N50" s="111"/>
      <c r="O50" s="111"/>
      <c r="P50" s="111"/>
      <c r="Q50" s="111"/>
      <c r="R50" s="111"/>
      <c r="S50" s="244"/>
      <c r="T50" s="667"/>
      <c r="U50" s="667"/>
      <c r="V50" s="667"/>
      <c r="W50" s="667"/>
      <c r="X50" s="667"/>
      <c r="Y50" s="667"/>
      <c r="Z50" s="667"/>
      <c r="AA50" s="36"/>
      <c r="AB50" s="36"/>
      <c r="AC50" s="36"/>
      <c r="AD50" s="36"/>
      <c r="AE50" s="36"/>
      <c r="AF50" s="36"/>
      <c r="AG50" s="36"/>
      <c r="AH50" s="36"/>
      <c r="AI50" s="36"/>
      <c r="AJ50" s="36"/>
      <c r="AK50" s="35"/>
      <c r="AL50" s="35"/>
      <c r="AN50" s="35"/>
      <c r="AO50" s="35"/>
      <c r="AQ50" s="35"/>
      <c r="AU50" s="2"/>
      <c r="AV50" s="2"/>
      <c r="AW50" s="2"/>
    </row>
    <row r="51" spans="1:49">
      <c r="F51" s="36"/>
      <c r="G51" s="36"/>
      <c r="H51" s="111"/>
      <c r="I51" s="111"/>
      <c r="J51" s="244"/>
      <c r="P51" s="111"/>
      <c r="Q51" s="111"/>
      <c r="R51" s="111"/>
      <c r="S51" s="244"/>
      <c r="T51" s="667"/>
      <c r="U51" s="667"/>
      <c r="V51" s="667"/>
      <c r="W51" s="667"/>
      <c r="X51" s="667"/>
      <c r="Y51" s="667"/>
      <c r="Z51" s="667"/>
      <c r="AA51" s="36"/>
      <c r="AB51" s="36"/>
      <c r="AC51" s="36"/>
      <c r="AD51" s="36"/>
      <c r="AE51" s="36"/>
      <c r="AF51" s="36"/>
      <c r="AG51" s="36"/>
      <c r="AH51" s="36"/>
      <c r="AI51" s="36"/>
      <c r="AJ51" s="36"/>
      <c r="AK51" s="35"/>
      <c r="AL51" s="35"/>
      <c r="AN51" s="35"/>
      <c r="AO51" s="35"/>
      <c r="AQ51" s="35"/>
      <c r="AU51" s="2"/>
      <c r="AV51" s="2"/>
      <c r="AW51" s="2"/>
    </row>
    <row r="52" spans="1:49">
      <c r="F52" s="36"/>
      <c r="G52" s="36"/>
      <c r="H52" s="111"/>
      <c r="I52" s="111"/>
      <c r="J52" s="247"/>
      <c r="P52" s="111"/>
      <c r="Q52" s="111"/>
      <c r="R52" s="111"/>
      <c r="S52" s="247"/>
      <c r="T52" s="80"/>
      <c r="U52" s="80"/>
      <c r="V52" s="80"/>
      <c r="W52" s="80"/>
      <c r="X52" s="84"/>
      <c r="Y52" s="84"/>
      <c r="Z52" s="84"/>
      <c r="AA52" s="2"/>
      <c r="AB52" s="2"/>
      <c r="AC52" s="36"/>
      <c r="AD52" s="36"/>
      <c r="AE52" s="36"/>
      <c r="AF52" s="36"/>
      <c r="AG52" s="36"/>
      <c r="AH52" s="36"/>
      <c r="AI52" s="36"/>
      <c r="AJ52" s="35"/>
      <c r="AK52" s="35"/>
      <c r="AM52" s="35"/>
      <c r="AN52" s="35"/>
      <c r="AP52" s="35"/>
      <c r="AT52" s="2"/>
      <c r="AU52" s="2"/>
      <c r="AV52" s="2"/>
    </row>
    <row r="53" spans="1:49">
      <c r="F53" s="2"/>
      <c r="G53" s="2"/>
      <c r="I53" s="192"/>
      <c r="J53" s="247"/>
      <c r="P53" s="192"/>
      <c r="Q53" s="192"/>
      <c r="S53" s="247"/>
      <c r="T53" s="80"/>
      <c r="U53" s="80"/>
      <c r="V53" s="80"/>
      <c r="W53" s="80"/>
      <c r="X53" s="84"/>
      <c r="Y53" s="84"/>
      <c r="Z53" s="84"/>
      <c r="AA53" s="2"/>
      <c r="AB53" s="2"/>
      <c r="AC53" s="36"/>
      <c r="AD53" s="36"/>
      <c r="AE53" s="36"/>
      <c r="AF53" s="36"/>
      <c r="AG53" s="36"/>
      <c r="AH53" s="36"/>
      <c r="AI53" s="36"/>
      <c r="AJ53" s="35"/>
      <c r="AK53" s="35"/>
      <c r="AM53" s="35"/>
      <c r="AN53" s="35"/>
      <c r="AP53" s="35"/>
      <c r="AT53" s="2"/>
      <c r="AU53" s="2"/>
      <c r="AV53" s="2"/>
    </row>
    <row r="54" spans="1:49">
      <c r="F54" s="2"/>
      <c r="G54" s="2"/>
      <c r="I54" s="192"/>
      <c r="J54" s="248"/>
      <c r="P54" s="192"/>
      <c r="Q54" s="192"/>
      <c r="S54" s="248"/>
      <c r="T54" s="666"/>
      <c r="U54" s="666"/>
      <c r="V54" s="666"/>
      <c r="W54" s="666"/>
      <c r="X54" s="665"/>
      <c r="Y54" s="665"/>
      <c r="Z54" s="665"/>
      <c r="AA54" s="29"/>
      <c r="AB54" s="29"/>
      <c r="AC54" s="36"/>
      <c r="AD54" s="36"/>
      <c r="AE54" s="36"/>
      <c r="AF54" s="36"/>
      <c r="AG54" s="36"/>
      <c r="AH54" s="36"/>
      <c r="AI54" s="36"/>
      <c r="AJ54" s="35"/>
      <c r="AK54" s="35"/>
      <c r="AM54" s="35"/>
      <c r="AN54" s="35"/>
      <c r="AP54" s="35"/>
      <c r="AT54" s="2"/>
      <c r="AU54" s="2"/>
      <c r="AV54" s="2"/>
    </row>
    <row r="55" spans="1:49">
      <c r="F55" s="29"/>
      <c r="G55" s="29"/>
      <c r="H55" s="29"/>
      <c r="I55" s="29"/>
      <c r="J55" s="245"/>
      <c r="P55" s="29"/>
      <c r="Q55" s="29"/>
      <c r="R55" s="29"/>
      <c r="S55" s="245"/>
      <c r="T55" s="729"/>
      <c r="U55" s="729"/>
      <c r="V55" s="729"/>
      <c r="W55" s="729"/>
      <c r="X55" s="667"/>
      <c r="Y55" s="667"/>
      <c r="Z55" s="668"/>
      <c r="AA55" s="40"/>
      <c r="AB55" s="53"/>
      <c r="AC55" s="36"/>
      <c r="AD55" s="36"/>
      <c r="AE55" s="36"/>
      <c r="AF55" s="36"/>
      <c r="AG55" s="36"/>
      <c r="AH55" s="36"/>
      <c r="AI55" s="36"/>
      <c r="AJ55" s="35"/>
      <c r="AK55" s="35"/>
      <c r="AM55" s="35"/>
      <c r="AN55" s="35"/>
      <c r="AP55" s="35"/>
      <c r="AT55" s="2"/>
      <c r="AU55" s="2"/>
      <c r="AV55" s="2"/>
    </row>
    <row r="56" spans="1:49">
      <c r="F56" s="49"/>
      <c r="G56" s="52"/>
      <c r="H56" s="86"/>
      <c r="I56" s="86"/>
      <c r="J56" s="245"/>
      <c r="P56" s="116"/>
      <c r="Q56" s="86"/>
      <c r="R56" s="86"/>
      <c r="S56" s="245"/>
      <c r="T56" s="667"/>
      <c r="U56" s="667"/>
      <c r="V56" s="667"/>
      <c r="W56" s="667"/>
      <c r="X56" s="667"/>
      <c r="Y56" s="667"/>
      <c r="Z56" s="668"/>
      <c r="AA56" s="40"/>
      <c r="AB56" s="53"/>
      <c r="AC56" s="36"/>
      <c r="AD56" s="36"/>
      <c r="AE56" s="36"/>
      <c r="AF56" s="36"/>
      <c r="AG56" s="36"/>
      <c r="AH56" s="36"/>
      <c r="AI56" s="36"/>
      <c r="AJ56" s="35"/>
      <c r="AK56" s="35"/>
      <c r="AM56" s="35"/>
      <c r="AN56" s="35"/>
      <c r="AP56" s="35"/>
      <c r="AT56" s="2"/>
      <c r="AU56" s="2"/>
      <c r="AV56" s="2"/>
    </row>
    <row r="57" spans="1:49">
      <c r="F57" s="49"/>
      <c r="G57" s="52"/>
      <c r="H57" s="86"/>
      <c r="I57" s="86"/>
      <c r="J57" s="245"/>
      <c r="P57" s="116"/>
      <c r="Q57" s="86"/>
      <c r="R57" s="86"/>
      <c r="S57" s="245"/>
      <c r="T57" s="111"/>
      <c r="U57" s="111"/>
      <c r="V57" s="111"/>
      <c r="W57" s="111"/>
      <c r="X57" s="51"/>
      <c r="Y57" s="36"/>
      <c r="Z57" s="39"/>
      <c r="AA57" s="40"/>
      <c r="AB57" s="53"/>
      <c r="AC57" s="36"/>
      <c r="AD57" s="36"/>
      <c r="AE57" s="36"/>
      <c r="AF57" s="36"/>
      <c r="AG57" s="36"/>
      <c r="AH57" s="36"/>
      <c r="AI57" s="36"/>
      <c r="AJ57" s="35"/>
      <c r="AK57" s="35"/>
      <c r="AM57" s="35"/>
      <c r="AN57" s="35"/>
      <c r="AP57" s="35"/>
      <c r="AT57" s="2"/>
      <c r="AU57" s="2"/>
      <c r="AV57" s="2"/>
    </row>
    <row r="58" spans="1:49">
      <c r="F58" s="49"/>
      <c r="G58" s="52"/>
      <c r="H58" s="86"/>
      <c r="I58" s="86"/>
      <c r="J58" s="245"/>
      <c r="P58" s="116"/>
      <c r="Q58" s="86"/>
      <c r="R58" s="86"/>
      <c r="S58" s="245"/>
      <c r="T58" s="111"/>
      <c r="U58" s="111"/>
      <c r="V58" s="111"/>
      <c r="W58" s="111"/>
      <c r="X58" s="51"/>
      <c r="Y58" s="36"/>
      <c r="Z58" s="39"/>
      <c r="AA58" s="40"/>
      <c r="AB58" s="53"/>
      <c r="AC58" s="36"/>
      <c r="AD58" s="36"/>
      <c r="AE58" s="36"/>
      <c r="AF58" s="36"/>
      <c r="AG58" s="36"/>
      <c r="AH58" s="36"/>
      <c r="AI58" s="36"/>
      <c r="AJ58" s="35"/>
      <c r="AK58" s="35"/>
      <c r="AM58" s="35"/>
      <c r="AN58" s="35"/>
      <c r="AP58" s="35"/>
      <c r="AT58" s="2"/>
      <c r="AU58" s="2"/>
      <c r="AV58" s="2"/>
    </row>
    <row r="59" spans="1:49">
      <c r="F59" s="49"/>
      <c r="G59" s="52"/>
      <c r="H59" s="86"/>
      <c r="I59" s="86"/>
      <c r="J59" s="245"/>
      <c r="P59" s="116"/>
      <c r="Q59" s="86"/>
      <c r="R59" s="86"/>
      <c r="S59" s="245"/>
      <c r="T59" s="111"/>
      <c r="U59" s="111"/>
      <c r="V59" s="111"/>
      <c r="W59" s="111"/>
      <c r="X59" s="51"/>
      <c r="Y59" s="36"/>
      <c r="Z59" s="39"/>
      <c r="AA59" s="40"/>
      <c r="AB59" s="53"/>
      <c r="AC59" s="36"/>
      <c r="AD59" s="36"/>
      <c r="AE59" s="36"/>
      <c r="AF59" s="36"/>
      <c r="AG59" s="36"/>
      <c r="AH59" s="36"/>
      <c r="AI59" s="36"/>
      <c r="AJ59" s="35"/>
      <c r="AK59" s="35"/>
      <c r="AM59" s="35"/>
      <c r="AN59" s="35"/>
      <c r="AP59" s="35"/>
      <c r="AT59" s="2"/>
      <c r="AU59" s="2"/>
      <c r="AV59" s="2"/>
    </row>
    <row r="60" spans="1:49">
      <c r="F60" s="49"/>
      <c r="G60" s="52"/>
      <c r="H60" s="86"/>
      <c r="I60" s="86"/>
      <c r="J60" s="245"/>
      <c r="P60" s="116"/>
      <c r="Q60" s="86"/>
      <c r="R60" s="86"/>
      <c r="S60" s="245"/>
      <c r="T60" s="111"/>
      <c r="U60" s="111"/>
      <c r="V60" s="111"/>
      <c r="W60" s="111"/>
      <c r="X60" s="51"/>
      <c r="Y60" s="36"/>
      <c r="Z60" s="39"/>
      <c r="AA60" s="40"/>
      <c r="AB60" s="53"/>
      <c r="AC60" s="36"/>
      <c r="AD60" s="36"/>
      <c r="AE60" s="36"/>
      <c r="AF60" s="36"/>
      <c r="AG60" s="36"/>
      <c r="AH60" s="36"/>
      <c r="AI60" s="36"/>
      <c r="AJ60" s="35"/>
      <c r="AK60" s="35"/>
      <c r="AM60" s="35"/>
      <c r="AN60" s="35"/>
      <c r="AP60" s="35"/>
      <c r="AT60" s="2"/>
      <c r="AU60" s="2"/>
      <c r="AV60" s="2"/>
    </row>
    <row r="61" spans="1:49">
      <c r="F61" s="49"/>
      <c r="G61" s="52"/>
      <c r="H61" s="86"/>
      <c r="I61" s="86"/>
      <c r="J61" s="245"/>
      <c r="P61" s="116"/>
      <c r="Q61" s="86"/>
      <c r="R61" s="86"/>
      <c r="S61" s="245"/>
      <c r="T61" s="111"/>
      <c r="U61" s="111"/>
      <c r="V61" s="111"/>
      <c r="W61" s="111"/>
      <c r="X61" s="51"/>
      <c r="Y61" s="36"/>
      <c r="Z61" s="39"/>
      <c r="AA61" s="40"/>
      <c r="AB61" s="53"/>
      <c r="AC61" s="36"/>
      <c r="AD61" s="36"/>
      <c r="AE61" s="36"/>
      <c r="AF61" s="36"/>
      <c r="AG61" s="36"/>
      <c r="AH61" s="36"/>
      <c r="AI61" s="36"/>
      <c r="AJ61" s="35"/>
      <c r="AK61" s="35"/>
      <c r="AM61" s="35"/>
      <c r="AN61" s="35"/>
      <c r="AP61" s="35"/>
      <c r="AT61" s="2"/>
      <c r="AU61" s="2"/>
      <c r="AV61" s="2"/>
    </row>
    <row r="62" spans="1:49">
      <c r="F62" s="49"/>
      <c r="G62" s="52"/>
      <c r="H62" s="86"/>
      <c r="I62" s="86"/>
      <c r="J62" s="245"/>
      <c r="P62" s="116"/>
      <c r="Q62" s="86"/>
      <c r="R62" s="86"/>
      <c r="S62" s="245"/>
      <c r="T62" s="111"/>
      <c r="U62" s="111"/>
      <c r="V62" s="111"/>
      <c r="W62" s="111"/>
      <c r="X62" s="51"/>
      <c r="Y62" s="36"/>
      <c r="Z62" s="39"/>
      <c r="AA62" s="40"/>
      <c r="AB62" s="53"/>
      <c r="AC62" s="36"/>
      <c r="AD62" s="36"/>
      <c r="AE62" s="36"/>
      <c r="AF62" s="36"/>
      <c r="AG62" s="36"/>
      <c r="AH62" s="36"/>
      <c r="AI62" s="36"/>
      <c r="AJ62" s="35"/>
      <c r="AK62" s="35"/>
      <c r="AM62" s="35"/>
      <c r="AN62" s="35"/>
      <c r="AP62" s="35"/>
      <c r="AT62" s="2"/>
      <c r="AU62" s="2"/>
      <c r="AV62" s="2"/>
    </row>
    <row r="63" spans="1:49">
      <c r="F63" s="49"/>
      <c r="G63" s="52"/>
      <c r="H63" s="86"/>
      <c r="I63" s="86"/>
      <c r="J63" s="245"/>
      <c r="P63" s="116"/>
      <c r="Q63" s="86"/>
      <c r="R63" s="86"/>
      <c r="S63" s="245"/>
      <c r="T63" s="111"/>
      <c r="U63" s="111"/>
      <c r="V63" s="111"/>
      <c r="W63" s="111"/>
      <c r="X63" s="51"/>
      <c r="Y63" s="36"/>
      <c r="Z63" s="39"/>
      <c r="AA63" s="40"/>
      <c r="AB63" s="53"/>
      <c r="AC63" s="36"/>
      <c r="AD63" s="36"/>
      <c r="AE63" s="36"/>
      <c r="AF63" s="36"/>
      <c r="AG63" s="36"/>
      <c r="AH63" s="36"/>
      <c r="AI63" s="36"/>
      <c r="AJ63" s="35"/>
      <c r="AK63" s="35"/>
      <c r="AM63" s="35"/>
      <c r="AN63" s="35"/>
      <c r="AP63" s="35"/>
      <c r="AT63" s="2"/>
      <c r="AU63" s="2"/>
      <c r="AV63" s="2"/>
    </row>
    <row r="64" spans="1:49">
      <c r="F64" s="49"/>
      <c r="G64" s="52"/>
      <c r="H64" s="86"/>
      <c r="I64" s="86"/>
      <c r="J64" s="245"/>
      <c r="P64" s="116"/>
      <c r="Q64" s="86"/>
      <c r="R64" s="86"/>
      <c r="S64" s="245"/>
      <c r="T64" s="111"/>
      <c r="U64" s="111"/>
      <c r="V64" s="111"/>
      <c r="W64" s="111"/>
      <c r="X64" s="51"/>
      <c r="Y64" s="36"/>
      <c r="Z64" s="39"/>
      <c r="AA64" s="40"/>
      <c r="AB64" s="53"/>
      <c r="AC64" s="36"/>
      <c r="AD64" s="36"/>
      <c r="AE64" s="36"/>
      <c r="AF64" s="36"/>
      <c r="AG64" s="36"/>
      <c r="AH64" s="36"/>
      <c r="AI64" s="36"/>
      <c r="AJ64" s="35"/>
      <c r="AK64" s="35"/>
      <c r="AM64" s="35"/>
      <c r="AN64" s="35"/>
      <c r="AP64" s="35"/>
      <c r="AT64" s="2"/>
      <c r="AU64" s="2"/>
      <c r="AV64" s="2"/>
    </row>
    <row r="65" spans="6:48">
      <c r="F65" s="49"/>
      <c r="G65" s="52"/>
      <c r="H65" s="86"/>
      <c r="I65" s="86"/>
      <c r="J65" s="245"/>
      <c r="P65" s="116"/>
      <c r="Q65" s="86"/>
      <c r="R65" s="86"/>
      <c r="S65" s="245"/>
      <c r="T65" s="111"/>
      <c r="U65" s="111"/>
      <c r="V65" s="111"/>
      <c r="W65" s="111"/>
      <c r="X65" s="51"/>
      <c r="Y65" s="36"/>
      <c r="Z65" s="39"/>
      <c r="AA65" s="40"/>
      <c r="AB65" s="53"/>
      <c r="AC65" s="36"/>
      <c r="AD65" s="36"/>
      <c r="AE65" s="36"/>
      <c r="AF65" s="36"/>
      <c r="AG65" s="36"/>
      <c r="AH65" s="36"/>
      <c r="AI65" s="36"/>
      <c r="AJ65" s="35"/>
      <c r="AK65" s="35"/>
      <c r="AM65" s="35"/>
      <c r="AN65" s="35"/>
      <c r="AP65" s="35"/>
      <c r="AT65" s="2"/>
      <c r="AU65" s="2"/>
      <c r="AV65" s="2"/>
    </row>
    <row r="66" spans="6:48">
      <c r="F66" s="49"/>
      <c r="G66" s="52"/>
      <c r="H66" s="86"/>
      <c r="I66" s="86"/>
      <c r="J66" s="245"/>
      <c r="P66" s="116"/>
      <c r="Q66" s="86"/>
      <c r="R66" s="86"/>
      <c r="S66" s="245"/>
      <c r="T66" s="111"/>
      <c r="U66" s="111"/>
      <c r="V66" s="111"/>
      <c r="W66" s="111"/>
      <c r="X66" s="51"/>
      <c r="Y66" s="36"/>
      <c r="Z66" s="39"/>
      <c r="AA66" s="40"/>
      <c r="AB66" s="53"/>
      <c r="AC66" s="36"/>
      <c r="AD66" s="36"/>
      <c r="AE66" s="36"/>
      <c r="AF66" s="36"/>
      <c r="AG66" s="36"/>
      <c r="AH66" s="36"/>
      <c r="AI66" s="36"/>
      <c r="AJ66" s="35"/>
      <c r="AK66" s="35"/>
      <c r="AM66" s="35"/>
      <c r="AN66" s="35"/>
      <c r="AP66" s="35"/>
      <c r="AT66" s="2"/>
      <c r="AU66" s="2"/>
      <c r="AV66" s="2"/>
    </row>
    <row r="67" spans="6:48">
      <c r="F67" s="49"/>
      <c r="G67" s="52"/>
      <c r="H67" s="86"/>
      <c r="I67" s="86"/>
      <c r="J67" s="245"/>
      <c r="P67" s="116"/>
      <c r="Q67" s="86"/>
      <c r="R67" s="86"/>
      <c r="S67" s="245"/>
      <c r="T67" s="111"/>
      <c r="U67" s="111"/>
      <c r="V67" s="111"/>
      <c r="W67" s="111"/>
      <c r="X67" s="51"/>
      <c r="Y67" s="36"/>
      <c r="Z67" s="39"/>
      <c r="AA67" s="40"/>
      <c r="AB67" s="53"/>
      <c r="AC67" s="36"/>
      <c r="AD67" s="36"/>
      <c r="AE67" s="36"/>
      <c r="AF67" s="36"/>
      <c r="AG67" s="36"/>
      <c r="AH67" s="36"/>
      <c r="AI67" s="36"/>
      <c r="AJ67" s="35"/>
      <c r="AK67" s="35"/>
      <c r="AM67" s="35"/>
      <c r="AN67" s="35"/>
      <c r="AP67" s="35"/>
      <c r="AT67" s="2"/>
      <c r="AU67" s="2"/>
      <c r="AV67" s="2"/>
    </row>
    <row r="68" spans="6:48">
      <c r="F68" s="49"/>
      <c r="G68" s="52"/>
      <c r="H68" s="86"/>
      <c r="I68" s="86"/>
      <c r="J68" s="245"/>
      <c r="P68" s="116"/>
      <c r="Q68" s="86"/>
      <c r="R68" s="86"/>
      <c r="S68" s="245"/>
      <c r="T68" s="111"/>
      <c r="U68" s="111"/>
      <c r="V68" s="111"/>
      <c r="W68" s="111"/>
      <c r="X68" s="51"/>
      <c r="Y68" s="36"/>
      <c r="Z68" s="39"/>
      <c r="AA68" s="40"/>
      <c r="AB68" s="53"/>
      <c r="AC68" s="36"/>
      <c r="AD68" s="36"/>
      <c r="AE68" s="36"/>
      <c r="AF68" s="36"/>
      <c r="AG68" s="36"/>
      <c r="AH68" s="36"/>
      <c r="AI68" s="36"/>
      <c r="AJ68" s="35"/>
      <c r="AK68" s="35"/>
      <c r="AM68" s="35"/>
      <c r="AN68" s="35"/>
      <c r="AP68" s="35"/>
      <c r="AT68" s="2"/>
      <c r="AU68" s="2"/>
      <c r="AV68" s="2"/>
    </row>
    <row r="69" spans="6:48">
      <c r="F69" s="49"/>
      <c r="G69" s="52"/>
      <c r="H69" s="86"/>
      <c r="I69" s="86"/>
      <c r="J69" s="245"/>
      <c r="P69" s="116"/>
      <c r="Q69" s="86"/>
      <c r="R69" s="86"/>
      <c r="S69" s="245"/>
      <c r="T69" s="111"/>
      <c r="U69" s="111"/>
      <c r="V69" s="111"/>
      <c r="W69" s="111"/>
      <c r="X69" s="51"/>
      <c r="Y69" s="36"/>
      <c r="Z69" s="39"/>
      <c r="AA69" s="40"/>
      <c r="AB69" s="53"/>
      <c r="AC69" s="36"/>
      <c r="AD69" s="36"/>
      <c r="AE69" s="36"/>
      <c r="AF69" s="36"/>
      <c r="AG69" s="36"/>
      <c r="AH69" s="36"/>
      <c r="AI69" s="36"/>
      <c r="AJ69" s="35"/>
      <c r="AK69" s="35"/>
      <c r="AM69" s="35"/>
      <c r="AN69" s="35"/>
      <c r="AP69" s="35"/>
      <c r="AT69" s="2"/>
      <c r="AU69" s="2"/>
      <c r="AV69" s="2"/>
    </row>
    <row r="70" spans="6:48">
      <c r="F70" s="49"/>
      <c r="G70" s="52"/>
      <c r="H70" s="86"/>
      <c r="I70" s="86"/>
      <c r="J70" s="245"/>
      <c r="P70" s="116"/>
      <c r="Q70" s="86"/>
      <c r="R70" s="86"/>
      <c r="S70" s="245"/>
      <c r="T70" s="111"/>
      <c r="U70" s="111"/>
      <c r="V70" s="111"/>
      <c r="W70" s="111"/>
      <c r="X70" s="51"/>
      <c r="Y70" s="36"/>
      <c r="Z70" s="39"/>
      <c r="AA70" s="40"/>
      <c r="AB70" s="53"/>
      <c r="AC70" s="36"/>
      <c r="AD70" s="36"/>
      <c r="AE70" s="36"/>
      <c r="AF70" s="36"/>
      <c r="AG70" s="36"/>
      <c r="AH70" s="36"/>
      <c r="AI70" s="36"/>
      <c r="AJ70" s="35"/>
      <c r="AK70" s="35"/>
      <c r="AM70" s="35"/>
      <c r="AN70" s="35"/>
      <c r="AP70" s="35"/>
      <c r="AT70" s="2"/>
      <c r="AU70" s="2"/>
      <c r="AV70" s="2"/>
    </row>
    <row r="71" spans="6:48">
      <c r="F71" s="49"/>
      <c r="G71" s="52"/>
      <c r="H71" s="86"/>
      <c r="I71" s="86"/>
      <c r="J71" s="245"/>
      <c r="P71" s="116"/>
      <c r="Q71" s="86"/>
      <c r="R71" s="86"/>
      <c r="S71" s="245"/>
      <c r="T71" s="111"/>
      <c r="U71" s="111"/>
      <c r="V71" s="111"/>
      <c r="W71" s="111"/>
      <c r="X71" s="51"/>
      <c r="Y71" s="36"/>
      <c r="Z71" s="39"/>
      <c r="AA71" s="40"/>
      <c r="AB71" s="53"/>
      <c r="AC71" s="36"/>
      <c r="AD71" s="36"/>
      <c r="AE71" s="36"/>
      <c r="AF71" s="36"/>
      <c r="AG71" s="36"/>
      <c r="AH71" s="36"/>
      <c r="AI71" s="36"/>
      <c r="AJ71" s="35"/>
      <c r="AK71" s="35"/>
      <c r="AM71" s="35"/>
      <c r="AN71" s="35"/>
      <c r="AP71" s="35"/>
      <c r="AT71" s="2"/>
      <c r="AU71" s="2"/>
      <c r="AV71" s="2"/>
    </row>
    <row r="72" spans="6:48">
      <c r="F72" s="49"/>
      <c r="G72" s="52"/>
      <c r="H72" s="86"/>
      <c r="I72" s="86"/>
      <c r="J72" s="245"/>
      <c r="P72" s="116"/>
      <c r="Q72" s="86"/>
      <c r="R72" s="86"/>
      <c r="S72" s="245"/>
      <c r="T72" s="111"/>
      <c r="U72" s="111"/>
      <c r="V72" s="111"/>
      <c r="W72" s="111"/>
      <c r="X72" s="51"/>
      <c r="Y72" s="36"/>
      <c r="Z72" s="39"/>
      <c r="AA72" s="40"/>
      <c r="AB72" s="53"/>
      <c r="AC72" s="36"/>
      <c r="AD72" s="36"/>
      <c r="AE72" s="36"/>
      <c r="AF72" s="36"/>
      <c r="AG72" s="36"/>
      <c r="AH72" s="36"/>
      <c r="AI72" s="36"/>
      <c r="AJ72" s="35"/>
      <c r="AK72" s="35"/>
      <c r="AM72" s="35"/>
      <c r="AN72" s="35"/>
      <c r="AP72" s="35"/>
      <c r="AT72" s="2"/>
      <c r="AU72" s="2"/>
      <c r="AV72" s="2"/>
    </row>
    <row r="73" spans="6:48">
      <c r="F73" s="49"/>
      <c r="G73" s="52"/>
      <c r="H73" s="86"/>
      <c r="I73" s="86"/>
      <c r="J73" s="245"/>
      <c r="P73" s="116"/>
      <c r="Q73" s="86"/>
      <c r="R73" s="86"/>
      <c r="S73" s="245"/>
      <c r="T73" s="111"/>
      <c r="U73" s="111"/>
      <c r="V73" s="111"/>
      <c r="W73" s="111"/>
      <c r="X73" s="51"/>
      <c r="Y73" s="36"/>
      <c r="Z73" s="39"/>
      <c r="AA73" s="40"/>
      <c r="AB73" s="53"/>
      <c r="AC73" s="36"/>
      <c r="AD73" s="36"/>
      <c r="AE73" s="36"/>
      <c r="AF73" s="36"/>
      <c r="AG73" s="36"/>
      <c r="AH73" s="36"/>
      <c r="AI73" s="36"/>
      <c r="AJ73" s="35"/>
      <c r="AK73" s="35"/>
      <c r="AM73" s="35"/>
      <c r="AN73" s="35"/>
      <c r="AP73" s="35"/>
      <c r="AT73" s="2"/>
      <c r="AU73" s="2"/>
      <c r="AV73" s="2"/>
    </row>
    <row r="74" spans="6:48">
      <c r="F74" s="49"/>
      <c r="G74" s="52"/>
      <c r="H74" s="86"/>
      <c r="I74" s="86"/>
      <c r="J74" s="245"/>
      <c r="P74" s="116"/>
      <c r="Q74" s="86"/>
      <c r="R74" s="86"/>
      <c r="S74" s="245"/>
      <c r="T74" s="111"/>
      <c r="U74" s="111"/>
      <c r="V74" s="111"/>
      <c r="W74" s="111"/>
      <c r="X74" s="51"/>
      <c r="Y74" s="36"/>
      <c r="Z74" s="39"/>
      <c r="AA74" s="40"/>
      <c r="AB74" s="53"/>
      <c r="AC74" s="36"/>
      <c r="AD74" s="36"/>
      <c r="AE74" s="36"/>
      <c r="AF74" s="36"/>
      <c r="AG74" s="36"/>
      <c r="AH74" s="36"/>
      <c r="AI74" s="36"/>
      <c r="AJ74" s="35"/>
      <c r="AK74" s="35"/>
      <c r="AM74" s="35"/>
      <c r="AN74" s="35"/>
      <c r="AT74" s="2"/>
      <c r="AU74" s="2"/>
      <c r="AV74" s="2"/>
    </row>
    <row r="75" spans="6:48">
      <c r="F75" s="49"/>
      <c r="G75" s="52"/>
      <c r="H75" s="86"/>
      <c r="I75" s="86"/>
      <c r="J75" s="245"/>
      <c r="P75" s="116"/>
      <c r="Q75" s="86"/>
      <c r="R75" s="86"/>
      <c r="S75" s="245"/>
      <c r="X75" s="51"/>
      <c r="Y75" s="36"/>
      <c r="Z75" s="39"/>
      <c r="AA75" s="40"/>
      <c r="AB75" s="53"/>
    </row>
    <row r="76" spans="6:48">
      <c r="F76" s="49"/>
      <c r="G76" s="52"/>
      <c r="H76" s="86"/>
      <c r="I76" s="86"/>
      <c r="J76" s="245"/>
      <c r="P76" s="116"/>
      <c r="Q76" s="86"/>
      <c r="R76" s="86"/>
      <c r="S76" s="245"/>
      <c r="X76" s="51"/>
      <c r="Y76" s="36"/>
      <c r="Z76" s="39"/>
      <c r="AA76" s="40"/>
      <c r="AB76" s="53"/>
    </row>
    <row r="77" spans="6:48">
      <c r="F77" s="49"/>
      <c r="G77" s="52"/>
      <c r="H77" s="86"/>
      <c r="I77" s="86"/>
      <c r="J77" s="245"/>
      <c r="P77" s="116"/>
      <c r="Q77" s="86"/>
      <c r="R77" s="86"/>
      <c r="S77" s="245"/>
      <c r="X77" s="51"/>
      <c r="Y77" s="36"/>
      <c r="Z77" s="39"/>
      <c r="AA77" s="40"/>
      <c r="AB77" s="53"/>
    </row>
    <row r="78" spans="6:48">
      <c r="F78" s="49"/>
      <c r="G78" s="52"/>
      <c r="H78" s="86"/>
      <c r="I78" s="86"/>
      <c r="J78" s="245"/>
      <c r="P78" s="116"/>
      <c r="Q78" s="86"/>
      <c r="R78" s="86"/>
      <c r="S78" s="245"/>
      <c r="X78" s="51"/>
      <c r="Y78" s="36"/>
      <c r="Z78" s="39"/>
      <c r="AA78" s="40"/>
      <c r="AB78" s="53"/>
    </row>
    <row r="79" spans="6:48">
      <c r="F79" s="49"/>
      <c r="G79" s="52"/>
      <c r="H79" s="86"/>
      <c r="I79" s="86"/>
      <c r="J79" s="245"/>
      <c r="P79" s="116"/>
      <c r="Q79" s="86"/>
      <c r="R79" s="86"/>
      <c r="S79" s="245"/>
      <c r="X79" s="51"/>
      <c r="Y79" s="36"/>
      <c r="Z79" s="39"/>
      <c r="AA79" s="40"/>
      <c r="AB79" s="53"/>
    </row>
    <row r="80" spans="6:48">
      <c r="F80" s="49"/>
      <c r="G80" s="52"/>
      <c r="H80" s="86"/>
      <c r="I80" s="86"/>
      <c r="J80" s="245"/>
      <c r="P80" s="116"/>
      <c r="Q80" s="86"/>
      <c r="R80" s="86"/>
      <c r="S80" s="245"/>
      <c r="X80" s="51"/>
      <c r="Y80" s="36"/>
      <c r="Z80" s="39"/>
      <c r="AA80" s="40"/>
      <c r="AB80" s="53"/>
    </row>
    <row r="81" spans="3:28">
      <c r="F81" s="49"/>
      <c r="G81" s="52"/>
      <c r="H81" s="86"/>
      <c r="I81" s="86"/>
      <c r="J81" s="245"/>
      <c r="P81" s="116"/>
      <c r="Q81" s="86"/>
      <c r="R81" s="86"/>
      <c r="S81" s="245"/>
      <c r="X81" s="51"/>
      <c r="Y81" s="36"/>
      <c r="Z81" s="39"/>
      <c r="AA81" s="40"/>
      <c r="AB81" s="53"/>
    </row>
    <row r="82" spans="3:28">
      <c r="F82" s="49"/>
      <c r="G82" s="52"/>
      <c r="H82" s="86"/>
      <c r="I82" s="86"/>
      <c r="J82" s="245"/>
      <c r="P82" s="116"/>
      <c r="Q82" s="86"/>
      <c r="R82" s="86"/>
      <c r="S82" s="245"/>
      <c r="X82" s="51"/>
      <c r="Y82" s="36"/>
      <c r="Z82" s="39"/>
      <c r="AA82" s="40"/>
      <c r="AB82" s="53"/>
    </row>
    <row r="83" spans="3:28">
      <c r="F83" s="49"/>
      <c r="G83" s="52"/>
      <c r="H83" s="86"/>
      <c r="I83" s="86"/>
      <c r="J83" s="245"/>
      <c r="P83" s="116"/>
      <c r="Q83" s="86"/>
      <c r="R83" s="86"/>
      <c r="S83" s="245"/>
      <c r="X83" s="51"/>
      <c r="Y83" s="36"/>
      <c r="Z83" s="39"/>
      <c r="AA83" s="40"/>
      <c r="AB83" s="53"/>
    </row>
    <row r="84" spans="3:28">
      <c r="F84" s="49"/>
      <c r="G84" s="52"/>
      <c r="H84" s="86"/>
      <c r="I84" s="86"/>
      <c r="J84" s="245"/>
      <c r="P84" s="116"/>
      <c r="Q84" s="86"/>
      <c r="R84" s="86"/>
      <c r="S84" s="245"/>
      <c r="X84" s="51"/>
      <c r="Y84" s="36"/>
      <c r="Z84" s="39"/>
      <c r="AA84" s="40"/>
      <c r="AB84" s="53"/>
    </row>
    <row r="85" spans="3:28">
      <c r="F85" s="49"/>
      <c r="G85" s="52"/>
      <c r="H85" s="86"/>
      <c r="I85" s="86"/>
      <c r="J85" s="242"/>
      <c r="P85" s="116"/>
      <c r="Q85" s="86"/>
      <c r="R85" s="86"/>
      <c r="S85" s="242"/>
      <c r="AA85" s="47"/>
      <c r="AB85" s="53"/>
    </row>
    <row r="86" spans="3:28">
      <c r="C86" s="56"/>
      <c r="J86" s="242"/>
      <c r="M86" s="111"/>
      <c r="S86" s="242"/>
    </row>
    <row r="87" spans="3:28">
      <c r="J87" s="242"/>
      <c r="S87" s="242"/>
      <c r="X87" s="41"/>
      <c r="Y87" s="36"/>
    </row>
    <row r="88" spans="3:28">
      <c r="J88" s="242"/>
      <c r="S88" s="242"/>
      <c r="X88" s="41"/>
      <c r="Y88" s="36"/>
    </row>
    <row r="89" spans="3:28">
      <c r="J89" s="242"/>
      <c r="S89" s="242"/>
      <c r="X89" s="47"/>
      <c r="Y89" s="43"/>
    </row>
    <row r="90" spans="3:28">
      <c r="J90" s="242"/>
      <c r="S90" s="242"/>
    </row>
    <row r="91" spans="3:28">
      <c r="J91" s="242"/>
      <c r="S91" s="242"/>
    </row>
    <row r="92" spans="3:28">
      <c r="J92" s="242"/>
      <c r="S92" s="242"/>
    </row>
    <row r="93" spans="3:28">
      <c r="J93" s="242"/>
      <c r="S93" s="242"/>
    </row>
    <row r="94" spans="3:28">
      <c r="J94" s="242"/>
      <c r="S94" s="242"/>
    </row>
    <row r="95" spans="3:28">
      <c r="J95" s="242"/>
      <c r="S95" s="242"/>
    </row>
    <row r="96" spans="3:28">
      <c r="J96" s="242"/>
      <c r="S96" s="242"/>
    </row>
    <row r="97" spans="10:19">
      <c r="J97" s="242"/>
      <c r="S97" s="242"/>
    </row>
  </sheetData>
  <phoneticPr fontId="6" type="noConversion"/>
  <pageMargins left="0.75" right="0.75" top="1" bottom="1" header="0.5" footer="0.5"/>
  <pageSetup paperSize="9" orientation="portrait" horizontalDpi="4294967292" verticalDpi="429496729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6"/>
  </sheetPr>
  <dimension ref="A1:BB89"/>
  <sheetViews>
    <sheetView topLeftCell="H1" workbookViewId="0">
      <selection activeCell="P9" sqref="P9"/>
    </sheetView>
  </sheetViews>
  <sheetFormatPr baseColWidth="10" defaultColWidth="10.83203125" defaultRowHeight="13"/>
  <cols>
    <col min="1" max="1" width="16.1640625" style="33" customWidth="1"/>
    <col min="2" max="2" width="20" style="33" customWidth="1"/>
    <col min="3" max="3" width="15" style="33" customWidth="1"/>
    <col min="4" max="4" width="14.5" style="33" customWidth="1"/>
    <col min="5" max="5" width="16.1640625" style="33" customWidth="1"/>
    <col min="6" max="6" width="15.5" style="33" customWidth="1"/>
    <col min="7" max="7" width="14.83203125" style="33" customWidth="1"/>
    <col min="8" max="8" width="14.83203125" style="192" customWidth="1"/>
    <col min="9" max="9" width="12.5" style="229" customWidth="1"/>
    <col min="10" max="10" width="5" style="229" customWidth="1"/>
    <col min="11" max="11" width="16.1640625" style="708" customWidth="1"/>
    <col min="12" max="12" width="20" style="708" customWidth="1"/>
    <col min="13" max="13" width="15" style="708" customWidth="1"/>
    <col min="14" max="14" width="14.5" style="708" customWidth="1"/>
    <col min="15" max="15" width="16.1640625" style="708" customWidth="1"/>
    <col min="16" max="16" width="15.5" style="708" customWidth="1"/>
    <col min="17" max="21" width="10.83203125" style="708"/>
    <col min="22" max="22" width="11.1640625" style="33" customWidth="1"/>
    <col min="23" max="34" width="10.83203125" style="33"/>
    <col min="35" max="35" width="16.83203125" style="33" customWidth="1"/>
    <col min="36" max="43" width="10.83203125" style="33"/>
    <col min="44" max="44" width="13.1640625" style="33" customWidth="1"/>
    <col min="45" max="45" width="13.5" style="33" customWidth="1"/>
    <col min="46" max="16384" width="10.83203125" style="33"/>
  </cols>
  <sheetData>
    <row r="1" spans="1:54">
      <c r="A1" s="232" t="s">
        <v>323</v>
      </c>
      <c r="B1" s="232" t="s">
        <v>218</v>
      </c>
      <c r="C1" s="58" t="s">
        <v>863</v>
      </c>
      <c r="J1" s="242"/>
      <c r="K1" s="482" t="s">
        <v>323</v>
      </c>
      <c r="L1" s="482" t="s">
        <v>218</v>
      </c>
      <c r="M1" s="58" t="s">
        <v>863</v>
      </c>
    </row>
    <row r="2" spans="1:54">
      <c r="A2" s="58" t="s">
        <v>465</v>
      </c>
      <c r="B2" s="228" t="s">
        <v>466</v>
      </c>
      <c r="C2" s="58"/>
      <c r="D2" s="58" t="s">
        <v>468</v>
      </c>
      <c r="J2" s="242"/>
      <c r="K2" s="58" t="s">
        <v>465</v>
      </c>
      <c r="L2" s="228" t="s">
        <v>466</v>
      </c>
      <c r="M2" s="58"/>
      <c r="N2" s="58" t="s">
        <v>291</v>
      </c>
      <c r="Q2" s="58"/>
      <c r="R2" s="58"/>
      <c r="S2" s="58"/>
      <c r="T2" s="58"/>
      <c r="U2" s="58"/>
      <c r="V2" s="59"/>
      <c r="W2" s="58"/>
      <c r="AJ2" s="33" t="s">
        <v>287</v>
      </c>
      <c r="AK2" s="33" t="s">
        <v>283</v>
      </c>
      <c r="AL2" s="33" t="s">
        <v>284</v>
      </c>
      <c r="AV2" s="33" t="s">
        <v>474</v>
      </c>
      <c r="AZ2" s="33">
        <v>2005</v>
      </c>
    </row>
    <row r="3" spans="1:54" ht="26">
      <c r="A3" s="33" t="s">
        <v>13</v>
      </c>
      <c r="B3" s="161" t="s">
        <v>551</v>
      </c>
      <c r="C3" s="33" t="s">
        <v>464</v>
      </c>
      <c r="D3" s="524" t="s">
        <v>550</v>
      </c>
      <c r="E3" s="1"/>
      <c r="F3" s="1"/>
      <c r="J3" s="242"/>
      <c r="K3" s="730" t="s">
        <v>13</v>
      </c>
      <c r="L3" s="478">
        <v>0.90869999999999995</v>
      </c>
      <c r="M3" s="477" t="s">
        <v>595</v>
      </c>
      <c r="N3" s="544" t="s">
        <v>848</v>
      </c>
      <c r="O3" s="480"/>
      <c r="P3" s="480"/>
      <c r="Q3" s="1"/>
      <c r="R3" s="1"/>
      <c r="S3" s="1"/>
      <c r="T3" s="1"/>
      <c r="U3" s="1"/>
      <c r="V3" s="46"/>
      <c r="W3" s="57"/>
      <c r="X3" s="1"/>
      <c r="Y3" s="1"/>
      <c r="Z3" s="1"/>
      <c r="AA3" s="1"/>
      <c r="AB3" s="1"/>
      <c r="AC3" s="1"/>
      <c r="AD3" s="1"/>
      <c r="AE3" s="1"/>
      <c r="AF3" s="1"/>
      <c r="AI3" s="74" t="s">
        <v>288</v>
      </c>
      <c r="AJ3" s="75">
        <v>6</v>
      </c>
      <c r="AK3" s="76">
        <v>13</v>
      </c>
      <c r="AL3" s="77">
        <v>20</v>
      </c>
      <c r="AM3" s="42" t="s">
        <v>286</v>
      </c>
      <c r="AN3" s="42"/>
      <c r="AV3" s="33" t="s">
        <v>440</v>
      </c>
      <c r="AY3" s="33" t="s">
        <v>472</v>
      </c>
      <c r="BB3" s="33" t="s">
        <v>473</v>
      </c>
    </row>
    <row r="4" spans="1:54" ht="16">
      <c r="A4" s="33" t="s">
        <v>637</v>
      </c>
      <c r="B4" s="84" t="s">
        <v>12</v>
      </c>
      <c r="C4" s="33" t="s">
        <v>485</v>
      </c>
      <c r="D4" s="61" t="s">
        <v>11</v>
      </c>
      <c r="E4" s="34"/>
      <c r="F4" s="1"/>
      <c r="J4" s="242"/>
      <c r="K4" s="708" t="s">
        <v>637</v>
      </c>
      <c r="L4" s="84" t="s">
        <v>12</v>
      </c>
      <c r="M4" s="708" t="s">
        <v>485</v>
      </c>
      <c r="N4" s="61" t="s">
        <v>11</v>
      </c>
      <c r="O4" s="34"/>
      <c r="P4" s="1"/>
      <c r="Q4" s="1"/>
      <c r="R4" s="1"/>
      <c r="S4" s="1"/>
      <c r="T4" s="1"/>
      <c r="U4" s="1"/>
      <c r="V4" s="53"/>
      <c r="W4" s="57"/>
      <c r="X4" s="1"/>
      <c r="Y4" s="1"/>
      <c r="Z4" s="1"/>
      <c r="AA4" s="1"/>
      <c r="AB4" s="1"/>
      <c r="AC4" s="1"/>
      <c r="AD4" s="58" t="s">
        <v>328</v>
      </c>
      <c r="AE4" s="1"/>
      <c r="AF4" s="1"/>
      <c r="AI4" s="74" t="s">
        <v>289</v>
      </c>
      <c r="AJ4" s="75">
        <v>7</v>
      </c>
      <c r="AK4" s="76">
        <v>9</v>
      </c>
      <c r="AL4" s="77">
        <v>11</v>
      </c>
      <c r="AQ4" s="58" t="s">
        <v>329</v>
      </c>
    </row>
    <row r="5" spans="1:54" ht="15">
      <c r="A5" s="33" t="s">
        <v>374</v>
      </c>
      <c r="B5" s="84">
        <v>0.5</v>
      </c>
      <c r="C5" s="33" t="s">
        <v>375</v>
      </c>
      <c r="D5" s="34" t="s">
        <v>334</v>
      </c>
      <c r="F5" s="34"/>
      <c r="J5" s="242"/>
      <c r="K5" s="708" t="s">
        <v>207</v>
      </c>
      <c r="L5" s="84">
        <v>0.5</v>
      </c>
      <c r="M5" s="708" t="s">
        <v>375</v>
      </c>
      <c r="N5" s="34" t="s">
        <v>334</v>
      </c>
      <c r="P5" s="34"/>
      <c r="Q5" s="80"/>
      <c r="R5" s="80"/>
      <c r="S5" s="80"/>
      <c r="T5" s="80"/>
      <c r="U5" s="80"/>
      <c r="V5" s="60"/>
      <c r="W5" s="664"/>
      <c r="X5" s="80"/>
      <c r="Y5" s="80"/>
      <c r="Z5" s="80"/>
      <c r="AA5" s="34"/>
      <c r="AB5" s="34"/>
      <c r="AC5" s="34"/>
      <c r="AD5" s="34"/>
      <c r="AE5" s="34"/>
      <c r="AF5" s="34"/>
    </row>
    <row r="6" spans="1:54" ht="15">
      <c r="A6" s="33" t="s">
        <v>336</v>
      </c>
      <c r="B6" s="84">
        <v>0.2</v>
      </c>
      <c r="C6" s="33" t="s">
        <v>335</v>
      </c>
      <c r="D6" s="34" t="s">
        <v>334</v>
      </c>
      <c r="J6" s="242"/>
      <c r="K6" s="708" t="s">
        <v>336</v>
      </c>
      <c r="L6" s="84">
        <v>0.2</v>
      </c>
      <c r="M6" s="708" t="s">
        <v>335</v>
      </c>
      <c r="N6" s="34" t="s">
        <v>334</v>
      </c>
      <c r="Q6" s="80"/>
      <c r="R6" s="80"/>
      <c r="S6" s="80"/>
      <c r="T6" s="80"/>
      <c r="U6" s="80"/>
      <c r="V6" s="80"/>
      <c r="W6" s="80"/>
      <c r="X6" s="80"/>
      <c r="Y6" s="80"/>
      <c r="Z6" s="80"/>
      <c r="AD6" s="33" t="s">
        <v>483</v>
      </c>
      <c r="AE6" s="63">
        <v>660</v>
      </c>
      <c r="AF6" s="33" t="s">
        <v>484</v>
      </c>
    </row>
    <row r="7" spans="1:54" ht="15">
      <c r="B7" s="63"/>
      <c r="J7" s="242"/>
      <c r="L7" s="63"/>
      <c r="Q7" s="80"/>
      <c r="R7" s="80"/>
      <c r="S7" s="80"/>
      <c r="T7" s="80"/>
      <c r="U7" s="80"/>
      <c r="V7" s="80" t="s">
        <v>617</v>
      </c>
      <c r="W7" s="80"/>
      <c r="X7" s="80"/>
      <c r="Y7" s="80"/>
      <c r="Z7" s="80"/>
      <c r="AA7" s="270"/>
      <c r="AD7" s="33" t="s">
        <v>491</v>
      </c>
      <c r="AE7" s="63">
        <v>150</v>
      </c>
      <c r="AF7" s="33" t="s">
        <v>492</v>
      </c>
      <c r="AG7" s="33" t="s">
        <v>431</v>
      </c>
    </row>
    <row r="8" spans="1:54" ht="16">
      <c r="B8" s="290"/>
      <c r="C8" s="290"/>
      <c r="D8" s="290"/>
      <c r="E8" s="291" t="s">
        <v>615</v>
      </c>
      <c r="F8" s="267">
        <f>AVERAGE(F14:F44)</f>
        <v>4.0454033314751827E-3</v>
      </c>
      <c r="J8" s="242"/>
      <c r="L8" s="290"/>
      <c r="M8" s="290"/>
      <c r="N8" s="290"/>
      <c r="O8" s="291" t="s">
        <v>615</v>
      </c>
      <c r="P8" s="267">
        <f>AVERAGE(P14:P44)</f>
        <v>1.3231468465443734E-2</v>
      </c>
      <c r="Q8" s="80"/>
      <c r="R8" s="80"/>
      <c r="S8" s="80"/>
      <c r="T8" s="80"/>
      <c r="U8" s="80"/>
      <c r="V8" s="80" t="s">
        <v>593</v>
      </c>
      <c r="W8" s="80"/>
      <c r="X8" s="80"/>
      <c r="Y8" s="80"/>
      <c r="Z8" s="80"/>
      <c r="AA8" s="270"/>
      <c r="AD8" s="33" t="s">
        <v>490</v>
      </c>
      <c r="AE8" s="63">
        <v>333</v>
      </c>
      <c r="AF8" s="33" t="s">
        <v>492</v>
      </c>
      <c r="AG8" s="33" t="s">
        <v>431</v>
      </c>
    </row>
    <row r="9" spans="1:54" ht="16">
      <c r="B9" s="232"/>
      <c r="C9" s="232"/>
      <c r="D9" s="232"/>
      <c r="E9" s="236" t="s">
        <v>643</v>
      </c>
      <c r="F9" s="237">
        <f>F8*B5*44/12</f>
        <v>7.4165727743711685E-3</v>
      </c>
      <c r="J9" s="242"/>
      <c r="L9" s="482"/>
      <c r="M9" s="482"/>
      <c r="N9" s="482"/>
      <c r="O9" s="483" t="s">
        <v>643</v>
      </c>
      <c r="P9" s="481">
        <f>P8*L5*44/12</f>
        <v>2.4257692186646845E-2</v>
      </c>
      <c r="Q9" s="80"/>
      <c r="R9" s="80"/>
      <c r="S9" s="80"/>
      <c r="T9" s="80"/>
      <c r="U9" s="80"/>
      <c r="V9" s="80"/>
      <c r="W9" s="80"/>
      <c r="X9" s="80"/>
      <c r="Y9" s="80"/>
      <c r="Z9" s="80"/>
      <c r="AA9" s="270"/>
      <c r="AR9" s="62" t="s">
        <v>481</v>
      </c>
    </row>
    <row r="10" spans="1:54">
      <c r="B10" s="2"/>
      <c r="C10" s="2"/>
      <c r="J10" s="242"/>
      <c r="L10" s="192"/>
      <c r="M10" s="192"/>
      <c r="Q10" s="80"/>
      <c r="R10" s="80"/>
      <c r="S10" s="80"/>
      <c r="T10" s="80"/>
      <c r="U10" s="80"/>
      <c r="V10" s="80"/>
      <c r="W10" s="80"/>
      <c r="X10" s="80"/>
      <c r="Y10" s="80"/>
      <c r="Z10" s="80"/>
      <c r="AA10" s="270"/>
      <c r="AS10" s="33" t="s">
        <v>330</v>
      </c>
    </row>
    <row r="11" spans="1:54" ht="15">
      <c r="A11" s="84"/>
      <c r="C11" s="192" t="s">
        <v>321</v>
      </c>
      <c r="D11" s="192" t="s">
        <v>321</v>
      </c>
      <c r="E11" s="192" t="s">
        <v>337</v>
      </c>
      <c r="F11" s="234" t="s">
        <v>337</v>
      </c>
      <c r="G11" s="231"/>
      <c r="H11" s="188" t="s">
        <v>597</v>
      </c>
      <c r="J11" s="242"/>
      <c r="K11" s="84"/>
      <c r="M11" s="192" t="s">
        <v>321</v>
      </c>
      <c r="N11" s="192" t="s">
        <v>321</v>
      </c>
      <c r="O11" s="192" t="s">
        <v>337</v>
      </c>
      <c r="P11" s="732" t="s">
        <v>337</v>
      </c>
      <c r="Q11" s="80"/>
      <c r="R11" s="80"/>
      <c r="S11" s="80"/>
      <c r="T11" s="80"/>
      <c r="U11" s="80"/>
      <c r="V11" s="84" t="s">
        <v>378</v>
      </c>
      <c r="W11" s="84" t="s">
        <v>378</v>
      </c>
      <c r="X11" s="84" t="s">
        <v>337</v>
      </c>
      <c r="Y11" s="84" t="s">
        <v>337</v>
      </c>
      <c r="Z11" s="84"/>
      <c r="AA11" s="271"/>
      <c r="AB11" s="2"/>
      <c r="AC11" s="2"/>
      <c r="AD11" s="2"/>
      <c r="AE11" s="3"/>
      <c r="AG11" s="2" t="s">
        <v>494</v>
      </c>
      <c r="AH11" s="2" t="s">
        <v>495</v>
      </c>
      <c r="AJ11" s="2" t="s">
        <v>434</v>
      </c>
      <c r="AK11" s="2" t="s">
        <v>435</v>
      </c>
      <c r="AM11" s="2" t="s">
        <v>436</v>
      </c>
      <c r="AR11" s="3" t="s">
        <v>486</v>
      </c>
      <c r="AS11" s="3" t="s">
        <v>437</v>
      </c>
    </row>
    <row r="12" spans="1:54" ht="15">
      <c r="A12" s="234" t="s">
        <v>623</v>
      </c>
      <c r="B12" s="234" t="s">
        <v>439</v>
      </c>
      <c r="C12" s="192" t="s">
        <v>634</v>
      </c>
      <c r="D12" s="192" t="s">
        <v>635</v>
      </c>
      <c r="E12" s="192" t="s">
        <v>634</v>
      </c>
      <c r="F12" s="234" t="s">
        <v>636</v>
      </c>
      <c r="G12" s="231"/>
      <c r="H12" s="188" t="s">
        <v>635</v>
      </c>
      <c r="J12" s="242"/>
      <c r="K12" s="709" t="s">
        <v>623</v>
      </c>
      <c r="L12" s="709" t="s">
        <v>74</v>
      </c>
      <c r="M12" s="192" t="s">
        <v>634</v>
      </c>
      <c r="N12" s="192" t="s">
        <v>635</v>
      </c>
      <c r="O12" s="192" t="s">
        <v>634</v>
      </c>
      <c r="P12" s="732" t="s">
        <v>636</v>
      </c>
      <c r="Q12" s="80"/>
      <c r="R12" s="80"/>
      <c r="S12" s="80"/>
      <c r="T12" s="80"/>
      <c r="U12" s="80"/>
      <c r="V12" s="84" t="s">
        <v>854</v>
      </c>
      <c r="W12" s="84" t="s">
        <v>855</v>
      </c>
      <c r="X12" s="84" t="s">
        <v>854</v>
      </c>
      <c r="Y12" s="84" t="s">
        <v>855</v>
      </c>
      <c r="Z12" s="84"/>
      <c r="AA12" s="271"/>
      <c r="AB12" s="2"/>
      <c r="AC12" s="2"/>
      <c r="AD12" s="2" t="s">
        <v>438</v>
      </c>
      <c r="AE12" s="2" t="s">
        <v>439</v>
      </c>
      <c r="AF12" s="2" t="s">
        <v>489</v>
      </c>
      <c r="AG12" s="2" t="s">
        <v>489</v>
      </c>
      <c r="AH12" s="2" t="s">
        <v>489</v>
      </c>
      <c r="AJ12" s="2" t="s">
        <v>432</v>
      </c>
      <c r="AK12" s="2" t="s">
        <v>432</v>
      </c>
      <c r="AM12" s="2" t="s">
        <v>432</v>
      </c>
      <c r="AQ12" s="2" t="str">
        <f t="shared" ref="AQ12:AQ44" si="0">A12</f>
        <v>Age</v>
      </c>
      <c r="AR12" s="2" t="s">
        <v>327</v>
      </c>
      <c r="AS12" s="2" t="s">
        <v>327</v>
      </c>
    </row>
    <row r="13" spans="1:54" s="42" customFormat="1" ht="15">
      <c r="A13" s="235" t="s">
        <v>487</v>
      </c>
      <c r="B13" s="235" t="s">
        <v>488</v>
      </c>
      <c r="C13" s="29" t="s">
        <v>591</v>
      </c>
      <c r="D13" s="29" t="s">
        <v>591</v>
      </c>
      <c r="E13" s="29" t="s">
        <v>338</v>
      </c>
      <c r="F13" s="235" t="s">
        <v>584</v>
      </c>
      <c r="H13" s="250" t="s">
        <v>592</v>
      </c>
      <c r="J13" s="246"/>
      <c r="K13" s="728" t="s">
        <v>176</v>
      </c>
      <c r="L13" s="728" t="s">
        <v>488</v>
      </c>
      <c r="M13" s="29" t="s">
        <v>591</v>
      </c>
      <c r="N13" s="29" t="s">
        <v>591</v>
      </c>
      <c r="O13" s="29" t="s">
        <v>333</v>
      </c>
      <c r="P13" s="733" t="s">
        <v>584</v>
      </c>
      <c r="Q13" s="666"/>
      <c r="R13" s="666"/>
      <c r="S13" s="666"/>
      <c r="T13" s="666"/>
      <c r="U13" s="666"/>
      <c r="V13" s="665" t="s">
        <v>857</v>
      </c>
      <c r="W13" s="665" t="s">
        <v>858</v>
      </c>
      <c r="X13" s="665" t="s">
        <v>857</v>
      </c>
      <c r="Y13" s="665" t="s">
        <v>858</v>
      </c>
      <c r="Z13" s="665"/>
      <c r="AA13" s="272"/>
      <c r="AB13" s="29"/>
      <c r="AC13" s="29"/>
      <c r="AD13" s="29" t="s">
        <v>487</v>
      </c>
      <c r="AE13" s="29" t="s">
        <v>488</v>
      </c>
      <c r="AF13" s="29" t="s">
        <v>325</v>
      </c>
      <c r="AG13" s="29" t="s">
        <v>493</v>
      </c>
      <c r="AH13" s="29" t="s">
        <v>493</v>
      </c>
      <c r="AJ13" s="29" t="s">
        <v>433</v>
      </c>
      <c r="AK13" s="29" t="s">
        <v>433</v>
      </c>
      <c r="AM13" s="29" t="s">
        <v>493</v>
      </c>
      <c r="AQ13" s="29" t="str">
        <f t="shared" si="0"/>
        <v>(yr)</v>
      </c>
      <c r="AR13" s="29" t="s">
        <v>373</v>
      </c>
      <c r="AS13" s="29" t="s">
        <v>373</v>
      </c>
    </row>
    <row r="14" spans="1:54">
      <c r="A14" s="234">
        <v>0</v>
      </c>
      <c r="B14" s="281">
        <v>0</v>
      </c>
      <c r="C14" s="55">
        <f>0.048*(B14^2.68)/1000</f>
        <v>0</v>
      </c>
      <c r="D14" s="44">
        <f t="shared" ref="D14:D44" si="1">C14*(1+$B$6)</f>
        <v>0</v>
      </c>
      <c r="E14" s="51">
        <f>C14</f>
        <v>0</v>
      </c>
      <c r="F14" s="237">
        <f t="shared" ref="F14:F44" si="2">E14*(1+$B$6)</f>
        <v>0</v>
      </c>
      <c r="H14" s="116">
        <v>0</v>
      </c>
      <c r="J14" s="242"/>
      <c r="K14" s="709">
        <v>0</v>
      </c>
      <c r="L14" s="735">
        <f>K14*$L$3</f>
        <v>0</v>
      </c>
      <c r="M14" s="111">
        <f>0.048*(L14^2.68)/1000</f>
        <v>0</v>
      </c>
      <c r="N14" s="111">
        <f t="shared" ref="N14:N44" si="3">M14*(1+$B$6)</f>
        <v>0</v>
      </c>
      <c r="O14" s="111">
        <f>M14</f>
        <v>0</v>
      </c>
      <c r="P14" s="481">
        <f t="shared" ref="P14:P44" si="4">O14*(1+$B$6)</f>
        <v>0</v>
      </c>
      <c r="Q14" s="80"/>
      <c r="R14" s="80"/>
      <c r="S14" s="80"/>
      <c r="T14" s="80"/>
      <c r="U14" s="80"/>
      <c r="V14" s="667">
        <f t="shared" ref="V14:V44" si="5">D14*$B$5</f>
        <v>0</v>
      </c>
      <c r="W14" s="668">
        <f>V14*44/12</f>
        <v>0</v>
      </c>
      <c r="X14" s="668">
        <f t="shared" ref="X14:X44" si="6">F14*$B$5</f>
        <v>0</v>
      </c>
      <c r="Y14" s="669">
        <f>X14*44/12</f>
        <v>0</v>
      </c>
      <c r="Z14" s="670"/>
      <c r="AA14" s="276"/>
      <c r="AB14" s="40"/>
      <c r="AC14" s="40"/>
      <c r="AD14" s="2">
        <v>0</v>
      </c>
      <c r="AE14" s="29">
        <v>0</v>
      </c>
      <c r="AF14" s="36">
        <f t="shared" ref="AF14:AF44" si="7">C14*1000/$AE$6</f>
        <v>0</v>
      </c>
      <c r="AG14" s="35">
        <f t="shared" ref="AG14:AG44" si="8">AF14*$AE$7</f>
        <v>0</v>
      </c>
      <c r="AH14" s="35">
        <f t="shared" ref="AH14:AH44" si="9">AF14*$AE$8</f>
        <v>0</v>
      </c>
      <c r="AJ14" s="35">
        <f>AVERAGE(AG14)</f>
        <v>0</v>
      </c>
      <c r="AK14" s="35">
        <f>AVERAGE(AH14)</f>
        <v>0</v>
      </c>
      <c r="AM14" s="35">
        <f>AF14*250</f>
        <v>0</v>
      </c>
      <c r="AQ14" s="2">
        <f t="shared" si="0"/>
        <v>0</v>
      </c>
      <c r="AR14" s="55">
        <f>C14*1000</f>
        <v>0</v>
      </c>
      <c r="AS14" s="2">
        <f t="shared" ref="AS14:AS44" si="10">0.022*(B14^2.92)</f>
        <v>0</v>
      </c>
    </row>
    <row r="15" spans="1:54">
      <c r="A15" s="234">
        <v>1</v>
      </c>
      <c r="B15" s="281">
        <f>3.895*LN(A15)+2.336</f>
        <v>2.3359999999999999</v>
      </c>
      <c r="C15" s="55">
        <f>(EXP(-1.17+2.119*LN(B15)))/1000</f>
        <v>1.8735677440083363E-3</v>
      </c>
      <c r="D15" s="44">
        <f t="shared" si="1"/>
        <v>2.2482812928100037E-3</v>
      </c>
      <c r="E15" s="51">
        <f t="shared" ref="E15:E44" si="11">C15-C14</f>
        <v>1.8735677440083363E-3</v>
      </c>
      <c r="F15" s="237">
        <f t="shared" si="2"/>
        <v>2.2482812928100037E-3</v>
      </c>
      <c r="H15" s="116">
        <f>0.004*A15-0.004</f>
        <v>0</v>
      </c>
      <c r="J15" s="242"/>
      <c r="K15" s="709">
        <v>1</v>
      </c>
      <c r="L15" s="735">
        <f t="shared" ref="L15:L44" si="12">K15*$L$3</f>
        <v>0.90869999999999995</v>
      </c>
      <c r="M15" s="111">
        <f>(EXP(-1.17+2.119*LN(L15)))/1000</f>
        <v>2.5337779657786199E-4</v>
      </c>
      <c r="N15" s="111">
        <f t="shared" si="3"/>
        <v>3.0405335589343439E-4</v>
      </c>
      <c r="O15" s="111">
        <f t="shared" ref="O15:O44" si="13">M15-M14</f>
        <v>2.5337779657786199E-4</v>
      </c>
      <c r="P15" s="481">
        <f t="shared" si="4"/>
        <v>3.0405335589343439E-4</v>
      </c>
      <c r="Q15" s="80"/>
      <c r="R15" s="80"/>
      <c r="S15" s="80"/>
      <c r="T15" s="80"/>
      <c r="U15" s="80"/>
      <c r="V15" s="667">
        <f t="shared" si="5"/>
        <v>1.1241406464050018E-3</v>
      </c>
      <c r="W15" s="668">
        <f t="shared" ref="W15:W44" si="14">V15*44/12</f>
        <v>4.1218490368183395E-3</v>
      </c>
      <c r="X15" s="668">
        <f t="shared" si="6"/>
        <v>1.1241406464050018E-3</v>
      </c>
      <c r="Y15" s="669">
        <f t="shared" ref="Y15:Y44" si="15">X15*44/12</f>
        <v>4.1218490368183395E-3</v>
      </c>
      <c r="Z15" s="670"/>
      <c r="AA15" s="276"/>
      <c r="AB15" s="40"/>
      <c r="AC15" s="40"/>
      <c r="AD15" s="2">
        <v>1</v>
      </c>
      <c r="AE15" s="29" t="e">
        <f t="shared" ref="AE15:AE29" si="16">AE14+$B$3</f>
        <v>#VALUE!</v>
      </c>
      <c r="AF15" s="36">
        <f t="shared" si="7"/>
        <v>2.8387390060732368E-3</v>
      </c>
      <c r="AG15" s="35">
        <f t="shared" si="8"/>
        <v>0.42581085091098553</v>
      </c>
      <c r="AH15" s="35">
        <f t="shared" si="9"/>
        <v>0.94530008902238782</v>
      </c>
      <c r="AJ15" s="35">
        <f>AVERAGE(AG$14:AG15)</f>
        <v>0.21290542545549276</v>
      </c>
      <c r="AK15" s="35">
        <f>AVERAGE(AH$14:AH15)</f>
        <v>0.47265004451119391</v>
      </c>
      <c r="AM15" s="35">
        <f t="shared" ref="AM15:AM44" si="17">AF15*250</f>
        <v>0.70968475151830923</v>
      </c>
      <c r="AQ15" s="2">
        <f t="shared" si="0"/>
        <v>1</v>
      </c>
      <c r="AR15" s="55">
        <f t="shared" ref="AR15:AR44" si="18">C15*1000</f>
        <v>1.8735677440083363</v>
      </c>
      <c r="AS15" s="2">
        <f t="shared" si="10"/>
        <v>0.26203745277271789</v>
      </c>
    </row>
    <row r="16" spans="1:54">
      <c r="A16" s="234">
        <f t="shared" ref="A16:A44" si="19">A15+1</f>
        <v>2</v>
      </c>
      <c r="B16" s="281">
        <f t="shared" ref="B16:B44" si="20">3.895*LN(A16)+2.336</f>
        <v>5.0358082682809862</v>
      </c>
      <c r="C16" s="55">
        <f t="shared" ref="C16:C44" si="21">(EXP(-1.17+2.119*LN(B16)))/1000</f>
        <v>9.54025674538184E-3</v>
      </c>
      <c r="D16" s="44">
        <f t="shared" si="1"/>
        <v>1.1448308094458208E-2</v>
      </c>
      <c r="E16" s="51">
        <f t="shared" si="11"/>
        <v>7.6666890013735037E-3</v>
      </c>
      <c r="F16" s="237">
        <f t="shared" si="2"/>
        <v>9.2000268016482045E-3</v>
      </c>
      <c r="H16" s="116">
        <f t="shared" ref="H16:H43" si="22">0.004*A16-0.004</f>
        <v>4.0000000000000001E-3</v>
      </c>
      <c r="J16" s="242"/>
      <c r="K16" s="709">
        <f t="shared" ref="K16:K44" si="23">K15+1</f>
        <v>2</v>
      </c>
      <c r="L16" s="735">
        <f t="shared" si="12"/>
        <v>1.8173999999999999</v>
      </c>
      <c r="M16" s="111">
        <f t="shared" ref="M16:M44" si="24">(EXP(-1.17+2.119*LN(L16)))/1000</f>
        <v>1.1006547595139168E-3</v>
      </c>
      <c r="N16" s="111">
        <f t="shared" si="3"/>
        <v>1.3207857114167002E-3</v>
      </c>
      <c r="O16" s="111">
        <f t="shared" si="13"/>
        <v>8.4727696293605478E-4</v>
      </c>
      <c r="P16" s="481">
        <f t="shared" si="4"/>
        <v>1.0167323555232658E-3</v>
      </c>
      <c r="Q16" s="80"/>
      <c r="R16" s="80"/>
      <c r="S16" s="80"/>
      <c r="T16" s="80"/>
      <c r="U16" s="80"/>
      <c r="V16" s="667">
        <f t="shared" si="5"/>
        <v>5.7241540472291038E-3</v>
      </c>
      <c r="W16" s="668">
        <f t="shared" si="14"/>
        <v>2.0988564839840046E-2</v>
      </c>
      <c r="X16" s="668">
        <f t="shared" si="6"/>
        <v>4.6000134008241022E-3</v>
      </c>
      <c r="Y16" s="669">
        <f t="shared" si="15"/>
        <v>1.6866715803021709E-2</v>
      </c>
      <c r="Z16" s="670"/>
      <c r="AA16" s="276"/>
      <c r="AB16" s="40"/>
      <c r="AC16" s="40"/>
      <c r="AD16" s="2">
        <f t="shared" ref="AD16:AD44" si="25">AD15+1</f>
        <v>2</v>
      </c>
      <c r="AE16" s="29" t="e">
        <f t="shared" si="16"/>
        <v>#VALUE!</v>
      </c>
      <c r="AF16" s="36">
        <f t="shared" si="7"/>
        <v>1.4454934462699756E-2</v>
      </c>
      <c r="AG16" s="35">
        <f t="shared" si="8"/>
        <v>2.1682401694049633</v>
      </c>
      <c r="AH16" s="35">
        <f t="shared" si="9"/>
        <v>4.8134931760790192</v>
      </c>
      <c r="AJ16" s="35">
        <f>AVERAGE(AG$14:AG16)</f>
        <v>0.8646836734386496</v>
      </c>
      <c r="AK16" s="35">
        <f>AVERAGE(AH$14:AH16)</f>
        <v>1.9195977550338024</v>
      </c>
      <c r="AM16" s="35">
        <f t="shared" si="17"/>
        <v>3.6137336156749389</v>
      </c>
      <c r="AQ16" s="2">
        <f t="shared" si="0"/>
        <v>2</v>
      </c>
      <c r="AR16" s="55">
        <f t="shared" si="18"/>
        <v>9.5402567453818392</v>
      </c>
      <c r="AS16" s="2">
        <f t="shared" si="10"/>
        <v>2.4686794711673414</v>
      </c>
    </row>
    <row r="17" spans="1:45">
      <c r="A17" s="234">
        <f t="shared" si="19"/>
        <v>3</v>
      </c>
      <c r="B17" s="281">
        <f t="shared" si="20"/>
        <v>6.6150948643622876</v>
      </c>
      <c r="C17" s="55">
        <f t="shared" si="21"/>
        <v>1.7005578188551713E-2</v>
      </c>
      <c r="D17" s="44">
        <f t="shared" si="1"/>
        <v>2.0406693826262055E-2</v>
      </c>
      <c r="E17" s="51">
        <f t="shared" si="11"/>
        <v>7.4653214431698728E-3</v>
      </c>
      <c r="F17" s="237">
        <f t="shared" si="2"/>
        <v>8.9583857318038477E-3</v>
      </c>
      <c r="H17" s="116">
        <f t="shared" si="22"/>
        <v>8.0000000000000002E-3</v>
      </c>
      <c r="J17" s="242"/>
      <c r="K17" s="709">
        <f t="shared" si="23"/>
        <v>3</v>
      </c>
      <c r="L17" s="735">
        <f t="shared" si="12"/>
        <v>2.7260999999999997</v>
      </c>
      <c r="M17" s="111">
        <f t="shared" si="24"/>
        <v>2.5988935655020806E-3</v>
      </c>
      <c r="N17" s="111">
        <f t="shared" si="3"/>
        <v>3.1186722786024968E-3</v>
      </c>
      <c r="O17" s="111">
        <f t="shared" si="13"/>
        <v>1.4982388059881638E-3</v>
      </c>
      <c r="P17" s="481">
        <f t="shared" si="4"/>
        <v>1.7978865671857964E-3</v>
      </c>
      <c r="Q17" s="80"/>
      <c r="R17" s="80"/>
      <c r="S17" s="80"/>
      <c r="T17" s="80"/>
      <c r="U17" s="80"/>
      <c r="V17" s="667">
        <f t="shared" si="5"/>
        <v>1.0203346913131028E-2</v>
      </c>
      <c r="W17" s="668">
        <f t="shared" si="14"/>
        <v>3.7412272014813765E-2</v>
      </c>
      <c r="X17" s="668">
        <f t="shared" si="6"/>
        <v>4.4791928659019238E-3</v>
      </c>
      <c r="Y17" s="669">
        <f t="shared" si="15"/>
        <v>1.6423707174973722E-2</v>
      </c>
      <c r="Z17" s="670"/>
      <c r="AA17" s="276"/>
      <c r="AB17" s="40"/>
      <c r="AC17" s="40"/>
      <c r="AD17" s="2">
        <f t="shared" si="25"/>
        <v>3</v>
      </c>
      <c r="AE17" s="29" t="e">
        <f t="shared" si="16"/>
        <v>#VALUE!</v>
      </c>
      <c r="AF17" s="36">
        <f t="shared" si="7"/>
        <v>2.5766027558411685E-2</v>
      </c>
      <c r="AG17" s="35">
        <f t="shared" si="8"/>
        <v>3.8649041337617529</v>
      </c>
      <c r="AH17" s="35">
        <f t="shared" si="9"/>
        <v>8.5800871769510909</v>
      </c>
      <c r="AJ17" s="35">
        <f>AVERAGE(AG$14:AG17)</f>
        <v>1.6147387885194253</v>
      </c>
      <c r="AK17" s="35">
        <f>AVERAGE(AH$14:AH17)</f>
        <v>3.5847201105131248</v>
      </c>
      <c r="AM17" s="35">
        <f t="shared" si="17"/>
        <v>6.4415068896029215</v>
      </c>
      <c r="AQ17" s="2">
        <f t="shared" si="0"/>
        <v>3</v>
      </c>
      <c r="AR17" s="55">
        <f t="shared" si="18"/>
        <v>17.005578188551713</v>
      </c>
      <c r="AS17" s="2">
        <f t="shared" si="10"/>
        <v>5.4750491788151168</v>
      </c>
    </row>
    <row r="18" spans="1:45">
      <c r="A18" s="234">
        <f t="shared" si="19"/>
        <v>4</v>
      </c>
      <c r="B18" s="281">
        <f t="shared" si="20"/>
        <v>7.7356165365619738</v>
      </c>
      <c r="C18" s="55">
        <f t="shared" si="21"/>
        <v>2.3691699716120739E-2</v>
      </c>
      <c r="D18" s="44">
        <f t="shared" si="1"/>
        <v>2.8430039659344885E-2</v>
      </c>
      <c r="E18" s="51">
        <f t="shared" si="11"/>
        <v>6.6861215275690264E-3</v>
      </c>
      <c r="F18" s="237">
        <f t="shared" si="2"/>
        <v>8.0233458330828313E-3</v>
      </c>
      <c r="H18" s="116">
        <f t="shared" si="22"/>
        <v>1.2E-2</v>
      </c>
      <c r="J18" s="242"/>
      <c r="K18" s="709">
        <f t="shared" si="23"/>
        <v>4</v>
      </c>
      <c r="L18" s="735">
        <f t="shared" si="12"/>
        <v>3.6347999999999998</v>
      </c>
      <c r="M18" s="111">
        <f t="shared" si="24"/>
        <v>4.7811643956275655E-3</v>
      </c>
      <c r="N18" s="111">
        <f t="shared" si="3"/>
        <v>5.7373972747530788E-3</v>
      </c>
      <c r="O18" s="111">
        <f t="shared" si="13"/>
        <v>2.1822708301254849E-3</v>
      </c>
      <c r="P18" s="481">
        <f t="shared" si="4"/>
        <v>2.618724996150582E-3</v>
      </c>
      <c r="Q18" s="80"/>
      <c r="R18" s="80"/>
      <c r="S18" s="80"/>
      <c r="T18" s="80"/>
      <c r="U18" s="80"/>
      <c r="V18" s="667">
        <f t="shared" si="5"/>
        <v>1.4215019829672442E-2</v>
      </c>
      <c r="W18" s="668">
        <f t="shared" si="14"/>
        <v>5.2121739375465624E-2</v>
      </c>
      <c r="X18" s="668">
        <f t="shared" si="6"/>
        <v>4.0116729165414157E-3</v>
      </c>
      <c r="Y18" s="669">
        <f t="shared" si="15"/>
        <v>1.4709467360651858E-2</v>
      </c>
      <c r="Z18" s="670"/>
      <c r="AA18" s="276"/>
      <c r="AB18" s="40"/>
      <c r="AC18" s="40"/>
      <c r="AD18" s="2">
        <f t="shared" si="25"/>
        <v>4</v>
      </c>
      <c r="AE18" s="29" t="e">
        <f t="shared" si="16"/>
        <v>#VALUE!</v>
      </c>
      <c r="AF18" s="36">
        <f t="shared" si="7"/>
        <v>3.5896514721395059E-2</v>
      </c>
      <c r="AG18" s="35">
        <f t="shared" si="8"/>
        <v>5.3844772082092591</v>
      </c>
      <c r="AH18" s="35">
        <f t="shared" si="9"/>
        <v>11.953539402224555</v>
      </c>
      <c r="AJ18" s="35">
        <f>AVERAGE(AG$14:AG18)</f>
        <v>2.3686864724573922</v>
      </c>
      <c r="AK18" s="35">
        <f>AVERAGE(AH$14:AH18)</f>
        <v>5.258483968855411</v>
      </c>
      <c r="AM18" s="35">
        <f t="shared" si="17"/>
        <v>8.9741286803487643</v>
      </c>
      <c r="AQ18" s="2">
        <f t="shared" si="0"/>
        <v>4</v>
      </c>
      <c r="AR18" s="55">
        <f t="shared" si="18"/>
        <v>23.691699716120738</v>
      </c>
      <c r="AS18" s="2">
        <f t="shared" si="10"/>
        <v>8.6462519286543902</v>
      </c>
    </row>
    <row r="19" spans="1:45">
      <c r="A19" s="234">
        <f t="shared" si="19"/>
        <v>5</v>
      </c>
      <c r="B19" s="281">
        <f t="shared" si="20"/>
        <v>8.6047606689308207</v>
      </c>
      <c r="C19" s="55">
        <f t="shared" si="21"/>
        <v>2.9688411688778345E-2</v>
      </c>
      <c r="D19" s="44">
        <f t="shared" si="1"/>
        <v>3.5626094026534015E-2</v>
      </c>
      <c r="E19" s="51">
        <f t="shared" si="11"/>
        <v>5.9967119726576056E-3</v>
      </c>
      <c r="F19" s="237">
        <f t="shared" si="2"/>
        <v>7.1960543671891267E-3</v>
      </c>
      <c r="H19" s="116">
        <f t="shared" si="22"/>
        <v>1.6E-2</v>
      </c>
      <c r="J19" s="242"/>
      <c r="K19" s="709">
        <f t="shared" si="23"/>
        <v>5</v>
      </c>
      <c r="L19" s="735">
        <f t="shared" si="12"/>
        <v>4.5434999999999999</v>
      </c>
      <c r="M19" s="111">
        <f t="shared" si="24"/>
        <v>7.6716007741122246E-3</v>
      </c>
      <c r="N19" s="111">
        <f t="shared" si="3"/>
        <v>9.2059209289346699E-3</v>
      </c>
      <c r="O19" s="111">
        <f t="shared" si="13"/>
        <v>2.8904363784846591E-3</v>
      </c>
      <c r="P19" s="481">
        <f t="shared" si="4"/>
        <v>3.4685236541815907E-3</v>
      </c>
      <c r="Q19" s="80"/>
      <c r="R19" s="80"/>
      <c r="S19" s="80"/>
      <c r="T19" s="80"/>
      <c r="U19" s="80"/>
      <c r="V19" s="667">
        <f t="shared" si="5"/>
        <v>1.7813047013267008E-2</v>
      </c>
      <c r="W19" s="668">
        <f t="shared" si="14"/>
        <v>6.531450571531236E-2</v>
      </c>
      <c r="X19" s="668">
        <f t="shared" si="6"/>
        <v>3.5980271835945633E-3</v>
      </c>
      <c r="Y19" s="669">
        <f t="shared" si="15"/>
        <v>1.3192766339846734E-2</v>
      </c>
      <c r="Z19" s="670"/>
      <c r="AA19" s="276"/>
      <c r="AB19" s="40"/>
      <c r="AC19" s="40"/>
      <c r="AD19" s="2">
        <f t="shared" si="25"/>
        <v>5</v>
      </c>
      <c r="AE19" s="29" t="e">
        <f t="shared" si="16"/>
        <v>#VALUE!</v>
      </c>
      <c r="AF19" s="36">
        <f t="shared" si="7"/>
        <v>4.4982441952694463E-2</v>
      </c>
      <c r="AG19" s="35">
        <f t="shared" si="8"/>
        <v>6.7473662929041698</v>
      </c>
      <c r="AH19" s="35">
        <f t="shared" si="9"/>
        <v>14.979153170247256</v>
      </c>
      <c r="AJ19" s="35">
        <f>AVERAGE(AG$14:AG19)</f>
        <v>3.0984664425318549</v>
      </c>
      <c r="AK19" s="35">
        <f>AVERAGE(AH$14:AH19)</f>
        <v>6.878595502420719</v>
      </c>
      <c r="AM19" s="35">
        <f t="shared" si="17"/>
        <v>11.245610488173616</v>
      </c>
      <c r="AQ19" s="2">
        <f t="shared" si="0"/>
        <v>5</v>
      </c>
      <c r="AR19" s="55">
        <f t="shared" si="18"/>
        <v>29.688411688778345</v>
      </c>
      <c r="AS19" s="2">
        <f t="shared" si="10"/>
        <v>11.799401075086799</v>
      </c>
    </row>
    <row r="20" spans="1:45">
      <c r="A20" s="234">
        <f t="shared" si="19"/>
        <v>6</v>
      </c>
      <c r="B20" s="281">
        <f t="shared" si="20"/>
        <v>9.3149031326432734</v>
      </c>
      <c r="C20" s="55">
        <f t="shared" si="21"/>
        <v>3.51207971654122E-2</v>
      </c>
      <c r="D20" s="44">
        <f t="shared" si="1"/>
        <v>4.214495659849464E-2</v>
      </c>
      <c r="E20" s="51">
        <f t="shared" si="11"/>
        <v>5.4323854766338553E-3</v>
      </c>
      <c r="F20" s="237">
        <f t="shared" si="2"/>
        <v>6.5188625719606258E-3</v>
      </c>
      <c r="H20" s="116">
        <f t="shared" si="22"/>
        <v>0.02</v>
      </c>
      <c r="J20" s="242"/>
      <c r="K20" s="709">
        <f t="shared" si="23"/>
        <v>6</v>
      </c>
      <c r="L20" s="735">
        <f t="shared" si="12"/>
        <v>5.4521999999999995</v>
      </c>
      <c r="M20" s="111">
        <f t="shared" si="24"/>
        <v>1.1289405034592066E-2</v>
      </c>
      <c r="N20" s="111">
        <f t="shared" si="3"/>
        <v>1.3547286041510479E-2</v>
      </c>
      <c r="O20" s="111">
        <f t="shared" si="13"/>
        <v>3.6178042604798413E-3</v>
      </c>
      <c r="P20" s="481">
        <f t="shared" si="4"/>
        <v>4.3413651125758096E-3</v>
      </c>
      <c r="Q20" s="80"/>
      <c r="R20" s="80"/>
      <c r="S20" s="80"/>
      <c r="T20" s="80"/>
      <c r="U20" s="80"/>
      <c r="V20" s="667">
        <f t="shared" si="5"/>
        <v>2.107247829924732E-2</v>
      </c>
      <c r="W20" s="668">
        <f t="shared" si="14"/>
        <v>7.7265753763906833E-2</v>
      </c>
      <c r="X20" s="668">
        <f t="shared" si="6"/>
        <v>3.2594312859803129E-3</v>
      </c>
      <c r="Y20" s="669">
        <f t="shared" si="15"/>
        <v>1.195124804859448E-2</v>
      </c>
      <c r="Z20" s="670"/>
      <c r="AA20" s="276"/>
      <c r="AB20" s="40"/>
      <c r="AC20" s="40"/>
      <c r="AD20" s="2">
        <f t="shared" si="25"/>
        <v>6</v>
      </c>
      <c r="AE20" s="29" t="e">
        <f t="shared" si="16"/>
        <v>#VALUE!</v>
      </c>
      <c r="AF20" s="36">
        <f t="shared" si="7"/>
        <v>5.3213329038503329E-2</v>
      </c>
      <c r="AG20" s="35">
        <f t="shared" si="8"/>
        <v>7.9819993557754998</v>
      </c>
      <c r="AH20" s="35">
        <f t="shared" si="9"/>
        <v>17.720038569821607</v>
      </c>
      <c r="AJ20" s="35">
        <f>AVERAGE(AG$14:AG20)</f>
        <v>3.7961140015666612</v>
      </c>
      <c r="AK20" s="35">
        <f>AVERAGE(AH$14:AH20)</f>
        <v>8.4273730834779883</v>
      </c>
      <c r="AM20" s="35">
        <f t="shared" si="17"/>
        <v>13.303332259625833</v>
      </c>
      <c r="AQ20" s="2">
        <f t="shared" si="0"/>
        <v>6</v>
      </c>
      <c r="AR20" s="55">
        <f t="shared" si="18"/>
        <v>35.120797165412199</v>
      </c>
      <c r="AS20" s="2">
        <f t="shared" si="10"/>
        <v>14.873851535656902</v>
      </c>
    </row>
    <row r="21" spans="1:45">
      <c r="A21" s="234">
        <f t="shared" si="19"/>
        <v>7</v>
      </c>
      <c r="B21" s="281">
        <f t="shared" si="20"/>
        <v>9.9153200305704452</v>
      </c>
      <c r="C21" s="55">
        <f t="shared" si="21"/>
        <v>4.0091234578631743E-2</v>
      </c>
      <c r="D21" s="44">
        <f t="shared" si="1"/>
        <v>4.8109481494358092E-2</v>
      </c>
      <c r="E21" s="51">
        <f t="shared" si="11"/>
        <v>4.9704374132195431E-3</v>
      </c>
      <c r="F21" s="237">
        <f t="shared" si="2"/>
        <v>5.9645248958634517E-3</v>
      </c>
      <c r="H21" s="116">
        <f t="shared" si="22"/>
        <v>2.4E-2</v>
      </c>
      <c r="J21" s="242"/>
      <c r="K21" s="709">
        <f t="shared" si="23"/>
        <v>7</v>
      </c>
      <c r="L21" s="735">
        <f t="shared" si="12"/>
        <v>6.3609</v>
      </c>
      <c r="M21" s="111">
        <f t="shared" si="24"/>
        <v>1.5650611174152344E-2</v>
      </c>
      <c r="N21" s="111">
        <f t="shared" si="3"/>
        <v>1.878073340898281E-2</v>
      </c>
      <c r="O21" s="111">
        <f t="shared" si="13"/>
        <v>4.3612061395602777E-3</v>
      </c>
      <c r="P21" s="481">
        <f t="shared" si="4"/>
        <v>5.2334473674723334E-3</v>
      </c>
      <c r="Q21" s="80"/>
      <c r="R21" s="80"/>
      <c r="S21" s="80"/>
      <c r="T21" s="80"/>
      <c r="U21" s="80"/>
      <c r="V21" s="667">
        <f t="shared" si="5"/>
        <v>2.4054740747179046E-2</v>
      </c>
      <c r="W21" s="668">
        <f t="shared" si="14"/>
        <v>8.8200716072989835E-2</v>
      </c>
      <c r="X21" s="668">
        <f t="shared" si="6"/>
        <v>2.9822624479317258E-3</v>
      </c>
      <c r="Y21" s="669">
        <f t="shared" si="15"/>
        <v>1.0934962309082995E-2</v>
      </c>
      <c r="Z21" s="670"/>
      <c r="AA21" s="276"/>
      <c r="AB21" s="40"/>
      <c r="AC21" s="40"/>
      <c r="AD21" s="2">
        <f t="shared" si="25"/>
        <v>7</v>
      </c>
      <c r="AE21" s="29" t="e">
        <f t="shared" si="16"/>
        <v>#VALUE!</v>
      </c>
      <c r="AF21" s="36">
        <f t="shared" si="7"/>
        <v>6.0744294816108699E-2</v>
      </c>
      <c r="AG21" s="35">
        <f t="shared" si="8"/>
        <v>9.1116442224163041</v>
      </c>
      <c r="AH21" s="35">
        <f t="shared" si="9"/>
        <v>20.227850173764196</v>
      </c>
      <c r="AJ21" s="35">
        <f>AVERAGE(AG$14:AG21)</f>
        <v>4.4605552791728664</v>
      </c>
      <c r="AK21" s="35">
        <f>AVERAGE(AH$14:AH21)</f>
        <v>9.9024327197637643</v>
      </c>
      <c r="AM21" s="35">
        <f t="shared" si="17"/>
        <v>15.186073704027175</v>
      </c>
      <c r="AQ21" s="2">
        <f t="shared" si="0"/>
        <v>7</v>
      </c>
      <c r="AR21" s="55">
        <f t="shared" si="18"/>
        <v>40.091234578631742</v>
      </c>
      <c r="AS21" s="2">
        <f t="shared" si="10"/>
        <v>17.850005348557627</v>
      </c>
    </row>
    <row r="22" spans="1:45">
      <c r="A22" s="234">
        <f t="shared" si="19"/>
        <v>8</v>
      </c>
      <c r="B22" s="281">
        <f t="shared" si="20"/>
        <v>10.435424804842961</v>
      </c>
      <c r="C22" s="55">
        <f t="shared" si="21"/>
        <v>4.467848394846384E-2</v>
      </c>
      <c r="D22" s="44">
        <f t="shared" si="1"/>
        <v>5.361418073815661E-2</v>
      </c>
      <c r="E22" s="51">
        <f t="shared" si="11"/>
        <v>4.5872493698320971E-3</v>
      </c>
      <c r="F22" s="237">
        <f t="shared" si="2"/>
        <v>5.5046992437985161E-3</v>
      </c>
      <c r="H22" s="116">
        <f t="shared" si="22"/>
        <v>2.8000000000000001E-2</v>
      </c>
      <c r="J22" s="242"/>
      <c r="K22" s="709">
        <f t="shared" si="23"/>
        <v>8</v>
      </c>
      <c r="L22" s="735">
        <f t="shared" si="12"/>
        <v>7.2695999999999996</v>
      </c>
      <c r="M22" s="111">
        <f t="shared" si="24"/>
        <v>2.0769031142982754E-2</v>
      </c>
      <c r="N22" s="111">
        <f t="shared" si="3"/>
        <v>2.4922837371579305E-2</v>
      </c>
      <c r="O22" s="111">
        <f t="shared" si="13"/>
        <v>5.1184199688304108E-3</v>
      </c>
      <c r="P22" s="481">
        <f t="shared" si="4"/>
        <v>6.1421039625964924E-3</v>
      </c>
      <c r="Q22" s="80"/>
      <c r="R22" s="80"/>
      <c r="S22" s="80"/>
      <c r="T22" s="80"/>
      <c r="U22" s="80"/>
      <c r="V22" s="667">
        <f t="shared" si="5"/>
        <v>2.6807090369078305E-2</v>
      </c>
      <c r="W22" s="668">
        <f t="shared" si="14"/>
        <v>9.8292664686620457E-2</v>
      </c>
      <c r="X22" s="668">
        <f t="shared" si="6"/>
        <v>2.7523496218992581E-3</v>
      </c>
      <c r="Y22" s="669">
        <f t="shared" si="15"/>
        <v>1.0091948613630613E-2</v>
      </c>
      <c r="Z22" s="670"/>
      <c r="AA22" s="276"/>
      <c r="AB22" s="40"/>
      <c r="AC22" s="40"/>
      <c r="AD22" s="2">
        <f t="shared" si="25"/>
        <v>8</v>
      </c>
      <c r="AE22" s="29" t="e">
        <f t="shared" si="16"/>
        <v>#VALUE!</v>
      </c>
      <c r="AF22" s="36">
        <f t="shared" si="7"/>
        <v>6.7694672649187645E-2</v>
      </c>
      <c r="AG22" s="35">
        <f t="shared" si="8"/>
        <v>10.154200897378146</v>
      </c>
      <c r="AH22" s="35">
        <f t="shared" si="9"/>
        <v>22.542325992179485</v>
      </c>
      <c r="AJ22" s="35">
        <f>AVERAGE(AG$14:AG22)</f>
        <v>5.0931825700845641</v>
      </c>
      <c r="AK22" s="35">
        <f>AVERAGE(AH$14:AH22)</f>
        <v>11.306865305587733</v>
      </c>
      <c r="AM22" s="35">
        <f t="shared" si="17"/>
        <v>16.923668162296913</v>
      </c>
      <c r="AQ22" s="2">
        <f t="shared" si="0"/>
        <v>8</v>
      </c>
      <c r="AR22" s="55">
        <f t="shared" si="18"/>
        <v>44.678483948463843</v>
      </c>
      <c r="AS22" s="2">
        <f t="shared" si="10"/>
        <v>20.723937277416031</v>
      </c>
    </row>
    <row r="23" spans="1:45">
      <c r="A23" s="234">
        <f t="shared" si="19"/>
        <v>9</v>
      </c>
      <c r="B23" s="281">
        <f t="shared" si="20"/>
        <v>10.894189728724575</v>
      </c>
      <c r="C23" s="55">
        <f t="shared" si="21"/>
        <v>4.8943105496082599E-2</v>
      </c>
      <c r="D23" s="44">
        <f t="shared" si="1"/>
        <v>5.8731726595299114E-2</v>
      </c>
      <c r="E23" s="51">
        <f t="shared" si="11"/>
        <v>4.2646215476187591E-3</v>
      </c>
      <c r="F23" s="237">
        <f t="shared" si="2"/>
        <v>5.1175458571425109E-3</v>
      </c>
      <c r="H23" s="116">
        <f t="shared" si="22"/>
        <v>3.2000000000000001E-2</v>
      </c>
      <c r="J23" s="242"/>
      <c r="K23" s="709">
        <f t="shared" si="23"/>
        <v>9</v>
      </c>
      <c r="L23" s="735">
        <f t="shared" si="12"/>
        <v>8.1783000000000001</v>
      </c>
      <c r="M23" s="111">
        <f t="shared" si="24"/>
        <v>2.665682572045169E-2</v>
      </c>
      <c r="N23" s="111">
        <f t="shared" si="3"/>
        <v>3.1988190864542028E-2</v>
      </c>
      <c r="O23" s="111">
        <f t="shared" si="13"/>
        <v>5.8877945774689355E-3</v>
      </c>
      <c r="P23" s="481">
        <f t="shared" si="4"/>
        <v>7.0653534929627226E-3</v>
      </c>
      <c r="Q23" s="80"/>
      <c r="R23" s="80"/>
      <c r="S23" s="80"/>
      <c r="T23" s="80"/>
      <c r="U23" s="80"/>
      <c r="V23" s="667">
        <f t="shared" si="5"/>
        <v>2.9365863297649557E-2</v>
      </c>
      <c r="W23" s="668">
        <f t="shared" si="14"/>
        <v>0.10767483209138172</v>
      </c>
      <c r="X23" s="668">
        <f t="shared" si="6"/>
        <v>2.5587729285712554E-3</v>
      </c>
      <c r="Y23" s="669">
        <f t="shared" si="15"/>
        <v>9.3821674047612699E-3</v>
      </c>
      <c r="Z23" s="670"/>
      <c r="AA23" s="276"/>
      <c r="AB23" s="40"/>
      <c r="AC23" s="40"/>
      <c r="AD23" s="2">
        <f t="shared" si="25"/>
        <v>9</v>
      </c>
      <c r="AE23" s="29" t="e">
        <f t="shared" si="16"/>
        <v>#VALUE!</v>
      </c>
      <c r="AF23" s="36">
        <f t="shared" si="7"/>
        <v>7.4156220448610005E-2</v>
      </c>
      <c r="AG23" s="35">
        <f t="shared" si="8"/>
        <v>11.123433067291501</v>
      </c>
      <c r="AH23" s="35">
        <f t="shared" si="9"/>
        <v>24.694021409387133</v>
      </c>
      <c r="AJ23" s="35">
        <f>AVERAGE(AG$14:AG23)</f>
        <v>5.696207619805258</v>
      </c>
      <c r="AK23" s="35">
        <f>AVERAGE(AH$14:AH23)</f>
        <v>12.645580915967674</v>
      </c>
      <c r="AM23" s="35">
        <f t="shared" si="17"/>
        <v>18.5390551121525</v>
      </c>
      <c r="AQ23" s="2">
        <f t="shared" si="0"/>
        <v>9</v>
      </c>
      <c r="AR23" s="55">
        <f t="shared" si="18"/>
        <v>48.943105496082602</v>
      </c>
      <c r="AS23" s="2">
        <f t="shared" si="10"/>
        <v>23.498053569846601</v>
      </c>
    </row>
    <row r="24" spans="1:45">
      <c r="A24" s="234">
        <f t="shared" si="19"/>
        <v>10</v>
      </c>
      <c r="B24" s="281">
        <f t="shared" si="20"/>
        <v>11.304568937211808</v>
      </c>
      <c r="C24" s="55">
        <f t="shared" si="21"/>
        <v>5.2932291578431621E-2</v>
      </c>
      <c r="D24" s="44">
        <f t="shared" si="1"/>
        <v>6.3518749894117946E-2</v>
      </c>
      <c r="E24" s="51">
        <f t="shared" si="11"/>
        <v>3.9891860823490222E-3</v>
      </c>
      <c r="F24" s="237">
        <f t="shared" si="2"/>
        <v>4.7870232988188261E-3</v>
      </c>
      <c r="H24" s="116">
        <f t="shared" si="22"/>
        <v>3.6000000000000004E-2</v>
      </c>
      <c r="J24" s="242"/>
      <c r="K24" s="709">
        <f t="shared" si="23"/>
        <v>10</v>
      </c>
      <c r="L24" s="735">
        <f t="shared" si="12"/>
        <v>9.0869999999999997</v>
      </c>
      <c r="M24" s="111">
        <f t="shared" si="24"/>
        <v>3.3324876998535785E-2</v>
      </c>
      <c r="N24" s="111">
        <f t="shared" si="3"/>
        <v>3.9989852398242938E-2</v>
      </c>
      <c r="O24" s="111">
        <f t="shared" si="13"/>
        <v>6.6680512780840952E-3</v>
      </c>
      <c r="P24" s="481">
        <f t="shared" si="4"/>
        <v>8.0016615337009135E-3</v>
      </c>
      <c r="Q24" s="80"/>
      <c r="R24" s="80"/>
      <c r="S24" s="80"/>
      <c r="T24" s="80"/>
      <c r="U24" s="80"/>
      <c r="V24" s="667">
        <f t="shared" si="5"/>
        <v>3.1759374947058973E-2</v>
      </c>
      <c r="W24" s="668">
        <f t="shared" si="14"/>
        <v>0.11645104147254957</v>
      </c>
      <c r="X24" s="668">
        <f t="shared" si="6"/>
        <v>2.393511649409413E-3</v>
      </c>
      <c r="Y24" s="669">
        <f t="shared" si="15"/>
        <v>8.7762093811678474E-3</v>
      </c>
      <c r="Z24" s="670"/>
      <c r="AA24" s="276"/>
      <c r="AB24" s="40"/>
      <c r="AC24" s="40"/>
      <c r="AD24" s="2">
        <f t="shared" si="25"/>
        <v>10</v>
      </c>
      <c r="AE24" s="29" t="e">
        <f t="shared" si="16"/>
        <v>#VALUE!</v>
      </c>
      <c r="AF24" s="36">
        <f t="shared" si="7"/>
        <v>8.0200441785502466E-2</v>
      </c>
      <c r="AG24" s="35">
        <f t="shared" si="8"/>
        <v>12.03006626782537</v>
      </c>
      <c r="AH24" s="35">
        <f t="shared" si="9"/>
        <v>26.70674711457232</v>
      </c>
      <c r="AJ24" s="35">
        <f>AVERAGE(AG$14:AG24)</f>
        <v>6.2720129514434495</v>
      </c>
      <c r="AK24" s="35">
        <f>AVERAGE(AH$14:AH24)</f>
        <v>13.923868752204459</v>
      </c>
      <c r="AM24" s="35">
        <f t="shared" si="17"/>
        <v>20.050110446375616</v>
      </c>
      <c r="AQ24" s="2">
        <f t="shared" si="0"/>
        <v>10</v>
      </c>
      <c r="AR24" s="55">
        <f t="shared" si="18"/>
        <v>52.932291578431624</v>
      </c>
      <c r="AS24" s="2">
        <f t="shared" si="10"/>
        <v>26.177271664997086</v>
      </c>
    </row>
    <row r="25" spans="1:45">
      <c r="A25" s="234">
        <f t="shared" si="19"/>
        <v>11</v>
      </c>
      <c r="B25" s="281">
        <f t="shared" si="20"/>
        <v>11.675802087549654</v>
      </c>
      <c r="C25" s="55">
        <f t="shared" si="21"/>
        <v>5.6683417450266074E-2</v>
      </c>
      <c r="D25" s="44">
        <f t="shared" si="1"/>
        <v>6.8020100940319281E-2</v>
      </c>
      <c r="E25" s="51">
        <f t="shared" si="11"/>
        <v>3.7511258718344528E-3</v>
      </c>
      <c r="F25" s="237">
        <f t="shared" si="2"/>
        <v>4.5013510462013429E-3</v>
      </c>
      <c r="H25" s="116">
        <f t="shared" si="22"/>
        <v>3.9999999999999994E-2</v>
      </c>
      <c r="J25" s="242"/>
      <c r="K25" s="709">
        <f t="shared" si="23"/>
        <v>11</v>
      </c>
      <c r="L25" s="735">
        <f t="shared" si="12"/>
        <v>9.9956999999999994</v>
      </c>
      <c r="M25" s="111">
        <f t="shared" si="24"/>
        <v>4.0783045602878015E-2</v>
      </c>
      <c r="N25" s="111">
        <f t="shared" si="3"/>
        <v>4.8939654723453616E-2</v>
      </c>
      <c r="O25" s="111">
        <f t="shared" si="13"/>
        <v>7.4581686043422302E-3</v>
      </c>
      <c r="P25" s="481">
        <f t="shared" si="4"/>
        <v>8.9498023252106759E-3</v>
      </c>
      <c r="Q25" s="80"/>
      <c r="R25" s="80"/>
      <c r="S25" s="80"/>
      <c r="T25" s="80"/>
      <c r="U25" s="80"/>
      <c r="V25" s="667">
        <f t="shared" si="5"/>
        <v>3.401005047015964E-2</v>
      </c>
      <c r="W25" s="668">
        <f t="shared" si="14"/>
        <v>0.12470351839058536</v>
      </c>
      <c r="X25" s="668">
        <f t="shared" si="6"/>
        <v>2.2506755231006714E-3</v>
      </c>
      <c r="Y25" s="669">
        <f t="shared" si="15"/>
        <v>8.2524769180357949E-3</v>
      </c>
      <c r="Z25" s="670"/>
      <c r="AA25" s="276"/>
      <c r="AB25" s="40"/>
      <c r="AC25" s="40"/>
      <c r="AD25" s="2">
        <f t="shared" si="25"/>
        <v>11</v>
      </c>
      <c r="AE25" s="29" t="e">
        <f t="shared" si="16"/>
        <v>#VALUE!</v>
      </c>
      <c r="AF25" s="36">
        <f t="shared" si="7"/>
        <v>8.5883965833736475E-2</v>
      </c>
      <c r="AG25" s="35">
        <f t="shared" si="8"/>
        <v>12.882594875060471</v>
      </c>
      <c r="AH25" s="35">
        <f t="shared" si="9"/>
        <v>28.599360622634247</v>
      </c>
      <c r="AJ25" s="35">
        <f>AVERAGE(AG$14:AG25)</f>
        <v>6.822894778411535</v>
      </c>
      <c r="AK25" s="35">
        <f>AVERAGE(AH$14:AH25)</f>
        <v>15.146826408073608</v>
      </c>
      <c r="AM25" s="35">
        <f t="shared" si="17"/>
        <v>21.470991458434121</v>
      </c>
      <c r="AQ25" s="2">
        <f t="shared" si="0"/>
        <v>11</v>
      </c>
      <c r="AR25" s="55">
        <f t="shared" si="18"/>
        <v>56.683417450266077</v>
      </c>
      <c r="AS25" s="2">
        <f t="shared" si="10"/>
        <v>28.767353974081651</v>
      </c>
    </row>
    <row r="26" spans="1:45">
      <c r="A26" s="234">
        <f t="shared" si="19"/>
        <v>12</v>
      </c>
      <c r="B26" s="281">
        <f t="shared" si="20"/>
        <v>12.014711400924261</v>
      </c>
      <c r="C26" s="55">
        <f t="shared" si="21"/>
        <v>6.0226556206039297E-2</v>
      </c>
      <c r="D26" s="44">
        <f t="shared" si="1"/>
        <v>7.2271867447247159E-2</v>
      </c>
      <c r="E26" s="51">
        <f t="shared" si="11"/>
        <v>3.543138755773223E-3</v>
      </c>
      <c r="F26" s="237">
        <f t="shared" si="2"/>
        <v>4.2517665069278674E-3</v>
      </c>
      <c r="H26" s="116">
        <f t="shared" si="22"/>
        <v>4.3999999999999997E-2</v>
      </c>
      <c r="J26" s="242"/>
      <c r="K26" s="709">
        <f t="shared" si="23"/>
        <v>12</v>
      </c>
      <c r="L26" s="735">
        <f t="shared" si="12"/>
        <v>10.904399999999999</v>
      </c>
      <c r="M26" s="111">
        <f t="shared" si="24"/>
        <v>4.9040356144962181E-2</v>
      </c>
      <c r="N26" s="111">
        <f t="shared" si="3"/>
        <v>5.8848427373954612E-2</v>
      </c>
      <c r="O26" s="111">
        <f t="shared" si="13"/>
        <v>8.2573105420841661E-3</v>
      </c>
      <c r="P26" s="481">
        <f t="shared" si="4"/>
        <v>9.9087726505009983E-3</v>
      </c>
      <c r="Q26" s="80"/>
      <c r="R26" s="80"/>
      <c r="S26" s="80"/>
      <c r="T26" s="80"/>
      <c r="U26" s="80"/>
      <c r="V26" s="667">
        <f t="shared" si="5"/>
        <v>3.613593372362358E-2</v>
      </c>
      <c r="W26" s="668">
        <f t="shared" si="14"/>
        <v>0.13249842365328646</v>
      </c>
      <c r="X26" s="668">
        <f t="shared" si="6"/>
        <v>2.1258832534639337E-3</v>
      </c>
      <c r="Y26" s="669">
        <f t="shared" si="15"/>
        <v>7.7949052627010905E-3</v>
      </c>
      <c r="Z26" s="670"/>
      <c r="AA26" s="276"/>
      <c r="AB26" s="40"/>
      <c r="AC26" s="40"/>
      <c r="AD26" s="2">
        <f t="shared" si="25"/>
        <v>12</v>
      </c>
      <c r="AE26" s="29" t="e">
        <f t="shared" si="16"/>
        <v>#VALUE!</v>
      </c>
      <c r="AF26" s="36">
        <f t="shared" si="7"/>
        <v>9.1252357887938326E-2</v>
      </c>
      <c r="AG26" s="35">
        <f t="shared" si="8"/>
        <v>13.687853683190749</v>
      </c>
      <c r="AH26" s="35">
        <f t="shared" si="9"/>
        <v>30.387035176683462</v>
      </c>
      <c r="AJ26" s="35">
        <f>AVERAGE(AG$14:AG26)</f>
        <v>7.3509685403176288</v>
      </c>
      <c r="AK26" s="35">
        <f>AVERAGE(AH$14:AH26)</f>
        <v>16.319150159505135</v>
      </c>
      <c r="AM26" s="35">
        <f t="shared" si="17"/>
        <v>22.813089471984583</v>
      </c>
      <c r="AQ26" s="2">
        <f t="shared" si="0"/>
        <v>12</v>
      </c>
      <c r="AR26" s="55">
        <f t="shared" si="18"/>
        <v>60.226556206039298</v>
      </c>
      <c r="AS26" s="2">
        <f t="shared" si="10"/>
        <v>31.274159248872074</v>
      </c>
    </row>
    <row r="27" spans="1:45">
      <c r="A27" s="234">
        <f t="shared" si="19"/>
        <v>13</v>
      </c>
      <c r="B27" s="281">
        <f t="shared" si="20"/>
        <v>12.326477747312685</v>
      </c>
      <c r="C27" s="55">
        <f t="shared" si="21"/>
        <v>6.3586261059208629E-2</v>
      </c>
      <c r="D27" s="44">
        <f t="shared" si="1"/>
        <v>7.6303513271050352E-2</v>
      </c>
      <c r="E27" s="51">
        <f t="shared" si="11"/>
        <v>3.3597048531693319E-3</v>
      </c>
      <c r="F27" s="237">
        <f t="shared" si="2"/>
        <v>4.0316458238031979E-3</v>
      </c>
      <c r="H27" s="116">
        <f t="shared" si="22"/>
        <v>4.8000000000000001E-2</v>
      </c>
      <c r="J27" s="242"/>
      <c r="K27" s="709">
        <f t="shared" si="23"/>
        <v>13</v>
      </c>
      <c r="L27" s="735">
        <f t="shared" si="12"/>
        <v>11.813099999999999</v>
      </c>
      <c r="M27" s="111">
        <f t="shared" si="24"/>
        <v>5.8105135548842508E-2</v>
      </c>
      <c r="N27" s="111">
        <f t="shared" si="3"/>
        <v>6.9726162658611007E-2</v>
      </c>
      <c r="O27" s="111">
        <f t="shared" si="13"/>
        <v>9.064779403880327E-3</v>
      </c>
      <c r="P27" s="481">
        <f t="shared" si="4"/>
        <v>1.0877735284656392E-2</v>
      </c>
      <c r="Q27" s="80"/>
      <c r="R27" s="80"/>
      <c r="S27" s="80"/>
      <c r="T27" s="80"/>
      <c r="U27" s="80"/>
      <c r="V27" s="667">
        <f t="shared" si="5"/>
        <v>3.8151756635525176E-2</v>
      </c>
      <c r="W27" s="668">
        <f t="shared" si="14"/>
        <v>0.13988977433025898</v>
      </c>
      <c r="X27" s="668">
        <f t="shared" si="6"/>
        <v>2.015822911901599E-3</v>
      </c>
      <c r="Y27" s="669">
        <f t="shared" si="15"/>
        <v>7.3913506769725289E-3</v>
      </c>
      <c r="Z27" s="670"/>
      <c r="AA27" s="276"/>
      <c r="AB27" s="40"/>
      <c r="AC27" s="40"/>
      <c r="AD27" s="2">
        <f t="shared" si="25"/>
        <v>13</v>
      </c>
      <c r="AE27" s="29" t="e">
        <f t="shared" si="16"/>
        <v>#VALUE!</v>
      </c>
      <c r="AF27" s="36">
        <f t="shared" si="7"/>
        <v>9.6342819786679745E-2</v>
      </c>
      <c r="AG27" s="35">
        <f t="shared" si="8"/>
        <v>14.451422968001962</v>
      </c>
      <c r="AH27" s="35">
        <f t="shared" si="9"/>
        <v>32.082158988964352</v>
      </c>
      <c r="AJ27" s="35">
        <f>AVERAGE(AG$14:AG27)</f>
        <v>7.8581438565807957</v>
      </c>
      <c r="AK27" s="35">
        <f>AVERAGE(AH$14:AH27)</f>
        <v>17.445079361609366</v>
      </c>
      <c r="AM27" s="35">
        <f t="shared" si="17"/>
        <v>24.085704946669935</v>
      </c>
      <c r="AQ27" s="2">
        <f t="shared" si="0"/>
        <v>13</v>
      </c>
      <c r="AR27" s="55">
        <f t="shared" si="18"/>
        <v>63.586261059208631</v>
      </c>
      <c r="AS27" s="2">
        <f t="shared" si="10"/>
        <v>33.703309551039673</v>
      </c>
    </row>
    <row r="28" spans="1:45">
      <c r="A28" s="234">
        <f t="shared" si="19"/>
        <v>14</v>
      </c>
      <c r="B28" s="281">
        <f t="shared" si="20"/>
        <v>12.615128298851431</v>
      </c>
      <c r="C28" s="55">
        <f t="shared" si="21"/>
        <v>6.678284380554797E-2</v>
      </c>
      <c r="D28" s="44">
        <f t="shared" si="1"/>
        <v>8.0139412566657561E-2</v>
      </c>
      <c r="E28" s="51">
        <f t="shared" si="11"/>
        <v>3.1965827463393409E-3</v>
      </c>
      <c r="F28" s="237">
        <f t="shared" si="2"/>
        <v>3.8358992956072091E-3</v>
      </c>
      <c r="H28" s="116">
        <f t="shared" si="22"/>
        <v>5.2000000000000005E-2</v>
      </c>
      <c r="J28" s="242"/>
      <c r="K28" s="709">
        <f t="shared" si="23"/>
        <v>14</v>
      </c>
      <c r="L28" s="735">
        <f t="shared" si="12"/>
        <v>12.7218</v>
      </c>
      <c r="M28" s="111">
        <f t="shared" si="24"/>
        <v>6.7985119101937663E-2</v>
      </c>
      <c r="N28" s="111">
        <f t="shared" si="3"/>
        <v>8.1582142922325199E-2</v>
      </c>
      <c r="O28" s="111">
        <f t="shared" si="13"/>
        <v>9.8799835530951549E-3</v>
      </c>
      <c r="P28" s="481">
        <f t="shared" si="4"/>
        <v>1.1855980263714186E-2</v>
      </c>
      <c r="Q28" s="80"/>
      <c r="R28" s="80"/>
      <c r="S28" s="80"/>
      <c r="T28" s="80"/>
      <c r="U28" s="80"/>
      <c r="V28" s="667">
        <f t="shared" si="5"/>
        <v>4.0069706283328781E-2</v>
      </c>
      <c r="W28" s="668">
        <f t="shared" si="14"/>
        <v>0.14692225637220555</v>
      </c>
      <c r="X28" s="668">
        <f t="shared" si="6"/>
        <v>1.9179496478036046E-3</v>
      </c>
      <c r="Y28" s="669">
        <f t="shared" si="15"/>
        <v>7.03248204194655E-3</v>
      </c>
      <c r="Z28" s="670"/>
      <c r="AA28" s="276"/>
      <c r="AB28" s="40"/>
      <c r="AC28" s="40"/>
      <c r="AD28" s="2">
        <f t="shared" si="25"/>
        <v>14</v>
      </c>
      <c r="AE28" s="29" t="e">
        <f t="shared" si="16"/>
        <v>#VALUE!</v>
      </c>
      <c r="AF28" s="36">
        <f t="shared" si="7"/>
        <v>0.10118612697810299</v>
      </c>
      <c r="AG28" s="35">
        <f t="shared" si="8"/>
        <v>15.177919046715449</v>
      </c>
      <c r="AH28" s="35">
        <f t="shared" si="9"/>
        <v>33.694980283708297</v>
      </c>
      <c r="AJ28" s="35">
        <f>AVERAGE(AG$14:AG28)</f>
        <v>8.3461288692564395</v>
      </c>
      <c r="AK28" s="35">
        <f>AVERAGE(AH$14:AH28)</f>
        <v>18.528406089749293</v>
      </c>
      <c r="AM28" s="35">
        <f t="shared" si="17"/>
        <v>25.296531744525748</v>
      </c>
      <c r="AQ28" s="2">
        <f t="shared" si="0"/>
        <v>14</v>
      </c>
      <c r="AR28" s="55">
        <f t="shared" si="18"/>
        <v>66.782843805547969</v>
      </c>
      <c r="AS28" s="2">
        <f t="shared" si="10"/>
        <v>36.060053136514249</v>
      </c>
    </row>
    <row r="29" spans="1:45">
      <c r="A29" s="234">
        <f t="shared" si="19"/>
        <v>15</v>
      </c>
      <c r="B29" s="281">
        <f t="shared" si="20"/>
        <v>12.883855533293108</v>
      </c>
      <c r="C29" s="55">
        <f t="shared" si="21"/>
        <v>6.9833306347581836E-2</v>
      </c>
      <c r="D29" s="44">
        <f t="shared" si="1"/>
        <v>8.3799967617098195E-2</v>
      </c>
      <c r="E29" s="51">
        <f t="shared" si="11"/>
        <v>3.050462542033866E-3</v>
      </c>
      <c r="F29" s="237">
        <f t="shared" si="2"/>
        <v>3.6605550504406389E-3</v>
      </c>
      <c r="H29" s="116">
        <f t="shared" si="22"/>
        <v>5.5999999999999994E-2</v>
      </c>
      <c r="J29" s="242"/>
      <c r="K29" s="709">
        <f t="shared" si="23"/>
        <v>15</v>
      </c>
      <c r="L29" s="735">
        <f t="shared" si="12"/>
        <v>13.6305</v>
      </c>
      <c r="M29" s="111">
        <f t="shared" si="24"/>
        <v>7.8687533628520906E-2</v>
      </c>
      <c r="N29" s="111">
        <f t="shared" si="3"/>
        <v>9.4425040354225082E-2</v>
      </c>
      <c r="O29" s="111">
        <f t="shared" si="13"/>
        <v>1.0702414526583243E-2</v>
      </c>
      <c r="P29" s="481">
        <f t="shared" si="4"/>
        <v>1.2842897431899892E-2</v>
      </c>
      <c r="Q29" s="80"/>
      <c r="R29" s="80"/>
      <c r="S29" s="80"/>
      <c r="T29" s="80"/>
      <c r="U29" s="80"/>
      <c r="V29" s="667">
        <f t="shared" si="5"/>
        <v>4.1899983808549097E-2</v>
      </c>
      <c r="W29" s="668">
        <f t="shared" si="14"/>
        <v>0.15363327396468002</v>
      </c>
      <c r="X29" s="668">
        <f t="shared" si="6"/>
        <v>1.8302775252203194E-3</v>
      </c>
      <c r="Y29" s="669">
        <f t="shared" si="15"/>
        <v>6.711017592474504E-3</v>
      </c>
      <c r="Z29" s="670"/>
      <c r="AA29" s="276"/>
      <c r="AB29" s="40"/>
      <c r="AC29" s="40"/>
      <c r="AD29" s="2">
        <f t="shared" si="25"/>
        <v>15</v>
      </c>
      <c r="AE29" s="29" t="e">
        <f t="shared" si="16"/>
        <v>#VALUE!</v>
      </c>
      <c r="AF29" s="36">
        <f t="shared" si="7"/>
        <v>0.10580803992057855</v>
      </c>
      <c r="AG29" s="35">
        <f t="shared" si="8"/>
        <v>15.871205988086782</v>
      </c>
      <c r="AH29" s="35">
        <f t="shared" si="9"/>
        <v>35.234077293552659</v>
      </c>
      <c r="AJ29" s="37">
        <f>AVERAGE(AG$14:AG29)</f>
        <v>8.8164461891833348</v>
      </c>
      <c r="AK29" s="37">
        <f>AVERAGE(AH$14:AH29)</f>
        <v>19.572510539987004</v>
      </c>
      <c r="AM29" s="35">
        <f t="shared" si="17"/>
        <v>26.452009980144638</v>
      </c>
      <c r="AN29" s="35">
        <f>AVERAGE(AM$14:AM29)</f>
        <v>14.694076981972223</v>
      </c>
      <c r="AO29" s="35"/>
      <c r="AP29" s="35"/>
      <c r="AQ29" s="2">
        <f t="shared" si="0"/>
        <v>15</v>
      </c>
      <c r="AR29" s="55">
        <f t="shared" si="18"/>
        <v>69.833306347581839</v>
      </c>
      <c r="AS29" s="2">
        <f t="shared" si="10"/>
        <v>38.349221528516551</v>
      </c>
    </row>
    <row r="30" spans="1:45">
      <c r="A30" s="234">
        <f t="shared" si="19"/>
        <v>16</v>
      </c>
      <c r="B30" s="281">
        <f t="shared" si="20"/>
        <v>13.135233073123947</v>
      </c>
      <c r="C30" s="55">
        <f t="shared" si="21"/>
        <v>7.2752030531480383E-2</v>
      </c>
      <c r="D30" s="44">
        <f t="shared" si="1"/>
        <v>8.7302436637776454E-2</v>
      </c>
      <c r="E30" s="51">
        <f t="shared" si="11"/>
        <v>2.9187241838985467E-3</v>
      </c>
      <c r="F30" s="237">
        <f t="shared" si="2"/>
        <v>3.5024690206782558E-3</v>
      </c>
      <c r="H30" s="116">
        <f t="shared" si="22"/>
        <v>0.06</v>
      </c>
      <c r="J30" s="242"/>
      <c r="K30" s="709">
        <f t="shared" si="23"/>
        <v>16</v>
      </c>
      <c r="L30" s="735">
        <f t="shared" si="12"/>
        <v>14.539199999999999</v>
      </c>
      <c r="M30" s="111">
        <f t="shared" si="24"/>
        <v>9.0219163978687761E-2</v>
      </c>
      <c r="N30" s="111">
        <f t="shared" si="3"/>
        <v>0.10826299677442532</v>
      </c>
      <c r="O30" s="111">
        <f t="shared" si="13"/>
        <v>1.1531630350166855E-2</v>
      </c>
      <c r="P30" s="481">
        <f t="shared" si="4"/>
        <v>1.3837956420200226E-2</v>
      </c>
      <c r="Q30" s="80"/>
      <c r="R30" s="80"/>
      <c r="S30" s="80"/>
      <c r="T30" s="80"/>
      <c r="U30" s="80"/>
      <c r="V30" s="667">
        <f t="shared" si="5"/>
        <v>4.3651218318888227E-2</v>
      </c>
      <c r="W30" s="668">
        <f t="shared" si="14"/>
        <v>0.16005446716925684</v>
      </c>
      <c r="X30" s="668">
        <f t="shared" si="6"/>
        <v>1.7512345103391279E-3</v>
      </c>
      <c r="Y30" s="669">
        <f t="shared" si="15"/>
        <v>6.4211932045768021E-3</v>
      </c>
      <c r="Z30" s="670"/>
      <c r="AA30" s="276"/>
      <c r="AB30" s="40"/>
      <c r="AC30" s="40"/>
      <c r="AD30" s="2">
        <f t="shared" si="25"/>
        <v>16</v>
      </c>
      <c r="AE30" s="29" t="e">
        <f>AE29+#REF!</f>
        <v>#VALUE!</v>
      </c>
      <c r="AF30" s="36">
        <f t="shared" si="7"/>
        <v>0.11023034929012179</v>
      </c>
      <c r="AG30" s="35">
        <f t="shared" si="8"/>
        <v>16.534552393518268</v>
      </c>
      <c r="AH30" s="35">
        <f t="shared" si="9"/>
        <v>36.70670631361056</v>
      </c>
      <c r="AJ30" s="35">
        <f>AVERAGE(AG$14:AG30)</f>
        <v>9.2704524364971537</v>
      </c>
      <c r="AK30" s="35">
        <f>AVERAGE(AH$14:AH30)</f>
        <v>20.580404409023682</v>
      </c>
      <c r="AM30" s="35">
        <f t="shared" si="17"/>
        <v>27.557587322530448</v>
      </c>
      <c r="AN30" s="35">
        <f>AVERAGE(AM$14:AM30)</f>
        <v>15.450754060828588</v>
      </c>
      <c r="AO30" s="35"/>
      <c r="AP30" s="35"/>
      <c r="AQ30" s="2">
        <f t="shared" si="0"/>
        <v>16</v>
      </c>
      <c r="AR30" s="55">
        <f t="shared" si="18"/>
        <v>72.752030531480386</v>
      </c>
      <c r="AS30" s="2">
        <f t="shared" si="10"/>
        <v>40.57523167664506</v>
      </c>
    </row>
    <row r="31" spans="1:45">
      <c r="A31" s="234">
        <f t="shared" si="19"/>
        <v>17</v>
      </c>
      <c r="B31" s="281">
        <f t="shared" si="20"/>
        <v>13.371365975098962</v>
      </c>
      <c r="C31" s="55">
        <f t="shared" si="21"/>
        <v>7.5551297071062007E-2</v>
      </c>
      <c r="D31" s="44">
        <f t="shared" si="1"/>
        <v>9.0661556485274408E-2</v>
      </c>
      <c r="E31" s="51">
        <f t="shared" si="11"/>
        <v>2.7992665395816241E-3</v>
      </c>
      <c r="F31" s="237">
        <f t="shared" si="2"/>
        <v>3.3591198474979488E-3</v>
      </c>
      <c r="H31" s="116">
        <f t="shared" si="22"/>
        <v>6.4000000000000001E-2</v>
      </c>
      <c r="J31" s="242"/>
      <c r="K31" s="709">
        <f t="shared" si="23"/>
        <v>17</v>
      </c>
      <c r="L31" s="735">
        <f t="shared" si="12"/>
        <v>15.447899999999999</v>
      </c>
      <c r="M31" s="111">
        <f t="shared" si="24"/>
        <v>0.10258640705256969</v>
      </c>
      <c r="N31" s="111">
        <f t="shared" si="3"/>
        <v>0.12310368846308362</v>
      </c>
      <c r="O31" s="111">
        <f t="shared" si="13"/>
        <v>1.2367243073881928E-2</v>
      </c>
      <c r="P31" s="481">
        <f t="shared" si="4"/>
        <v>1.4840691688658314E-2</v>
      </c>
      <c r="Q31" s="80"/>
      <c r="R31" s="80"/>
      <c r="S31" s="80"/>
      <c r="T31" s="80"/>
      <c r="U31" s="80"/>
      <c r="V31" s="667">
        <f t="shared" si="5"/>
        <v>4.5330778242637204E-2</v>
      </c>
      <c r="W31" s="668">
        <f t="shared" si="14"/>
        <v>0.16621285355633642</v>
      </c>
      <c r="X31" s="668">
        <f t="shared" si="6"/>
        <v>1.6795599237489744E-3</v>
      </c>
      <c r="Y31" s="669">
        <f t="shared" si="15"/>
        <v>6.1583863870795725E-3</v>
      </c>
      <c r="Z31" s="670"/>
      <c r="AA31" s="276"/>
      <c r="AB31" s="40"/>
      <c r="AC31" s="40"/>
      <c r="AD31" s="2">
        <f t="shared" si="25"/>
        <v>17</v>
      </c>
      <c r="AE31" s="29" t="e">
        <f>AE30+#REF!</f>
        <v>#VALUE!</v>
      </c>
      <c r="AF31" s="36">
        <f t="shared" si="7"/>
        <v>0.11447166222888183</v>
      </c>
      <c r="AG31" s="35">
        <f t="shared" si="8"/>
        <v>17.170749334332275</v>
      </c>
      <c r="AH31" s="35">
        <f t="shared" si="9"/>
        <v>38.119063522217651</v>
      </c>
      <c r="AJ31" s="35">
        <f>AVERAGE(AG$14:AG31)</f>
        <v>9.7093578197102151</v>
      </c>
      <c r="AK31" s="35">
        <f>AVERAGE(AH$14:AH31)</f>
        <v>21.554774359756678</v>
      </c>
      <c r="AM31" s="35">
        <f t="shared" si="17"/>
        <v>28.617915557220456</v>
      </c>
      <c r="AN31" s="35">
        <f>AVERAGE(AM$14:AM31)</f>
        <v>16.182263032850358</v>
      </c>
      <c r="AO31" s="35"/>
      <c r="AP31" s="35"/>
      <c r="AQ31" s="2">
        <f t="shared" si="0"/>
        <v>17</v>
      </c>
      <c r="AR31" s="55">
        <f t="shared" si="18"/>
        <v>75.55129707106201</v>
      </c>
      <c r="AS31" s="2">
        <f t="shared" si="10"/>
        <v>42.742108819828807</v>
      </c>
    </row>
    <row r="32" spans="1:45">
      <c r="A32" s="234">
        <f t="shared" si="19"/>
        <v>18</v>
      </c>
      <c r="B32" s="281">
        <f t="shared" si="20"/>
        <v>13.593997997005561</v>
      </c>
      <c r="C32" s="55">
        <f t="shared" si="21"/>
        <v>7.8241681681433764E-2</v>
      </c>
      <c r="D32" s="44">
        <f t="shared" si="1"/>
        <v>9.3890018017720511E-2</v>
      </c>
      <c r="E32" s="51">
        <f t="shared" si="11"/>
        <v>2.6903846103717571E-3</v>
      </c>
      <c r="F32" s="237">
        <f t="shared" si="2"/>
        <v>3.2284615324461086E-3</v>
      </c>
      <c r="H32" s="116">
        <f t="shared" si="22"/>
        <v>6.8000000000000005E-2</v>
      </c>
      <c r="J32" s="242"/>
      <c r="K32" s="709">
        <f t="shared" si="23"/>
        <v>18</v>
      </c>
      <c r="L32" s="735">
        <f t="shared" si="12"/>
        <v>16.3566</v>
      </c>
      <c r="M32" s="111">
        <f t="shared" si="24"/>
        <v>0.11579531631822396</v>
      </c>
      <c r="N32" s="111">
        <f t="shared" si="3"/>
        <v>0.13895437958186874</v>
      </c>
      <c r="O32" s="111">
        <f t="shared" si="13"/>
        <v>1.3208909265654267E-2</v>
      </c>
      <c r="P32" s="481">
        <f t="shared" si="4"/>
        <v>1.5850691118785121E-2</v>
      </c>
      <c r="Q32" s="80"/>
      <c r="R32" s="80"/>
      <c r="S32" s="80"/>
      <c r="T32" s="80"/>
      <c r="U32" s="80"/>
      <c r="V32" s="667">
        <f t="shared" si="5"/>
        <v>4.6945009008860256E-2</v>
      </c>
      <c r="W32" s="668">
        <f t="shared" si="14"/>
        <v>0.17213169969915429</v>
      </c>
      <c r="X32" s="668">
        <f t="shared" si="6"/>
        <v>1.6142307662230543E-3</v>
      </c>
      <c r="Y32" s="669">
        <f t="shared" si="15"/>
        <v>5.9188461428178662E-3</v>
      </c>
      <c r="Z32" s="670"/>
      <c r="AA32" s="276"/>
      <c r="AB32" s="40"/>
      <c r="AC32" s="40"/>
      <c r="AD32" s="2">
        <f t="shared" si="25"/>
        <v>18</v>
      </c>
      <c r="AE32" s="29" t="e">
        <f>AE31+#REF!</f>
        <v>#VALUE!</v>
      </c>
      <c r="AF32" s="36">
        <f t="shared" si="7"/>
        <v>0.11854800254762692</v>
      </c>
      <c r="AG32" s="35">
        <f t="shared" si="8"/>
        <v>17.782200382144037</v>
      </c>
      <c r="AH32" s="35">
        <f t="shared" si="9"/>
        <v>39.47648484835976</v>
      </c>
      <c r="AJ32" s="35">
        <f>AVERAGE(AG$14:AG32)</f>
        <v>10.134244270364627</v>
      </c>
      <c r="AK32" s="35">
        <f>AVERAGE(AH$14:AH32)</f>
        <v>22.498022280209472</v>
      </c>
      <c r="AM32" s="35">
        <f t="shared" si="17"/>
        <v>29.63700063690673</v>
      </c>
      <c r="AN32" s="35">
        <f>AVERAGE(AM$14:AM32)</f>
        <v>16.890407117274378</v>
      </c>
      <c r="AO32" s="35"/>
      <c r="AP32" s="35"/>
      <c r="AQ32" s="2">
        <f t="shared" si="0"/>
        <v>18</v>
      </c>
      <c r="AR32" s="55">
        <f t="shared" si="18"/>
        <v>78.241681681433761</v>
      </c>
      <c r="AS32" s="2">
        <f t="shared" si="10"/>
        <v>44.853517763195939</v>
      </c>
    </row>
    <row r="33" spans="1:48">
      <c r="A33" s="234">
        <f t="shared" si="19"/>
        <v>19</v>
      </c>
      <c r="B33" s="281">
        <f t="shared" si="20"/>
        <v>13.804589823853286</v>
      </c>
      <c r="C33" s="55">
        <f t="shared" si="21"/>
        <v>8.0832361616370904E-2</v>
      </c>
      <c r="D33" s="44">
        <f t="shared" si="1"/>
        <v>9.6998833939645077E-2</v>
      </c>
      <c r="E33" s="51">
        <f t="shared" si="11"/>
        <v>2.5906799349371401E-3</v>
      </c>
      <c r="F33" s="237">
        <f t="shared" si="2"/>
        <v>3.108815921924568E-3</v>
      </c>
      <c r="H33" s="116">
        <f t="shared" si="22"/>
        <v>7.1999999999999995E-2</v>
      </c>
      <c r="J33" s="242"/>
      <c r="K33" s="709">
        <f t="shared" si="23"/>
        <v>19</v>
      </c>
      <c r="L33" s="735">
        <f t="shared" si="12"/>
        <v>17.2653</v>
      </c>
      <c r="M33" s="111">
        <f t="shared" si="24"/>
        <v>0.1298516389487151</v>
      </c>
      <c r="N33" s="111">
        <f t="shared" si="3"/>
        <v>0.15582196673845811</v>
      </c>
      <c r="O33" s="111">
        <f t="shared" si="13"/>
        <v>1.4056322630491142E-2</v>
      </c>
      <c r="P33" s="481">
        <f t="shared" si="4"/>
        <v>1.686758715658937E-2</v>
      </c>
      <c r="Q33" s="80"/>
      <c r="R33" s="80"/>
      <c r="S33" s="80"/>
      <c r="T33" s="80"/>
      <c r="U33" s="80"/>
      <c r="V33" s="667">
        <f t="shared" si="5"/>
        <v>4.8499416969822538E-2</v>
      </c>
      <c r="W33" s="668">
        <f t="shared" si="14"/>
        <v>0.17783119555601598</v>
      </c>
      <c r="X33" s="668">
        <f t="shared" si="6"/>
        <v>1.554407960962284E-3</v>
      </c>
      <c r="Y33" s="669">
        <f t="shared" si="15"/>
        <v>5.6994958568617081E-3</v>
      </c>
      <c r="Z33" s="670"/>
      <c r="AA33" s="276"/>
      <c r="AB33" s="40"/>
      <c r="AC33" s="40"/>
      <c r="AD33" s="2">
        <f t="shared" si="25"/>
        <v>19</v>
      </c>
      <c r="AE33" s="29" t="e">
        <f>AE32+#REF!</f>
        <v>#VALUE!</v>
      </c>
      <c r="AF33" s="36">
        <f t="shared" si="7"/>
        <v>0.12247327517631955</v>
      </c>
      <c r="AG33" s="35">
        <f t="shared" si="8"/>
        <v>18.370991276447931</v>
      </c>
      <c r="AH33" s="35">
        <f t="shared" si="9"/>
        <v>40.783600633714407</v>
      </c>
      <c r="AJ33" s="35">
        <f>AVERAGE(AG$14:AG33)</f>
        <v>10.546081620668792</v>
      </c>
      <c r="AK33" s="35">
        <f>AVERAGE(AH$14:AH33)</f>
        <v>23.41230119788472</v>
      </c>
      <c r="AM33" s="35">
        <f t="shared" si="17"/>
        <v>30.618318794079887</v>
      </c>
      <c r="AN33" s="35">
        <f>AVERAGE(AM$14:AM33)</f>
        <v>17.576802701114651</v>
      </c>
      <c r="AO33" s="35"/>
      <c r="AP33" s="35"/>
      <c r="AQ33" s="2">
        <f t="shared" si="0"/>
        <v>19</v>
      </c>
      <c r="AR33" s="55">
        <f t="shared" si="18"/>
        <v>80.832361616370903</v>
      </c>
      <c r="AS33" s="2">
        <f t="shared" si="10"/>
        <v>46.912796379177479</v>
      </c>
    </row>
    <row r="34" spans="1:48">
      <c r="A34" s="234">
        <f t="shared" si="19"/>
        <v>20</v>
      </c>
      <c r="B34" s="281">
        <f t="shared" si="20"/>
        <v>14.004377205492794</v>
      </c>
      <c r="C34" s="55">
        <f t="shared" si="21"/>
        <v>8.3331355859140074E-2</v>
      </c>
      <c r="D34" s="44">
        <f t="shared" si="1"/>
        <v>9.9997627030968081E-2</v>
      </c>
      <c r="E34" s="51">
        <f t="shared" si="11"/>
        <v>2.4989942427691703E-3</v>
      </c>
      <c r="F34" s="237">
        <f t="shared" si="2"/>
        <v>2.9987930913230043E-3</v>
      </c>
      <c r="H34" s="116">
        <f t="shared" si="22"/>
        <v>7.5999999999999998E-2</v>
      </c>
      <c r="J34" s="242"/>
      <c r="K34" s="709">
        <f t="shared" si="23"/>
        <v>20</v>
      </c>
      <c r="L34" s="735">
        <f t="shared" si="12"/>
        <v>18.173999999999999</v>
      </c>
      <c r="M34" s="111">
        <f t="shared" si="24"/>
        <v>0.14476084713832799</v>
      </c>
      <c r="N34" s="111">
        <f t="shared" si="3"/>
        <v>0.17371301656599358</v>
      </c>
      <c r="O34" s="111">
        <f t="shared" si="13"/>
        <v>1.4909208189612888E-2</v>
      </c>
      <c r="P34" s="481">
        <f t="shared" si="4"/>
        <v>1.7891049827535466E-2</v>
      </c>
      <c r="Q34" s="80"/>
      <c r="R34" s="80"/>
      <c r="S34" s="80"/>
      <c r="T34" s="80"/>
      <c r="U34" s="80"/>
      <c r="V34" s="667">
        <f t="shared" si="5"/>
        <v>4.999881351548404E-2</v>
      </c>
      <c r="W34" s="668">
        <f t="shared" si="14"/>
        <v>0.18332898289010816</v>
      </c>
      <c r="X34" s="668">
        <f t="shared" si="6"/>
        <v>1.4993965456615022E-3</v>
      </c>
      <c r="Y34" s="669">
        <f t="shared" si="15"/>
        <v>5.4977873340921746E-3</v>
      </c>
      <c r="Z34" s="670"/>
      <c r="AA34" s="276"/>
      <c r="AB34" s="40"/>
      <c r="AC34" s="40"/>
      <c r="AD34" s="2">
        <f t="shared" si="25"/>
        <v>20</v>
      </c>
      <c r="AE34" s="29" t="e">
        <f>AE33+#REF!</f>
        <v>#VALUE!</v>
      </c>
      <c r="AF34" s="36">
        <f t="shared" si="7"/>
        <v>0.12625963008960617</v>
      </c>
      <c r="AG34" s="35">
        <f t="shared" si="8"/>
        <v>18.938944513440926</v>
      </c>
      <c r="AH34" s="35">
        <f t="shared" si="9"/>
        <v>42.044456819838857</v>
      </c>
      <c r="AJ34" s="37">
        <f>AVERAGE(AG$14:AG34)</f>
        <v>10.945741758419846</v>
      </c>
      <c r="AK34" s="37">
        <f>AVERAGE(AH$14:AH34)</f>
        <v>24.299546703692059</v>
      </c>
      <c r="AM34" s="35">
        <f t="shared" si="17"/>
        <v>31.564907522401541</v>
      </c>
      <c r="AN34" s="35">
        <f>AVERAGE(AM$14:AM34)</f>
        <v>18.242902930699742</v>
      </c>
      <c r="AO34" s="35"/>
      <c r="AP34" s="35"/>
      <c r="AQ34" s="2">
        <f t="shared" si="0"/>
        <v>20</v>
      </c>
      <c r="AR34" s="55">
        <f t="shared" si="18"/>
        <v>83.331355859140075</v>
      </c>
      <c r="AS34" s="2">
        <f t="shared" si="10"/>
        <v>48.922988288473206</v>
      </c>
    </row>
    <row r="35" spans="1:48">
      <c r="A35" s="234">
        <f t="shared" si="19"/>
        <v>21</v>
      </c>
      <c r="B35" s="281">
        <f t="shared" si="20"/>
        <v>14.194414894932732</v>
      </c>
      <c r="C35" s="55">
        <f t="shared" si="21"/>
        <v>8.5745715500278361E-2</v>
      </c>
      <c r="D35" s="44">
        <f t="shared" si="1"/>
        <v>0.10289485860033402</v>
      </c>
      <c r="E35" s="51">
        <f t="shared" si="11"/>
        <v>2.4143596411382862E-3</v>
      </c>
      <c r="F35" s="237">
        <f t="shared" si="2"/>
        <v>2.8972315693659434E-3</v>
      </c>
      <c r="H35" s="116">
        <f t="shared" si="22"/>
        <v>0.08</v>
      </c>
      <c r="J35" s="242"/>
      <c r="K35" s="709">
        <f t="shared" si="23"/>
        <v>21</v>
      </c>
      <c r="L35" s="735">
        <f t="shared" si="12"/>
        <v>19.082699999999999</v>
      </c>
      <c r="M35" s="111">
        <f t="shared" si="24"/>
        <v>0.16052816476435205</v>
      </c>
      <c r="N35" s="111">
        <f t="shared" si="3"/>
        <v>0.19263379771722247</v>
      </c>
      <c r="O35" s="111">
        <f t="shared" si="13"/>
        <v>1.5767317626024069E-2</v>
      </c>
      <c r="P35" s="481">
        <f t="shared" si="4"/>
        <v>1.8920781151228881E-2</v>
      </c>
      <c r="Q35" s="80"/>
      <c r="R35" s="80"/>
      <c r="S35" s="80"/>
      <c r="T35" s="80"/>
      <c r="U35" s="80"/>
      <c r="V35" s="667">
        <f t="shared" si="5"/>
        <v>5.1447429300167012E-2</v>
      </c>
      <c r="W35" s="668">
        <f t="shared" si="14"/>
        <v>0.18864057410061238</v>
      </c>
      <c r="X35" s="668">
        <f t="shared" si="6"/>
        <v>1.4486157846829717E-3</v>
      </c>
      <c r="Y35" s="669">
        <f t="shared" si="15"/>
        <v>5.3115912105042296E-3</v>
      </c>
      <c r="Z35" s="670"/>
      <c r="AA35" s="276"/>
      <c r="AB35" s="40"/>
      <c r="AC35" s="40"/>
      <c r="AD35" s="2">
        <f t="shared" si="25"/>
        <v>21</v>
      </c>
      <c r="AE35" s="29" t="e">
        <f>AE34+#REF!</f>
        <v>#VALUE!</v>
      </c>
      <c r="AF35" s="36">
        <f t="shared" si="7"/>
        <v>0.12991775075799752</v>
      </c>
      <c r="AG35" s="35">
        <f t="shared" si="8"/>
        <v>19.48766261369963</v>
      </c>
      <c r="AH35" s="35">
        <f t="shared" si="9"/>
        <v>43.262611002413173</v>
      </c>
      <c r="AJ35" s="35">
        <f>AVERAGE(AG$14:AG35)</f>
        <v>11.334010888205292</v>
      </c>
      <c r="AK35" s="35">
        <f>AVERAGE(AH$14:AH35)</f>
        <v>25.161504171815746</v>
      </c>
      <c r="AM35" s="35">
        <f t="shared" si="17"/>
        <v>32.479437689499385</v>
      </c>
      <c r="AN35" s="35">
        <f>AVERAGE(AM$14:AM35)</f>
        <v>18.890018147008817</v>
      </c>
      <c r="AQ35" s="2">
        <f t="shared" si="0"/>
        <v>21</v>
      </c>
      <c r="AR35" s="55">
        <f t="shared" si="18"/>
        <v>85.745715500278365</v>
      </c>
      <c r="AS35" s="2">
        <f t="shared" si="10"/>
        <v>50.886873318547813</v>
      </c>
    </row>
    <row r="36" spans="1:48">
      <c r="A36" s="234">
        <f t="shared" si="19"/>
        <v>22</v>
      </c>
      <c r="B36" s="281">
        <f t="shared" si="20"/>
        <v>14.375610355830641</v>
      </c>
      <c r="C36" s="55">
        <f t="shared" si="21"/>
        <v>8.8081676232482323E-2</v>
      </c>
      <c r="D36" s="44">
        <f t="shared" si="1"/>
        <v>0.10569801147897878</v>
      </c>
      <c r="E36" s="51">
        <f t="shared" si="11"/>
        <v>2.3359607322039622E-3</v>
      </c>
      <c r="F36" s="237">
        <f t="shared" si="2"/>
        <v>2.8031528786447543E-3</v>
      </c>
      <c r="H36" s="116">
        <f t="shared" si="22"/>
        <v>8.3999999999999991E-2</v>
      </c>
      <c r="J36" s="242"/>
      <c r="K36" s="709">
        <f t="shared" si="23"/>
        <v>22</v>
      </c>
      <c r="L36" s="735">
        <f t="shared" si="12"/>
        <v>19.991399999999999</v>
      </c>
      <c r="M36" s="111">
        <f t="shared" si="24"/>
        <v>0.17715859028116102</v>
      </c>
      <c r="N36" s="111">
        <f t="shared" si="3"/>
        <v>0.2125903083373932</v>
      </c>
      <c r="O36" s="111">
        <f t="shared" si="13"/>
        <v>1.6630425516808961E-2</v>
      </c>
      <c r="P36" s="481">
        <f t="shared" si="4"/>
        <v>1.9956510620170752E-2</v>
      </c>
      <c r="Q36" s="80"/>
      <c r="R36" s="80"/>
      <c r="S36" s="80"/>
      <c r="T36" s="80"/>
      <c r="U36" s="80"/>
      <c r="V36" s="667">
        <f t="shared" si="5"/>
        <v>5.2849005739489391E-2</v>
      </c>
      <c r="W36" s="668">
        <f t="shared" si="14"/>
        <v>0.19377968771146112</v>
      </c>
      <c r="X36" s="668">
        <f t="shared" si="6"/>
        <v>1.4015764393223772E-3</v>
      </c>
      <c r="Y36" s="669">
        <f t="shared" si="15"/>
        <v>5.1391136108487161E-3</v>
      </c>
      <c r="Z36" s="670"/>
      <c r="AA36" s="276"/>
      <c r="AB36" s="40"/>
      <c r="AC36" s="40"/>
      <c r="AD36" s="2">
        <f t="shared" si="25"/>
        <v>22</v>
      </c>
      <c r="AE36" s="29" t="e">
        <f>AE35+#REF!</f>
        <v>#VALUE!</v>
      </c>
      <c r="AF36" s="36">
        <f t="shared" si="7"/>
        <v>0.1334570852007308</v>
      </c>
      <c r="AG36" s="35">
        <f t="shared" si="8"/>
        <v>20.018562780109619</v>
      </c>
      <c r="AH36" s="35">
        <f t="shared" si="9"/>
        <v>44.441209371843357</v>
      </c>
      <c r="AJ36" s="35">
        <f>AVERAGE(AG$14:AG36)</f>
        <v>11.711600100896783</v>
      </c>
      <c r="AK36" s="35">
        <f>AVERAGE(AH$14:AH36)</f>
        <v>25.999752223990857</v>
      </c>
      <c r="AM36" s="35">
        <f t="shared" si="17"/>
        <v>33.3642713001827</v>
      </c>
      <c r="AN36" s="35">
        <f>AVERAGE(AM$14:AM36)</f>
        <v>19.519333501494636</v>
      </c>
      <c r="AQ36" s="2">
        <f t="shared" si="0"/>
        <v>22</v>
      </c>
      <c r="AR36" s="55">
        <f t="shared" si="18"/>
        <v>88.081676232482323</v>
      </c>
      <c r="AS36" s="2">
        <f t="shared" si="10"/>
        <v>52.806995195754766</v>
      </c>
    </row>
    <row r="37" spans="1:48">
      <c r="A37" s="234">
        <f t="shared" si="19"/>
        <v>23</v>
      </c>
      <c r="B37" s="281">
        <f t="shared" si="20"/>
        <v>14.548749971044039</v>
      </c>
      <c r="C37" s="55">
        <f t="shared" si="21"/>
        <v>9.0344781690653742E-2</v>
      </c>
      <c r="D37" s="44">
        <f t="shared" si="1"/>
        <v>0.10841373802878448</v>
      </c>
      <c r="E37" s="51">
        <f t="shared" si="11"/>
        <v>2.2631054581714188E-3</v>
      </c>
      <c r="F37" s="237">
        <f t="shared" si="2"/>
        <v>2.7157265498057026E-3</v>
      </c>
      <c r="H37" s="116">
        <f t="shared" si="22"/>
        <v>8.7999999999999995E-2</v>
      </c>
      <c r="J37" s="242"/>
      <c r="K37" s="709">
        <f t="shared" si="23"/>
        <v>23</v>
      </c>
      <c r="L37" s="735">
        <f t="shared" si="12"/>
        <v>20.900099999999998</v>
      </c>
      <c r="M37" s="111">
        <f t="shared" si="24"/>
        <v>0.19465691653068426</v>
      </c>
      <c r="N37" s="111">
        <f t="shared" si="3"/>
        <v>0.23358829983682111</v>
      </c>
      <c r="O37" s="111">
        <f t="shared" si="13"/>
        <v>1.7498326249523244E-2</v>
      </c>
      <c r="P37" s="481">
        <f t="shared" si="4"/>
        <v>2.0997991499427892E-2</v>
      </c>
      <c r="Q37" s="80"/>
      <c r="R37" s="80"/>
      <c r="S37" s="80"/>
      <c r="T37" s="80"/>
      <c r="U37" s="80"/>
      <c r="V37" s="667">
        <f t="shared" si="5"/>
        <v>5.4206869014392242E-2</v>
      </c>
      <c r="W37" s="668">
        <f t="shared" si="14"/>
        <v>0.19875851971943823</v>
      </c>
      <c r="X37" s="668">
        <f t="shared" si="6"/>
        <v>1.3578632749028513E-3</v>
      </c>
      <c r="Y37" s="669">
        <f t="shared" si="15"/>
        <v>4.9788320079771214E-3</v>
      </c>
      <c r="Z37" s="670"/>
      <c r="AA37" s="276"/>
      <c r="AB37" s="40"/>
      <c r="AC37" s="40"/>
      <c r="AD37" s="2">
        <f t="shared" si="25"/>
        <v>23</v>
      </c>
      <c r="AE37" s="29" t="e">
        <f>AE36+#REF!</f>
        <v>#VALUE!</v>
      </c>
      <c r="AF37" s="36">
        <f t="shared" si="7"/>
        <v>0.13688603286462689</v>
      </c>
      <c r="AG37" s="35">
        <f t="shared" si="8"/>
        <v>20.532904929694034</v>
      </c>
      <c r="AH37" s="35">
        <f t="shared" si="9"/>
        <v>45.583048943920751</v>
      </c>
      <c r="AJ37" s="35">
        <f>AVERAGE(AG$14:AG37)</f>
        <v>12.079154468763335</v>
      </c>
      <c r="AK37" s="35">
        <f>AVERAGE(AH$14:AH37)</f>
        <v>26.815722920654604</v>
      </c>
      <c r="AM37" s="35">
        <f t="shared" si="17"/>
        <v>34.221508216156721</v>
      </c>
      <c r="AN37" s="35">
        <f>AVERAGE(AM$14:AM37)</f>
        <v>20.131924114605557</v>
      </c>
      <c r="AQ37" s="2">
        <f t="shared" si="0"/>
        <v>23</v>
      </c>
      <c r="AR37" s="55">
        <f t="shared" si="18"/>
        <v>90.344781690653747</v>
      </c>
      <c r="AS37" s="2">
        <f t="shared" si="10"/>
        <v>54.68568636983035</v>
      </c>
    </row>
    <row r="38" spans="1:48">
      <c r="A38" s="234">
        <f t="shared" si="19"/>
        <v>24</v>
      </c>
      <c r="B38" s="281">
        <f t="shared" si="20"/>
        <v>14.714519669205249</v>
      </c>
      <c r="C38" s="55">
        <f t="shared" si="21"/>
        <v>9.2539984105655976E-2</v>
      </c>
      <c r="D38" s="44">
        <f t="shared" si="1"/>
        <v>0.11104798092678717</v>
      </c>
      <c r="E38" s="51">
        <f t="shared" si="11"/>
        <v>2.1952024150022342E-3</v>
      </c>
      <c r="F38" s="237">
        <f t="shared" si="2"/>
        <v>2.6342428980026811E-3</v>
      </c>
      <c r="H38" s="116">
        <f t="shared" si="22"/>
        <v>9.1999999999999998E-2</v>
      </c>
      <c r="J38" s="242"/>
      <c r="K38" s="709">
        <f t="shared" si="23"/>
        <v>24</v>
      </c>
      <c r="L38" s="735">
        <f t="shared" si="12"/>
        <v>21.808799999999998</v>
      </c>
      <c r="M38" s="111">
        <f t="shared" si="24"/>
        <v>0.21302774800404992</v>
      </c>
      <c r="N38" s="111">
        <f t="shared" si="3"/>
        <v>0.25563329760485987</v>
      </c>
      <c r="O38" s="111">
        <f t="shared" si="13"/>
        <v>1.8370831473365656E-2</v>
      </c>
      <c r="P38" s="481">
        <f t="shared" si="4"/>
        <v>2.2044997768038786E-2</v>
      </c>
      <c r="Q38" s="80"/>
      <c r="R38" s="80"/>
      <c r="S38" s="80"/>
      <c r="T38" s="80"/>
      <c r="U38" s="80"/>
      <c r="V38" s="667">
        <f t="shared" si="5"/>
        <v>5.5523990463393583E-2</v>
      </c>
      <c r="W38" s="668">
        <f t="shared" si="14"/>
        <v>0.20358796503244314</v>
      </c>
      <c r="X38" s="668">
        <f t="shared" si="6"/>
        <v>1.3171214490013405E-3</v>
      </c>
      <c r="Y38" s="669">
        <f t="shared" si="15"/>
        <v>4.8294453130049153E-3</v>
      </c>
      <c r="Z38" s="670"/>
      <c r="AA38" s="276"/>
      <c r="AB38" s="40"/>
      <c r="AC38" s="40"/>
      <c r="AD38" s="2">
        <f t="shared" si="25"/>
        <v>24</v>
      </c>
      <c r="AE38" s="29" t="e">
        <f>AE37+#REF!</f>
        <v>#VALUE!</v>
      </c>
      <c r="AF38" s="36">
        <f t="shared" si="7"/>
        <v>0.14021209712978178</v>
      </c>
      <c r="AG38" s="35">
        <f t="shared" si="8"/>
        <v>21.031814569467265</v>
      </c>
      <c r="AH38" s="35">
        <f t="shared" si="9"/>
        <v>46.69062834421733</v>
      </c>
      <c r="AJ38" s="35">
        <f>AVERAGE(AG$14:AG38)</f>
        <v>12.437260872791491</v>
      </c>
      <c r="AK38" s="35">
        <f>AVERAGE(AH$14:AH38)</f>
        <v>27.610719137597112</v>
      </c>
      <c r="AM38" s="35">
        <f t="shared" si="17"/>
        <v>35.053024282445442</v>
      </c>
      <c r="AN38" s="35">
        <f>AVERAGE(AM$14:AM38)</f>
        <v>20.728768121319153</v>
      </c>
      <c r="AQ38" s="2">
        <f t="shared" si="0"/>
        <v>24</v>
      </c>
      <c r="AR38" s="55">
        <f t="shared" si="18"/>
        <v>92.539984105655975</v>
      </c>
      <c r="AS38" s="2">
        <f t="shared" si="10"/>
        <v>56.525090089100367</v>
      </c>
    </row>
    <row r="39" spans="1:48">
      <c r="A39" s="234">
        <f t="shared" si="19"/>
        <v>25</v>
      </c>
      <c r="B39" s="281">
        <f t="shared" si="20"/>
        <v>14.873521337861641</v>
      </c>
      <c r="C39" s="55">
        <f t="shared" si="21"/>
        <v>9.4671727124074775E-2</v>
      </c>
      <c r="D39" s="44">
        <f t="shared" si="1"/>
        <v>0.11360607254888973</v>
      </c>
      <c r="E39" s="51">
        <f t="shared" si="11"/>
        <v>2.1317430184187997E-3</v>
      </c>
      <c r="F39" s="237">
        <f t="shared" si="2"/>
        <v>2.5580916221025593E-3</v>
      </c>
      <c r="H39" s="116">
        <f t="shared" si="22"/>
        <v>9.6000000000000002E-2</v>
      </c>
      <c r="J39" s="242"/>
      <c r="K39" s="709">
        <f t="shared" si="23"/>
        <v>25</v>
      </c>
      <c r="L39" s="735">
        <f t="shared" si="12"/>
        <v>22.717499999999998</v>
      </c>
      <c r="M39" s="111">
        <f t="shared" si="24"/>
        <v>0.23227551597747767</v>
      </c>
      <c r="N39" s="111">
        <f t="shared" si="3"/>
        <v>0.2787306191729732</v>
      </c>
      <c r="O39" s="111">
        <f t="shared" si="13"/>
        <v>1.9247767973427754E-2</v>
      </c>
      <c r="P39" s="481">
        <f t="shared" si="4"/>
        <v>2.3097321568113303E-2</v>
      </c>
      <c r="Q39" s="80"/>
      <c r="R39" s="80"/>
      <c r="S39" s="80"/>
      <c r="T39" s="80"/>
      <c r="U39" s="80"/>
      <c r="V39" s="667">
        <f t="shared" si="5"/>
        <v>5.6803036274444864E-2</v>
      </c>
      <c r="W39" s="668">
        <f t="shared" si="14"/>
        <v>0.20827779967296448</v>
      </c>
      <c r="X39" s="668">
        <f t="shared" si="6"/>
        <v>1.2790458110512797E-3</v>
      </c>
      <c r="Y39" s="669">
        <f t="shared" si="15"/>
        <v>4.6898346405213585E-3</v>
      </c>
      <c r="Z39" s="670"/>
      <c r="AA39" s="276"/>
      <c r="AB39" s="40"/>
      <c r="AC39" s="40"/>
      <c r="AD39" s="2">
        <f t="shared" si="25"/>
        <v>25</v>
      </c>
      <c r="AE39" s="29" t="e">
        <f>AE38+#REF!</f>
        <v>#VALUE!</v>
      </c>
      <c r="AF39" s="36">
        <f t="shared" si="7"/>
        <v>0.14344201079405269</v>
      </c>
      <c r="AG39" s="35">
        <f t="shared" si="8"/>
        <v>21.516301619107903</v>
      </c>
      <c r="AH39" s="35">
        <f t="shared" si="9"/>
        <v>47.766189594419544</v>
      </c>
      <c r="AJ39" s="35">
        <f>AVERAGE(AG$14:AG39)</f>
        <v>12.786454747649815</v>
      </c>
      <c r="AK39" s="35">
        <f>AVERAGE(AH$14:AH39)</f>
        <v>28.385929539782587</v>
      </c>
      <c r="AM39" s="35">
        <f t="shared" si="17"/>
        <v>35.860502698513173</v>
      </c>
      <c r="AN39" s="35">
        <f>AVERAGE(AM$14:AM39)</f>
        <v>21.310757912749693</v>
      </c>
      <c r="AQ39" s="2">
        <f t="shared" si="0"/>
        <v>25</v>
      </c>
      <c r="AR39" s="55">
        <f t="shared" si="18"/>
        <v>94.671727124074778</v>
      </c>
      <c r="AS39" s="2">
        <f t="shared" si="10"/>
        <v>58.327179944364737</v>
      </c>
    </row>
    <row r="40" spans="1:48">
      <c r="A40" s="234">
        <f t="shared" si="19"/>
        <v>26</v>
      </c>
      <c r="B40" s="281">
        <f t="shared" si="20"/>
        <v>15.026286015593673</v>
      </c>
      <c r="C40" s="55">
        <f t="shared" si="21"/>
        <v>9.6744014475136447E-2</v>
      </c>
      <c r="D40" s="44">
        <f t="shared" si="1"/>
        <v>0.11609281737016373</v>
      </c>
      <c r="E40" s="51">
        <f t="shared" si="11"/>
        <v>2.0722873510616718E-3</v>
      </c>
      <c r="F40" s="237">
        <f t="shared" si="2"/>
        <v>2.4867448212740062E-3</v>
      </c>
      <c r="H40" s="116">
        <f t="shared" si="22"/>
        <v>0.1</v>
      </c>
      <c r="J40" s="242"/>
      <c r="K40" s="709">
        <f t="shared" si="23"/>
        <v>26</v>
      </c>
      <c r="L40" s="735">
        <f t="shared" si="12"/>
        <v>23.626199999999997</v>
      </c>
      <c r="M40" s="111">
        <f t="shared" si="24"/>
        <v>0.25240449186076219</v>
      </c>
      <c r="N40" s="111">
        <f t="shared" si="3"/>
        <v>0.30288539023291461</v>
      </c>
      <c r="O40" s="111">
        <f t="shared" si="13"/>
        <v>2.0128975883284522E-2</v>
      </c>
      <c r="P40" s="481">
        <f t="shared" si="4"/>
        <v>2.4154771059941425E-2</v>
      </c>
      <c r="Q40" s="80"/>
      <c r="R40" s="80"/>
      <c r="S40" s="80"/>
      <c r="T40" s="80"/>
      <c r="U40" s="80"/>
      <c r="V40" s="667">
        <f t="shared" si="5"/>
        <v>5.8046408685081867E-2</v>
      </c>
      <c r="W40" s="668">
        <f t="shared" si="14"/>
        <v>0.2128368318453002</v>
      </c>
      <c r="X40" s="668">
        <f t="shared" si="6"/>
        <v>1.2433724106370031E-3</v>
      </c>
      <c r="Y40" s="669">
        <f t="shared" si="15"/>
        <v>4.559032172335678E-3</v>
      </c>
      <c r="Z40" s="670"/>
      <c r="AA40" s="276"/>
      <c r="AB40" s="40"/>
      <c r="AC40" s="40"/>
      <c r="AD40" s="2">
        <f t="shared" si="25"/>
        <v>26</v>
      </c>
      <c r="AE40" s="29" t="e">
        <f>AE39+#REF!</f>
        <v>#VALUE!</v>
      </c>
      <c r="AF40" s="36">
        <f t="shared" si="7"/>
        <v>0.14658184011384312</v>
      </c>
      <c r="AG40" s="35">
        <f t="shared" si="8"/>
        <v>21.987276017076468</v>
      </c>
      <c r="AH40" s="35">
        <f t="shared" si="9"/>
        <v>48.811752757909758</v>
      </c>
      <c r="AJ40" s="35">
        <f>AVERAGE(AG$14:AG40)</f>
        <v>13.127225905776728</v>
      </c>
      <c r="AK40" s="35">
        <f>AVERAGE(AH$14:AH40)</f>
        <v>29.142441510824337</v>
      </c>
      <c r="AM40" s="35">
        <f t="shared" si="17"/>
        <v>36.645460028460782</v>
      </c>
      <c r="AN40" s="35">
        <f>AVERAGE(AM$14:AM40)</f>
        <v>21.878709842961214</v>
      </c>
      <c r="AQ40" s="2">
        <f t="shared" si="0"/>
        <v>26</v>
      </c>
      <c r="AR40" s="55">
        <f t="shared" si="18"/>
        <v>96.744014475136453</v>
      </c>
      <c r="AS40" s="2">
        <f t="shared" si="10"/>
        <v>60.093777135008565</v>
      </c>
    </row>
    <row r="41" spans="1:48">
      <c r="A41" s="234">
        <f t="shared" si="19"/>
        <v>27</v>
      </c>
      <c r="B41" s="281">
        <f t="shared" si="20"/>
        <v>15.173284593086862</v>
      </c>
      <c r="C41" s="55">
        <f t="shared" si="21"/>
        <v>9.8760467306968691E-2</v>
      </c>
      <c r="D41" s="44">
        <f t="shared" si="1"/>
        <v>0.11851256076836242</v>
      </c>
      <c r="E41" s="51">
        <f t="shared" si="11"/>
        <v>2.0164528318322439E-3</v>
      </c>
      <c r="F41" s="237">
        <f t="shared" si="2"/>
        <v>2.4197433981986926E-3</v>
      </c>
      <c r="H41" s="116">
        <f t="shared" si="22"/>
        <v>0.104</v>
      </c>
      <c r="J41" s="242"/>
      <c r="K41" s="709">
        <f t="shared" si="23"/>
        <v>27</v>
      </c>
      <c r="L41" s="735">
        <f t="shared" si="12"/>
        <v>24.5349</v>
      </c>
      <c r="M41" s="111">
        <f t="shared" si="24"/>
        <v>0.27341879903160077</v>
      </c>
      <c r="N41" s="111">
        <f t="shared" si="3"/>
        <v>0.32810255883792089</v>
      </c>
      <c r="O41" s="111">
        <f t="shared" si="13"/>
        <v>2.1014307170838575E-2</v>
      </c>
      <c r="P41" s="481">
        <f t="shared" si="4"/>
        <v>2.521716860500629E-2</v>
      </c>
      <c r="Q41" s="80"/>
      <c r="R41" s="80"/>
      <c r="S41" s="80"/>
      <c r="T41" s="80"/>
      <c r="U41" s="80"/>
      <c r="V41" s="667">
        <f t="shared" si="5"/>
        <v>5.9256280384181209E-2</v>
      </c>
      <c r="W41" s="668">
        <f t="shared" si="14"/>
        <v>0.21727302807533111</v>
      </c>
      <c r="X41" s="668">
        <f t="shared" si="6"/>
        <v>1.2098716990993463E-3</v>
      </c>
      <c r="Y41" s="669">
        <f t="shared" si="15"/>
        <v>4.436196230030936E-3</v>
      </c>
      <c r="Z41" s="670"/>
      <c r="AA41" s="276"/>
      <c r="AB41" s="40"/>
      <c r="AC41" s="40"/>
      <c r="AD41" s="2">
        <f t="shared" si="25"/>
        <v>27</v>
      </c>
      <c r="AE41" s="29" t="e">
        <f>AE40+#REF!</f>
        <v>#VALUE!</v>
      </c>
      <c r="AF41" s="36">
        <f t="shared" si="7"/>
        <v>0.14963707167722529</v>
      </c>
      <c r="AG41" s="35">
        <f t="shared" si="8"/>
        <v>22.445560751583791</v>
      </c>
      <c r="AH41" s="35">
        <f t="shared" si="9"/>
        <v>49.829144868516018</v>
      </c>
      <c r="AJ41" s="35">
        <f>AVERAGE(AG$14:AG41)</f>
        <v>13.460023578841264</v>
      </c>
      <c r="AK41" s="35">
        <f>AVERAGE(AH$14:AH41)</f>
        <v>29.881252345027608</v>
      </c>
      <c r="AM41" s="35">
        <f t="shared" si="17"/>
        <v>37.409267919306323</v>
      </c>
      <c r="AN41" s="35">
        <f>AVERAGE(AM$14:AM41)</f>
        <v>22.433372631402111</v>
      </c>
      <c r="AQ41" s="2">
        <f t="shared" si="0"/>
        <v>27</v>
      </c>
      <c r="AR41" s="55">
        <f t="shared" si="18"/>
        <v>98.760467306968692</v>
      </c>
      <c r="AS41" s="2">
        <f t="shared" si="10"/>
        <v>61.826565713098084</v>
      </c>
    </row>
    <row r="42" spans="1:48">
      <c r="A42" s="234">
        <f t="shared" si="19"/>
        <v>28</v>
      </c>
      <c r="B42" s="281">
        <f t="shared" si="20"/>
        <v>15.314936567132419</v>
      </c>
      <c r="C42" s="55">
        <f t="shared" si="21"/>
        <v>0.10072437237717383</v>
      </c>
      <c r="D42" s="44">
        <f t="shared" si="1"/>
        <v>0.12086924685260858</v>
      </c>
      <c r="E42" s="51">
        <f t="shared" si="11"/>
        <v>1.9639050702051353E-3</v>
      </c>
      <c r="F42" s="237">
        <f t="shared" si="2"/>
        <v>2.3566860842461623E-3</v>
      </c>
      <c r="H42" s="116">
        <f t="shared" si="22"/>
        <v>0.108</v>
      </c>
      <c r="J42" s="242"/>
      <c r="K42" s="709">
        <f t="shared" si="23"/>
        <v>28</v>
      </c>
      <c r="L42" s="735">
        <f t="shared" si="12"/>
        <v>25.4436</v>
      </c>
      <c r="M42" s="111">
        <f t="shared" si="24"/>
        <v>0.29532242337845771</v>
      </c>
      <c r="N42" s="111">
        <f t="shared" si="3"/>
        <v>0.35438690805414924</v>
      </c>
      <c r="O42" s="111">
        <f t="shared" si="13"/>
        <v>2.1903624346856942E-2</v>
      </c>
      <c r="P42" s="481">
        <f t="shared" si="4"/>
        <v>2.6284349216228329E-2</v>
      </c>
      <c r="Q42" s="80"/>
      <c r="R42" s="80"/>
      <c r="S42" s="80"/>
      <c r="T42" s="80"/>
      <c r="U42" s="80"/>
      <c r="V42" s="667">
        <f t="shared" si="5"/>
        <v>6.043462342630429E-2</v>
      </c>
      <c r="W42" s="668">
        <f t="shared" si="14"/>
        <v>0.22159361922978241</v>
      </c>
      <c r="X42" s="668">
        <f t="shared" si="6"/>
        <v>1.1783430421230812E-3</v>
      </c>
      <c r="Y42" s="669">
        <f t="shared" si="15"/>
        <v>4.3205911544512976E-3</v>
      </c>
      <c r="Z42" s="670"/>
      <c r="AA42" s="276"/>
      <c r="AB42" s="40"/>
      <c r="AC42" s="40"/>
      <c r="AD42" s="2">
        <f t="shared" si="25"/>
        <v>28</v>
      </c>
      <c r="AE42" s="29" t="e">
        <f>AE41+#REF!</f>
        <v>#VALUE!</v>
      </c>
      <c r="AF42" s="36">
        <f t="shared" si="7"/>
        <v>0.15261268541996034</v>
      </c>
      <c r="AG42" s="35">
        <f t="shared" si="8"/>
        <v>22.891902812994051</v>
      </c>
      <c r="AH42" s="35">
        <f t="shared" si="9"/>
        <v>50.820024244846792</v>
      </c>
      <c r="AJ42" s="35">
        <f>AVERAGE(AG$14:AG42)</f>
        <v>13.78526079381205</v>
      </c>
      <c r="AK42" s="35">
        <f>AVERAGE(AH$14:AH42)</f>
        <v>30.603278962262753</v>
      </c>
      <c r="AM42" s="35">
        <f t="shared" si="17"/>
        <v>38.153171354990086</v>
      </c>
      <c r="AN42" s="35">
        <f>AVERAGE(AM$14:AM42)</f>
        <v>22.975434656353421</v>
      </c>
      <c r="AQ42" s="2">
        <f t="shared" si="0"/>
        <v>28</v>
      </c>
      <c r="AR42" s="55">
        <f t="shared" si="18"/>
        <v>100.72437237717382</v>
      </c>
      <c r="AS42" s="2">
        <f t="shared" si="10"/>
        <v>63.527106046928481</v>
      </c>
    </row>
    <row r="43" spans="1:48">
      <c r="A43" s="234">
        <f t="shared" si="19"/>
        <v>29</v>
      </c>
      <c r="B43" s="281">
        <f t="shared" si="20"/>
        <v>15.451617257797317</v>
      </c>
      <c r="C43" s="55">
        <f t="shared" si="21"/>
        <v>0.10263872280490381</v>
      </c>
      <c r="D43" s="44">
        <f t="shared" si="1"/>
        <v>0.12316646736588457</v>
      </c>
      <c r="E43" s="51">
        <f t="shared" si="11"/>
        <v>1.9143504277299855E-3</v>
      </c>
      <c r="F43" s="237">
        <f t="shared" si="2"/>
        <v>2.2972205132759825E-3</v>
      </c>
      <c r="H43" s="116">
        <f t="shared" si="22"/>
        <v>0.112</v>
      </c>
      <c r="J43" s="242"/>
      <c r="K43" s="709">
        <f t="shared" si="23"/>
        <v>29</v>
      </c>
      <c r="L43" s="735">
        <f t="shared" si="12"/>
        <v>26.3523</v>
      </c>
      <c r="M43" s="111">
        <f t="shared" si="24"/>
        <v>0.31811922273495408</v>
      </c>
      <c r="N43" s="111">
        <f t="shared" si="3"/>
        <v>0.3817430672819449</v>
      </c>
      <c r="O43" s="111">
        <f t="shared" si="13"/>
        <v>2.2796799356496367E-2</v>
      </c>
      <c r="P43" s="481">
        <f t="shared" si="4"/>
        <v>2.7356159227795638E-2</v>
      </c>
      <c r="Q43" s="80"/>
      <c r="R43" s="80"/>
      <c r="S43" s="80"/>
      <c r="T43" s="80"/>
      <c r="U43" s="80"/>
      <c r="V43" s="667">
        <f t="shared" si="5"/>
        <v>6.1583233682942287E-2</v>
      </c>
      <c r="W43" s="668">
        <f t="shared" si="14"/>
        <v>0.22580519017078837</v>
      </c>
      <c r="X43" s="668">
        <f t="shared" si="6"/>
        <v>1.1486102566379912E-3</v>
      </c>
      <c r="Y43" s="669">
        <f t="shared" si="15"/>
        <v>4.211570941005968E-3</v>
      </c>
      <c r="Z43" s="670"/>
      <c r="AA43" s="276"/>
      <c r="AB43" s="40"/>
      <c r="AC43" s="40"/>
      <c r="AD43" s="2">
        <f t="shared" si="25"/>
        <v>29</v>
      </c>
      <c r="AE43" s="29" t="e">
        <f>AE42+#REF!</f>
        <v>#VALUE!</v>
      </c>
      <c r="AF43" s="36">
        <f t="shared" si="7"/>
        <v>0.15551321637106638</v>
      </c>
      <c r="AG43" s="35">
        <f t="shared" si="8"/>
        <v>23.326982455659959</v>
      </c>
      <c r="AH43" s="35">
        <f t="shared" si="9"/>
        <v>51.785901051565105</v>
      </c>
      <c r="AJ43" s="35">
        <f>AVERAGE(AG$14:AG43)</f>
        <v>14.103318182540313</v>
      </c>
      <c r="AK43" s="35">
        <f>AVERAGE(AH$14:AH43)</f>
        <v>31.309366365239498</v>
      </c>
      <c r="AM43" s="35">
        <f t="shared" si="17"/>
        <v>38.878304092766598</v>
      </c>
      <c r="AN43" s="35">
        <f>AVERAGE(AM$14:AM43)</f>
        <v>23.505530304233858</v>
      </c>
      <c r="AQ43" s="2">
        <f t="shared" si="0"/>
        <v>29</v>
      </c>
      <c r="AR43" s="55">
        <f t="shared" si="18"/>
        <v>102.63872280490381</v>
      </c>
      <c r="AS43" s="2">
        <f t="shared" si="10"/>
        <v>65.196846723940283</v>
      </c>
    </row>
    <row r="44" spans="1:48">
      <c r="A44" s="234">
        <f t="shared" si="19"/>
        <v>30</v>
      </c>
      <c r="B44" s="281">
        <f t="shared" si="20"/>
        <v>15.583663801574096</v>
      </c>
      <c r="C44" s="55">
        <f t="shared" si="21"/>
        <v>0.10450625272977555</v>
      </c>
      <c r="D44" s="44">
        <f t="shared" si="1"/>
        <v>0.12540750327573066</v>
      </c>
      <c r="E44" s="51">
        <f t="shared" si="11"/>
        <v>1.8675299248717414E-3</v>
      </c>
      <c r="F44" s="237">
        <f t="shared" si="2"/>
        <v>2.2410359098460897E-3</v>
      </c>
      <c r="H44" s="111">
        <f>F8*A44</f>
        <v>0.12136209994425548</v>
      </c>
      <c r="J44" s="242"/>
      <c r="K44" s="709">
        <f t="shared" si="23"/>
        <v>30</v>
      </c>
      <c r="L44" s="735">
        <f t="shared" si="12"/>
        <v>27.260999999999999</v>
      </c>
      <c r="M44" s="111">
        <f t="shared" si="24"/>
        <v>0.34181293535729645</v>
      </c>
      <c r="N44" s="111">
        <f t="shared" si="3"/>
        <v>0.41017552242875571</v>
      </c>
      <c r="O44" s="111">
        <f t="shared" si="13"/>
        <v>2.3693712622342378E-2</v>
      </c>
      <c r="P44" s="481">
        <f t="shared" si="4"/>
        <v>2.8432455146810851E-2</v>
      </c>
      <c r="Q44" s="80"/>
      <c r="R44" s="80"/>
      <c r="S44" s="80"/>
      <c r="T44" s="80"/>
      <c r="U44" s="80"/>
      <c r="V44" s="667">
        <f t="shared" si="5"/>
        <v>6.2703751637865332E-2</v>
      </c>
      <c r="W44" s="668">
        <f t="shared" si="14"/>
        <v>0.22991375600550623</v>
      </c>
      <c r="X44" s="668">
        <f t="shared" si="6"/>
        <v>1.1205179549230448E-3</v>
      </c>
      <c r="Y44" s="669">
        <f t="shared" si="15"/>
        <v>4.1085658347178311E-3</v>
      </c>
      <c r="Z44" s="670"/>
      <c r="AA44" s="276"/>
      <c r="AB44" s="40"/>
      <c r="AC44" s="40"/>
      <c r="AD44" s="2">
        <f t="shared" si="25"/>
        <v>30</v>
      </c>
      <c r="AE44" s="29" t="e">
        <f>AE43+#REF!</f>
        <v>#VALUE!</v>
      </c>
      <c r="AF44" s="36">
        <f t="shared" si="7"/>
        <v>0.15834280716632659</v>
      </c>
      <c r="AG44" s="35">
        <f t="shared" si="8"/>
        <v>23.75142107494899</v>
      </c>
      <c r="AH44" s="35">
        <f t="shared" si="9"/>
        <v>52.728154786386753</v>
      </c>
      <c r="AJ44" s="37">
        <f>AVERAGE(AG$14:AG44)</f>
        <v>14.414547308101884</v>
      </c>
      <c r="AK44" s="37">
        <f>AVERAGE(AH$14:AH44)</f>
        <v>32.000295023986183</v>
      </c>
      <c r="AM44" s="35">
        <f t="shared" si="17"/>
        <v>39.585701791581648</v>
      </c>
      <c r="AN44" s="35">
        <f>AVERAGE(AM$14:AM44)</f>
        <v>24.024245513503143</v>
      </c>
      <c r="AQ44" s="2">
        <f t="shared" si="0"/>
        <v>30</v>
      </c>
      <c r="AR44" s="55">
        <f t="shared" si="18"/>
        <v>104.50625272977555</v>
      </c>
      <c r="AS44" s="2">
        <f t="shared" si="10"/>
        <v>66.837135089106454</v>
      </c>
    </row>
    <row r="45" spans="1:48" ht="15">
      <c r="A45" s="29"/>
      <c r="B45" s="36"/>
      <c r="C45" s="36"/>
      <c r="E45" s="36"/>
      <c r="F45" s="36"/>
      <c r="G45" s="36"/>
      <c r="H45" s="111"/>
      <c r="I45" s="111"/>
      <c r="J45" s="244"/>
      <c r="K45" s="29"/>
      <c r="L45" s="111"/>
      <c r="M45" s="111"/>
      <c r="O45" s="111"/>
      <c r="P45" s="111"/>
      <c r="Q45" s="667"/>
      <c r="R45" s="667"/>
      <c r="S45" s="667"/>
      <c r="T45" s="667"/>
      <c r="U45" s="667"/>
      <c r="V45" s="667"/>
      <c r="W45" s="80"/>
      <c r="X45" s="671"/>
      <c r="Y45" s="672" t="s">
        <v>860</v>
      </c>
      <c r="Z45" s="670"/>
      <c r="AA45" s="270"/>
      <c r="AF45" s="36"/>
      <c r="AG45" s="36"/>
      <c r="AH45" s="36"/>
      <c r="AI45" s="36"/>
      <c r="AJ45" s="35"/>
      <c r="AK45" s="35"/>
      <c r="AM45" s="35"/>
      <c r="AN45" s="35"/>
      <c r="AP45" s="35"/>
      <c r="AT45" s="2"/>
      <c r="AU45" s="2"/>
      <c r="AV45" s="2"/>
    </row>
    <row r="46" spans="1:48">
      <c r="J46" s="242"/>
      <c r="Q46" s="80"/>
      <c r="R46" s="80"/>
      <c r="S46" s="80"/>
      <c r="T46" s="80"/>
      <c r="U46" s="80"/>
      <c r="V46" s="80"/>
      <c r="W46" s="80"/>
      <c r="X46" s="668">
        <f>F8*10</f>
        <v>4.0454033314751829E-2</v>
      </c>
      <c r="Y46" s="80"/>
      <c r="Z46" s="670"/>
      <c r="AA46" s="275"/>
      <c r="AB46" s="46"/>
      <c r="AC46" s="46"/>
      <c r="AD46" s="46"/>
      <c r="AE46" s="46"/>
      <c r="AF46" s="36"/>
      <c r="AG46" s="36"/>
      <c r="AH46" s="35"/>
      <c r="AI46" s="35"/>
      <c r="AK46" s="35"/>
      <c r="AL46" s="35"/>
      <c r="AN46" s="35"/>
      <c r="AR46" s="2"/>
      <c r="AS46" s="2"/>
      <c r="AT46" s="2"/>
    </row>
    <row r="47" spans="1:48" ht="16">
      <c r="J47" s="242"/>
      <c r="Q47" s="80"/>
      <c r="R47" s="80"/>
      <c r="S47" s="80"/>
      <c r="T47" s="80"/>
      <c r="U47" s="80"/>
      <c r="V47" s="80"/>
      <c r="W47" s="727"/>
      <c r="X47" s="80"/>
      <c r="Y47" s="673" t="s">
        <v>861</v>
      </c>
      <c r="Z47" s="667">
        <f>F8*0.5*44/12</f>
        <v>7.4165727743711685E-3</v>
      </c>
      <c r="AA47" s="274"/>
      <c r="AB47" s="36"/>
      <c r="AC47" s="36"/>
      <c r="AD47" s="36"/>
      <c r="AE47" s="36"/>
      <c r="AF47" s="36"/>
      <c r="AG47" s="36"/>
      <c r="AH47" s="35"/>
      <c r="AI47" s="35"/>
      <c r="AK47" s="35"/>
      <c r="AL47" s="35"/>
      <c r="AN47" s="35"/>
      <c r="AR47" s="2"/>
      <c r="AS47" s="2"/>
      <c r="AT47" s="2"/>
    </row>
    <row r="48" spans="1:48" ht="15">
      <c r="J48" s="242"/>
      <c r="Q48" s="80"/>
      <c r="R48" s="80"/>
      <c r="S48" s="80"/>
      <c r="T48" s="80"/>
      <c r="U48" s="80"/>
      <c r="V48" s="80"/>
      <c r="W48" s="727"/>
      <c r="X48" s="80"/>
      <c r="Y48" s="672" t="s">
        <v>862</v>
      </c>
      <c r="Z48" s="670">
        <f>Z47*B7*A44</f>
        <v>0</v>
      </c>
      <c r="AA48" s="274"/>
      <c r="AB48" s="36"/>
      <c r="AC48" s="36"/>
      <c r="AD48" s="36"/>
      <c r="AE48" s="36"/>
      <c r="AF48" s="36"/>
      <c r="AG48" s="36"/>
      <c r="AH48" s="35"/>
      <c r="AI48" s="35"/>
      <c r="AK48" s="35"/>
      <c r="AL48" s="35"/>
      <c r="AN48" s="35"/>
      <c r="AR48" s="2"/>
      <c r="AS48" s="2"/>
      <c r="AT48" s="2"/>
    </row>
    <row r="49" spans="1:47">
      <c r="A49" s="29"/>
      <c r="B49" s="36"/>
      <c r="C49" s="36"/>
      <c r="D49" s="36"/>
      <c r="E49" s="36"/>
      <c r="F49" s="36"/>
      <c r="G49" s="36"/>
      <c r="H49" s="111"/>
      <c r="I49" s="111"/>
      <c r="J49" s="244"/>
      <c r="K49" s="29"/>
      <c r="L49" s="111"/>
      <c r="M49" s="111"/>
      <c r="N49" s="111"/>
      <c r="O49" s="111"/>
      <c r="P49" s="111"/>
      <c r="Q49" s="667"/>
      <c r="R49" s="667"/>
      <c r="S49" s="667"/>
      <c r="T49" s="667"/>
      <c r="U49" s="667"/>
      <c r="V49" s="667"/>
      <c r="W49" s="667"/>
      <c r="X49" s="667"/>
      <c r="Y49" s="667"/>
      <c r="Z49" s="667"/>
      <c r="AA49" s="274"/>
      <c r="AB49" s="36"/>
      <c r="AC49" s="36"/>
      <c r="AD49" s="36"/>
      <c r="AE49" s="36"/>
      <c r="AF49" s="36"/>
      <c r="AG49" s="36"/>
      <c r="AH49" s="36"/>
      <c r="AI49" s="35"/>
      <c r="AJ49" s="35"/>
      <c r="AL49" s="35"/>
      <c r="AM49" s="35"/>
      <c r="AO49" s="35"/>
      <c r="AS49" s="2"/>
      <c r="AT49" s="2"/>
      <c r="AU49" s="2"/>
    </row>
    <row r="50" spans="1:47">
      <c r="A50" s="29"/>
      <c r="B50" s="36"/>
      <c r="C50" s="36"/>
      <c r="D50" s="36"/>
      <c r="E50" s="36"/>
      <c r="F50" s="36"/>
      <c r="G50" s="36"/>
      <c r="H50" s="111"/>
      <c r="I50" s="111"/>
      <c r="J50" s="244"/>
      <c r="K50" s="29"/>
      <c r="L50" s="111"/>
      <c r="M50" s="111"/>
      <c r="N50" s="111"/>
      <c r="O50" s="111"/>
      <c r="P50" s="111"/>
      <c r="Q50" s="667"/>
      <c r="R50" s="667"/>
      <c r="S50" s="667"/>
      <c r="T50" s="667"/>
      <c r="U50" s="667"/>
      <c r="V50" s="667"/>
      <c r="W50" s="667"/>
      <c r="X50" s="667"/>
      <c r="Y50" s="667"/>
      <c r="Z50" s="667"/>
      <c r="AA50" s="36"/>
      <c r="AB50" s="36"/>
      <c r="AC50" s="36"/>
      <c r="AD50" s="36"/>
      <c r="AE50" s="36"/>
      <c r="AF50" s="36"/>
      <c r="AG50" s="36"/>
      <c r="AH50" s="36"/>
      <c r="AI50" s="35"/>
      <c r="AJ50" s="35"/>
      <c r="AL50" s="35"/>
      <c r="AM50" s="35"/>
      <c r="AO50" s="35"/>
      <c r="AS50" s="2"/>
      <c r="AT50" s="2"/>
      <c r="AU50" s="2"/>
    </row>
    <row r="51" spans="1:47">
      <c r="A51" s="58"/>
      <c r="C51" s="36"/>
      <c r="D51" s="36"/>
      <c r="E51" s="36"/>
      <c r="F51" s="36"/>
      <c r="G51" s="36"/>
      <c r="H51" s="111"/>
      <c r="I51" s="111"/>
      <c r="J51" s="244"/>
      <c r="K51" s="58"/>
      <c r="M51" s="111"/>
      <c r="N51" s="111"/>
      <c r="O51" s="111"/>
      <c r="P51" s="111"/>
      <c r="Q51" s="667"/>
      <c r="R51" s="667"/>
      <c r="S51" s="667"/>
      <c r="T51" s="667"/>
      <c r="U51" s="667"/>
      <c r="V51" s="667"/>
      <c r="W51" s="667"/>
      <c r="X51" s="667"/>
      <c r="Y51" s="667"/>
      <c r="Z51" s="667"/>
      <c r="AA51" s="36"/>
      <c r="AB51" s="36"/>
      <c r="AC51" s="36"/>
      <c r="AD51" s="36"/>
      <c r="AE51" s="36"/>
      <c r="AF51" s="36"/>
      <c r="AG51" s="36"/>
      <c r="AH51" s="36"/>
      <c r="AI51" s="35"/>
      <c r="AJ51" s="35"/>
      <c r="AL51" s="35"/>
      <c r="AM51" s="35"/>
      <c r="AO51" s="35"/>
      <c r="AS51" s="2"/>
      <c r="AT51" s="2"/>
      <c r="AU51" s="2"/>
    </row>
    <row r="52" spans="1:47">
      <c r="A52" s="2"/>
      <c r="B52" s="2"/>
      <c r="C52" s="2"/>
      <c r="D52" s="2"/>
      <c r="E52" s="2"/>
      <c r="F52" s="2"/>
      <c r="G52" s="2"/>
      <c r="I52" s="192"/>
      <c r="J52" s="247"/>
      <c r="K52" s="192"/>
      <c r="L52" s="192"/>
      <c r="M52" s="192"/>
      <c r="N52" s="192"/>
      <c r="O52" s="192"/>
      <c r="P52" s="192"/>
      <c r="Q52" s="80"/>
      <c r="R52" s="80"/>
      <c r="S52" s="80"/>
      <c r="T52" s="80"/>
      <c r="U52" s="80"/>
      <c r="V52" s="84"/>
      <c r="W52" s="84"/>
      <c r="X52" s="84"/>
      <c r="Y52" s="84"/>
      <c r="Z52" s="84"/>
      <c r="AA52" s="36"/>
      <c r="AB52" s="36"/>
      <c r="AC52" s="36"/>
      <c r="AD52" s="36"/>
      <c r="AE52" s="36"/>
      <c r="AF52" s="36"/>
      <c r="AG52" s="36"/>
      <c r="AH52" s="35"/>
      <c r="AI52" s="35"/>
      <c r="AK52" s="35"/>
      <c r="AL52" s="35"/>
      <c r="AN52" s="35"/>
      <c r="AR52" s="2"/>
      <c r="AS52" s="2"/>
      <c r="AT52" s="2"/>
    </row>
    <row r="53" spans="1:47">
      <c r="A53" s="29"/>
      <c r="B53" s="29"/>
      <c r="C53" s="2"/>
      <c r="D53" s="2"/>
      <c r="E53" s="2"/>
      <c r="F53" s="2"/>
      <c r="G53" s="2"/>
      <c r="I53" s="192"/>
      <c r="J53" s="247"/>
      <c r="K53" s="29"/>
      <c r="L53" s="29"/>
      <c r="M53" s="192"/>
      <c r="N53" s="192"/>
      <c r="O53" s="192"/>
      <c r="P53" s="192"/>
      <c r="Q53" s="80"/>
      <c r="R53" s="80"/>
      <c r="S53" s="80"/>
      <c r="T53" s="80"/>
      <c r="U53" s="80"/>
      <c r="V53" s="84"/>
      <c r="W53" s="84"/>
      <c r="X53" s="84"/>
      <c r="Y53" s="84"/>
      <c r="Z53" s="84"/>
      <c r="AA53" s="36"/>
      <c r="AB53" s="36"/>
      <c r="AC53" s="36"/>
      <c r="AD53" s="36"/>
      <c r="AE53" s="36"/>
      <c r="AF53" s="36"/>
      <c r="AG53" s="36"/>
      <c r="AH53" s="35"/>
      <c r="AI53" s="35"/>
      <c r="AK53" s="35"/>
      <c r="AL53" s="35"/>
      <c r="AN53" s="35"/>
      <c r="AR53" s="2"/>
      <c r="AS53" s="2"/>
      <c r="AT53" s="2"/>
    </row>
    <row r="54" spans="1:47">
      <c r="A54" s="2"/>
      <c r="B54" s="29"/>
      <c r="C54" s="29"/>
      <c r="D54" s="29"/>
      <c r="E54" s="29"/>
      <c r="F54" s="29"/>
      <c r="G54" s="29"/>
      <c r="H54" s="29"/>
      <c r="I54" s="29"/>
      <c r="J54" s="248"/>
      <c r="K54" s="192"/>
      <c r="L54" s="29"/>
      <c r="M54" s="29"/>
      <c r="N54" s="29"/>
      <c r="O54" s="29"/>
      <c r="P54" s="29"/>
      <c r="Q54" s="666"/>
      <c r="R54" s="666"/>
      <c r="S54" s="666"/>
      <c r="T54" s="666"/>
      <c r="U54" s="666"/>
      <c r="V54" s="665"/>
      <c r="W54" s="665"/>
      <c r="X54" s="665"/>
      <c r="Y54" s="665"/>
      <c r="Z54" s="665"/>
      <c r="AA54" s="36"/>
      <c r="AB54" s="36"/>
      <c r="AC54" s="36"/>
      <c r="AD54" s="36"/>
      <c r="AE54" s="36"/>
      <c r="AF54" s="36"/>
      <c r="AG54" s="36"/>
      <c r="AH54" s="35"/>
      <c r="AI54" s="35"/>
      <c r="AK54" s="35"/>
      <c r="AL54" s="35"/>
      <c r="AN54" s="35"/>
      <c r="AR54" s="2"/>
      <c r="AS54" s="2"/>
      <c r="AT54" s="2"/>
    </row>
    <row r="55" spans="1:47">
      <c r="A55" s="2"/>
      <c r="B55" s="29"/>
      <c r="C55" s="56"/>
      <c r="D55" s="44"/>
      <c r="E55" s="44"/>
      <c r="F55" s="49"/>
      <c r="G55" s="52"/>
      <c r="H55" s="86"/>
      <c r="I55" s="86"/>
      <c r="J55" s="245"/>
      <c r="K55" s="192"/>
      <c r="L55" s="29"/>
      <c r="M55" s="111"/>
      <c r="N55" s="111"/>
      <c r="O55" s="111"/>
      <c r="P55" s="116"/>
      <c r="Q55" s="729"/>
      <c r="R55" s="729"/>
      <c r="S55" s="729"/>
      <c r="T55" s="729"/>
      <c r="U55" s="729"/>
      <c r="V55" s="667"/>
      <c r="W55" s="667"/>
      <c r="X55" s="668"/>
      <c r="Y55" s="669"/>
      <c r="Z55" s="670"/>
      <c r="AA55" s="36"/>
      <c r="AB55" s="36"/>
      <c r="AC55" s="36"/>
      <c r="AD55" s="36"/>
      <c r="AE55" s="36"/>
      <c r="AF55" s="36"/>
      <c r="AG55" s="36"/>
      <c r="AH55" s="35"/>
      <c r="AI55" s="35"/>
      <c r="AK55" s="35"/>
      <c r="AL55" s="35"/>
      <c r="AN55" s="35"/>
      <c r="AR55" s="2"/>
      <c r="AS55" s="2"/>
      <c r="AT55" s="2"/>
    </row>
    <row r="56" spans="1:47">
      <c r="A56" s="2"/>
      <c r="B56" s="29"/>
      <c r="C56" s="56"/>
      <c r="D56" s="44"/>
      <c r="E56" s="44"/>
      <c r="F56" s="49"/>
      <c r="G56" s="52"/>
      <c r="H56" s="86"/>
      <c r="I56" s="86"/>
      <c r="J56" s="245"/>
      <c r="K56" s="192"/>
      <c r="L56" s="29"/>
      <c r="M56" s="111"/>
      <c r="N56" s="111"/>
      <c r="O56" s="111"/>
      <c r="P56" s="116"/>
      <c r="Q56" s="667"/>
      <c r="R56" s="667"/>
      <c r="S56" s="667"/>
      <c r="T56" s="667"/>
      <c r="U56" s="667"/>
      <c r="V56" s="667"/>
      <c r="W56" s="667"/>
      <c r="X56" s="668"/>
      <c r="Y56" s="669"/>
      <c r="Z56" s="670"/>
      <c r="AA56" s="36"/>
      <c r="AB56" s="36"/>
      <c r="AC56" s="36"/>
      <c r="AD56" s="36"/>
      <c r="AE56" s="36"/>
      <c r="AF56" s="36"/>
      <c r="AG56" s="36"/>
      <c r="AH56" s="35"/>
      <c r="AI56" s="35"/>
      <c r="AK56" s="35"/>
      <c r="AL56" s="35"/>
      <c r="AN56" s="35"/>
      <c r="AR56" s="2"/>
      <c r="AS56" s="2"/>
      <c r="AT56" s="2"/>
    </row>
    <row r="57" spans="1:47">
      <c r="A57" s="2"/>
      <c r="B57" s="29"/>
      <c r="C57" s="56"/>
      <c r="D57" s="44"/>
      <c r="E57" s="44"/>
      <c r="F57" s="49"/>
      <c r="G57" s="52"/>
      <c r="H57" s="86"/>
      <c r="I57" s="86"/>
      <c r="J57" s="245"/>
      <c r="K57" s="192"/>
      <c r="L57" s="29"/>
      <c r="M57" s="111"/>
      <c r="N57" s="111"/>
      <c r="O57" s="111"/>
      <c r="P57" s="116"/>
      <c r="Q57" s="667"/>
      <c r="R57" s="667"/>
      <c r="S57" s="667"/>
      <c r="T57" s="667"/>
      <c r="U57" s="667"/>
      <c r="V57" s="667"/>
      <c r="W57" s="667"/>
      <c r="X57" s="668"/>
      <c r="Y57" s="669"/>
      <c r="Z57" s="670"/>
      <c r="AA57" s="36"/>
      <c r="AB57" s="36"/>
      <c r="AC57" s="36"/>
      <c r="AD57" s="36"/>
      <c r="AE57" s="36"/>
      <c r="AF57" s="36"/>
      <c r="AG57" s="36"/>
      <c r="AH57" s="35"/>
      <c r="AI57" s="35"/>
      <c r="AK57" s="35"/>
      <c r="AL57" s="35"/>
      <c r="AN57" s="35"/>
      <c r="AR57" s="2"/>
      <c r="AS57" s="2"/>
      <c r="AT57" s="2"/>
    </row>
    <row r="58" spans="1:47">
      <c r="A58" s="2"/>
      <c r="B58" s="29"/>
      <c r="C58" s="56"/>
      <c r="D58" s="44"/>
      <c r="E58" s="44"/>
      <c r="F58" s="49"/>
      <c r="G58" s="52"/>
      <c r="H58" s="86"/>
      <c r="I58" s="86"/>
      <c r="J58" s="245"/>
      <c r="K58" s="192"/>
      <c r="L58" s="29"/>
      <c r="M58" s="111"/>
      <c r="N58" s="111"/>
      <c r="O58" s="111"/>
      <c r="P58" s="116"/>
      <c r="Q58" s="667"/>
      <c r="R58" s="667"/>
      <c r="S58" s="667"/>
      <c r="T58" s="667"/>
      <c r="U58" s="667"/>
      <c r="V58" s="667"/>
      <c r="W58" s="667"/>
      <c r="X58" s="668"/>
      <c r="Y58" s="669"/>
      <c r="Z58" s="670"/>
      <c r="AA58" s="36"/>
      <c r="AB58" s="36"/>
      <c r="AC58" s="36"/>
      <c r="AD58" s="36"/>
      <c r="AE58" s="36"/>
      <c r="AF58" s="36"/>
      <c r="AG58" s="36"/>
      <c r="AH58" s="35"/>
      <c r="AI58" s="35"/>
      <c r="AK58" s="35"/>
      <c r="AL58" s="35"/>
      <c r="AN58" s="35"/>
      <c r="AR58" s="2"/>
      <c r="AS58" s="2"/>
      <c r="AT58" s="2"/>
    </row>
    <row r="59" spans="1:47">
      <c r="A59" s="2"/>
      <c r="B59" s="29"/>
      <c r="C59" s="56"/>
      <c r="D59" s="44"/>
      <c r="E59" s="44"/>
      <c r="F59" s="49"/>
      <c r="G59" s="52"/>
      <c r="H59" s="86"/>
      <c r="I59" s="86"/>
      <c r="J59" s="245"/>
      <c r="K59" s="192"/>
      <c r="L59" s="29"/>
      <c r="M59" s="111"/>
      <c r="N59" s="111"/>
      <c r="O59" s="111"/>
      <c r="P59" s="116"/>
      <c r="Q59" s="667"/>
      <c r="R59" s="667"/>
      <c r="S59" s="667"/>
      <c r="T59" s="667"/>
      <c r="U59" s="667"/>
      <c r="V59" s="667"/>
      <c r="W59" s="667"/>
      <c r="X59" s="668"/>
      <c r="Y59" s="669"/>
      <c r="Z59" s="670"/>
      <c r="AA59" s="36"/>
      <c r="AB59" s="36"/>
      <c r="AC59" s="36"/>
      <c r="AD59" s="36"/>
      <c r="AE59" s="36"/>
      <c r="AF59" s="36"/>
      <c r="AG59" s="36"/>
      <c r="AH59" s="35"/>
      <c r="AI59" s="35"/>
      <c r="AK59" s="35"/>
      <c r="AL59" s="35"/>
      <c r="AN59" s="35"/>
      <c r="AR59" s="2"/>
      <c r="AS59" s="2"/>
      <c r="AT59" s="2"/>
    </row>
    <row r="60" spans="1:47">
      <c r="A60" s="2"/>
      <c r="B60" s="29"/>
      <c r="C60" s="56"/>
      <c r="D60" s="44"/>
      <c r="E60" s="44"/>
      <c r="F60" s="49"/>
      <c r="G60" s="52"/>
      <c r="H60" s="86"/>
      <c r="I60" s="86"/>
      <c r="J60" s="245"/>
      <c r="K60" s="192"/>
      <c r="L60" s="29"/>
      <c r="M60" s="111"/>
      <c r="N60" s="111"/>
      <c r="O60" s="111"/>
      <c r="P60" s="116"/>
      <c r="Q60" s="667"/>
      <c r="R60" s="667"/>
      <c r="S60" s="667"/>
      <c r="T60" s="667"/>
      <c r="U60" s="667"/>
      <c r="V60" s="667"/>
      <c r="W60" s="667"/>
      <c r="X60" s="668"/>
      <c r="Y60" s="669"/>
      <c r="Z60" s="670"/>
      <c r="AA60" s="36"/>
      <c r="AB60" s="36"/>
      <c r="AC60" s="36"/>
      <c r="AD60" s="36"/>
      <c r="AE60" s="36"/>
      <c r="AF60" s="36"/>
      <c r="AG60" s="36"/>
      <c r="AH60" s="35"/>
      <c r="AI60" s="35"/>
      <c r="AK60" s="35"/>
      <c r="AL60" s="35"/>
      <c r="AN60" s="35"/>
      <c r="AR60" s="2"/>
      <c r="AS60" s="2"/>
      <c r="AT60" s="2"/>
    </row>
    <row r="61" spans="1:47">
      <c r="A61" s="2"/>
      <c r="B61" s="29"/>
      <c r="C61" s="56"/>
      <c r="D61" s="44"/>
      <c r="E61" s="44"/>
      <c r="F61" s="49"/>
      <c r="G61" s="52"/>
      <c r="H61" s="86"/>
      <c r="I61" s="86"/>
      <c r="J61" s="245"/>
      <c r="K61" s="192"/>
      <c r="L61" s="29"/>
      <c r="M61" s="111"/>
      <c r="N61" s="111"/>
      <c r="O61" s="111"/>
      <c r="P61" s="116"/>
      <c r="Q61" s="667"/>
      <c r="R61" s="667"/>
      <c r="S61" s="667"/>
      <c r="T61" s="667"/>
      <c r="U61" s="667"/>
      <c r="V61" s="667"/>
      <c r="W61" s="667"/>
      <c r="X61" s="668"/>
      <c r="Y61" s="669"/>
      <c r="Z61" s="670"/>
      <c r="AA61" s="36"/>
      <c r="AB61" s="36"/>
      <c r="AC61" s="36"/>
      <c r="AD61" s="36"/>
      <c r="AE61" s="36"/>
      <c r="AF61" s="36"/>
      <c r="AG61" s="36"/>
      <c r="AH61" s="35"/>
      <c r="AI61" s="35"/>
      <c r="AK61" s="35"/>
      <c r="AL61" s="35"/>
      <c r="AN61" s="35"/>
      <c r="AR61" s="2"/>
      <c r="AS61" s="2"/>
      <c r="AT61" s="2"/>
    </row>
    <row r="62" spans="1:47">
      <c r="A62" s="2"/>
      <c r="B62" s="29"/>
      <c r="C62" s="56"/>
      <c r="D62" s="44"/>
      <c r="E62" s="44"/>
      <c r="F62" s="49"/>
      <c r="G62" s="52"/>
      <c r="H62" s="86"/>
      <c r="I62" s="86"/>
      <c r="J62" s="245"/>
      <c r="K62" s="192"/>
      <c r="L62" s="29"/>
      <c r="M62" s="111"/>
      <c r="N62" s="111"/>
      <c r="O62" s="111"/>
      <c r="P62" s="116"/>
      <c r="Q62" s="667"/>
      <c r="R62" s="667"/>
      <c r="S62" s="667"/>
      <c r="T62" s="667"/>
      <c r="U62" s="667"/>
      <c r="V62" s="667"/>
      <c r="W62" s="667"/>
      <c r="X62" s="668"/>
      <c r="Y62" s="669"/>
      <c r="Z62" s="670"/>
      <c r="AA62" s="36"/>
      <c r="AB62" s="36"/>
      <c r="AC62" s="36"/>
      <c r="AD62" s="36"/>
      <c r="AE62" s="36"/>
      <c r="AF62" s="36"/>
      <c r="AG62" s="36"/>
      <c r="AH62" s="35"/>
      <c r="AI62" s="35"/>
      <c r="AK62" s="35"/>
      <c r="AL62" s="35"/>
      <c r="AN62" s="35"/>
      <c r="AR62" s="2"/>
      <c r="AS62" s="2"/>
      <c r="AT62" s="2"/>
    </row>
    <row r="63" spans="1:47">
      <c r="A63" s="2"/>
      <c r="B63" s="29"/>
      <c r="C63" s="56"/>
      <c r="D63" s="44"/>
      <c r="E63" s="44"/>
      <c r="F63" s="49"/>
      <c r="G63" s="52"/>
      <c r="H63" s="86"/>
      <c r="I63" s="86"/>
      <c r="J63" s="245"/>
      <c r="K63" s="192"/>
      <c r="L63" s="29"/>
      <c r="M63" s="111"/>
      <c r="N63" s="111"/>
      <c r="O63" s="111"/>
      <c r="P63" s="116"/>
      <c r="Q63" s="667"/>
      <c r="R63" s="667"/>
      <c r="S63" s="667"/>
      <c r="T63" s="667"/>
      <c r="U63" s="667"/>
      <c r="V63" s="667"/>
      <c r="W63" s="667"/>
      <c r="X63" s="668"/>
      <c r="Y63" s="669"/>
      <c r="Z63" s="670"/>
      <c r="AA63" s="36"/>
      <c r="AB63" s="36"/>
      <c r="AC63" s="36"/>
      <c r="AD63" s="36"/>
      <c r="AE63" s="36"/>
      <c r="AF63" s="36"/>
      <c r="AG63" s="36"/>
      <c r="AH63" s="35"/>
      <c r="AI63" s="35"/>
      <c r="AK63" s="35"/>
      <c r="AL63" s="35"/>
      <c r="AN63" s="35"/>
      <c r="AR63" s="2"/>
      <c r="AS63" s="2"/>
      <c r="AT63" s="2"/>
    </row>
    <row r="64" spans="1:47">
      <c r="A64" s="2"/>
      <c r="B64" s="29"/>
      <c r="C64" s="56"/>
      <c r="D64" s="44"/>
      <c r="E64" s="44"/>
      <c r="F64" s="49"/>
      <c r="G64" s="52"/>
      <c r="H64" s="86"/>
      <c r="I64" s="86"/>
      <c r="J64" s="245"/>
      <c r="K64" s="192"/>
      <c r="L64" s="29"/>
      <c r="M64" s="111"/>
      <c r="N64" s="111"/>
      <c r="O64" s="111"/>
      <c r="P64" s="116"/>
      <c r="Q64" s="667"/>
      <c r="R64" s="667"/>
      <c r="S64" s="667"/>
      <c r="T64" s="667"/>
      <c r="U64" s="667"/>
      <c r="V64" s="667"/>
      <c r="W64" s="667"/>
      <c r="X64" s="668"/>
      <c r="Y64" s="669"/>
      <c r="Z64" s="670"/>
      <c r="AA64" s="36"/>
      <c r="AB64" s="36"/>
      <c r="AC64" s="36"/>
      <c r="AD64" s="36"/>
      <c r="AE64" s="36"/>
      <c r="AF64" s="36"/>
      <c r="AG64" s="36"/>
      <c r="AH64" s="35"/>
      <c r="AI64" s="35"/>
      <c r="AK64" s="35"/>
      <c r="AL64" s="35"/>
      <c r="AN64" s="35"/>
      <c r="AR64" s="2"/>
      <c r="AS64" s="2"/>
      <c r="AT64" s="2"/>
    </row>
    <row r="65" spans="1:46">
      <c r="A65" s="2"/>
      <c r="B65" s="29"/>
      <c r="C65" s="56"/>
      <c r="D65" s="44"/>
      <c r="E65" s="44"/>
      <c r="F65" s="49"/>
      <c r="G65" s="52"/>
      <c r="H65" s="86"/>
      <c r="I65" s="86"/>
      <c r="J65" s="245"/>
      <c r="K65" s="192"/>
      <c r="L65" s="29"/>
      <c r="M65" s="111"/>
      <c r="N65" s="111"/>
      <c r="O65" s="111"/>
      <c r="P65" s="116"/>
      <c r="Q65" s="667"/>
      <c r="R65" s="667"/>
      <c r="S65" s="667"/>
      <c r="T65" s="667"/>
      <c r="U65" s="667"/>
      <c r="V65" s="667"/>
      <c r="W65" s="667"/>
      <c r="X65" s="668"/>
      <c r="Y65" s="669"/>
      <c r="Z65" s="670"/>
      <c r="AA65" s="36"/>
      <c r="AB65" s="36"/>
      <c r="AC65" s="36"/>
      <c r="AD65" s="36"/>
      <c r="AE65" s="36"/>
      <c r="AF65" s="36"/>
      <c r="AG65" s="36"/>
      <c r="AH65" s="35"/>
      <c r="AI65" s="35"/>
      <c r="AK65" s="35"/>
      <c r="AL65" s="35"/>
      <c r="AN65" s="35"/>
      <c r="AR65" s="2"/>
      <c r="AS65" s="2"/>
      <c r="AT65" s="2"/>
    </row>
    <row r="66" spans="1:46">
      <c r="A66" s="2"/>
      <c r="B66" s="29"/>
      <c r="C66" s="56"/>
      <c r="D66" s="44"/>
      <c r="E66" s="44"/>
      <c r="F66" s="49"/>
      <c r="G66" s="52"/>
      <c r="H66" s="86"/>
      <c r="I66" s="86"/>
      <c r="J66" s="245"/>
      <c r="K66" s="192"/>
      <c r="L66" s="29"/>
      <c r="M66" s="111"/>
      <c r="N66" s="111"/>
      <c r="O66" s="111"/>
      <c r="P66" s="116"/>
      <c r="Q66" s="667"/>
      <c r="R66" s="667"/>
      <c r="S66" s="667"/>
      <c r="T66" s="667"/>
      <c r="U66" s="667"/>
      <c r="V66" s="667"/>
      <c r="W66" s="667"/>
      <c r="X66" s="668"/>
      <c r="Y66" s="669"/>
      <c r="Z66" s="670"/>
      <c r="AA66" s="36"/>
      <c r="AB66" s="36"/>
      <c r="AC66" s="36"/>
      <c r="AD66" s="36"/>
      <c r="AE66" s="36"/>
      <c r="AF66" s="36"/>
      <c r="AG66" s="36"/>
      <c r="AH66" s="35"/>
      <c r="AI66" s="35"/>
      <c r="AK66" s="35"/>
      <c r="AL66" s="35"/>
      <c r="AN66" s="35"/>
      <c r="AR66" s="2"/>
      <c r="AS66" s="2"/>
      <c r="AT66" s="2"/>
    </row>
    <row r="67" spans="1:46">
      <c r="A67" s="2"/>
      <c r="B67" s="29"/>
      <c r="C67" s="56"/>
      <c r="D67" s="44"/>
      <c r="E67" s="44"/>
      <c r="F67" s="49"/>
      <c r="G67" s="52"/>
      <c r="H67" s="86"/>
      <c r="I67" s="86"/>
      <c r="J67" s="245"/>
      <c r="K67" s="192"/>
      <c r="L67" s="29"/>
      <c r="M67" s="111"/>
      <c r="N67" s="111"/>
      <c r="O67" s="111"/>
      <c r="P67" s="116"/>
      <c r="Q67" s="667"/>
      <c r="R67" s="667"/>
      <c r="S67" s="667"/>
      <c r="T67" s="667"/>
      <c r="U67" s="667"/>
      <c r="V67" s="667"/>
      <c r="W67" s="667"/>
      <c r="X67" s="668"/>
      <c r="Y67" s="669"/>
      <c r="Z67" s="670"/>
      <c r="AA67" s="36"/>
      <c r="AB67" s="36"/>
      <c r="AC67" s="36"/>
      <c r="AD67" s="36"/>
      <c r="AE67" s="36"/>
      <c r="AF67" s="36"/>
      <c r="AG67" s="36"/>
      <c r="AH67" s="35"/>
      <c r="AI67" s="35"/>
      <c r="AK67" s="35"/>
      <c r="AL67" s="35"/>
      <c r="AN67" s="35"/>
      <c r="AR67" s="2"/>
      <c r="AS67" s="2"/>
      <c r="AT67" s="2"/>
    </row>
    <row r="68" spans="1:46">
      <c r="A68" s="2"/>
      <c r="B68" s="29"/>
      <c r="C68" s="56"/>
      <c r="D68" s="44"/>
      <c r="E68" s="44"/>
      <c r="F68" s="49"/>
      <c r="G68" s="52"/>
      <c r="H68" s="86"/>
      <c r="I68" s="86"/>
      <c r="J68" s="245"/>
      <c r="K68" s="192"/>
      <c r="L68" s="29"/>
      <c r="M68" s="111"/>
      <c r="N68" s="111"/>
      <c r="O68" s="111"/>
      <c r="P68" s="116"/>
      <c r="Q68" s="667"/>
      <c r="R68" s="667"/>
      <c r="S68" s="667"/>
      <c r="T68" s="667"/>
      <c r="U68" s="667"/>
      <c r="V68" s="667"/>
      <c r="W68" s="667"/>
      <c r="X68" s="668"/>
      <c r="Y68" s="669"/>
      <c r="Z68" s="670"/>
      <c r="AA68" s="36"/>
      <c r="AB68" s="36"/>
      <c r="AC68" s="36"/>
      <c r="AD68" s="36"/>
      <c r="AE68" s="36"/>
      <c r="AF68" s="36"/>
      <c r="AG68" s="36"/>
      <c r="AH68" s="35"/>
      <c r="AI68" s="35"/>
      <c r="AK68" s="35"/>
      <c r="AL68" s="35"/>
      <c r="AN68" s="35"/>
      <c r="AR68" s="2"/>
      <c r="AS68" s="2"/>
      <c r="AT68" s="2"/>
    </row>
    <row r="69" spans="1:46">
      <c r="A69" s="2"/>
      <c r="B69" s="29"/>
      <c r="C69" s="56"/>
      <c r="D69" s="44"/>
      <c r="E69" s="44"/>
      <c r="F69" s="49"/>
      <c r="G69" s="52"/>
      <c r="H69" s="86"/>
      <c r="I69" s="86"/>
      <c r="J69" s="245"/>
      <c r="K69" s="192"/>
      <c r="L69" s="29"/>
      <c r="M69" s="111"/>
      <c r="N69" s="111"/>
      <c r="O69" s="111"/>
      <c r="P69" s="116"/>
      <c r="Q69" s="667"/>
      <c r="R69" s="667"/>
      <c r="S69" s="667"/>
      <c r="T69" s="667"/>
      <c r="U69" s="667"/>
      <c r="V69" s="667"/>
      <c r="W69" s="667"/>
      <c r="X69" s="668"/>
      <c r="Y69" s="669"/>
      <c r="Z69" s="670"/>
      <c r="AA69" s="36"/>
      <c r="AB69" s="36"/>
      <c r="AC69" s="36"/>
      <c r="AD69" s="36"/>
      <c r="AE69" s="36"/>
      <c r="AF69" s="36"/>
      <c r="AG69" s="36"/>
      <c r="AH69" s="35"/>
      <c r="AI69" s="35"/>
      <c r="AK69" s="35"/>
      <c r="AL69" s="35"/>
      <c r="AN69" s="35"/>
      <c r="AR69" s="2"/>
      <c r="AS69" s="2"/>
      <c r="AT69" s="2"/>
    </row>
    <row r="70" spans="1:46">
      <c r="A70" s="2"/>
      <c r="B70" s="29"/>
      <c r="C70" s="56"/>
      <c r="D70" s="44"/>
      <c r="E70" s="44"/>
      <c r="F70" s="49"/>
      <c r="G70" s="52"/>
      <c r="H70" s="86"/>
      <c r="I70" s="86"/>
      <c r="J70" s="245"/>
      <c r="K70" s="192"/>
      <c r="L70" s="29"/>
      <c r="M70" s="111"/>
      <c r="N70" s="111"/>
      <c r="O70" s="111"/>
      <c r="P70" s="116"/>
      <c r="Q70" s="667"/>
      <c r="R70" s="667"/>
      <c r="S70" s="667"/>
      <c r="T70" s="667"/>
      <c r="U70" s="667"/>
      <c r="V70" s="667"/>
      <c r="W70" s="667"/>
      <c r="X70" s="668"/>
      <c r="Y70" s="669"/>
      <c r="Z70" s="670"/>
      <c r="AA70" s="36"/>
      <c r="AB70" s="36"/>
      <c r="AC70" s="36"/>
      <c r="AD70" s="36"/>
      <c r="AE70" s="36"/>
      <c r="AF70" s="36"/>
      <c r="AG70" s="36"/>
      <c r="AH70" s="35"/>
      <c r="AI70" s="35"/>
      <c r="AK70" s="35"/>
      <c r="AL70" s="35"/>
      <c r="AN70" s="35"/>
      <c r="AR70" s="2"/>
      <c r="AS70" s="2"/>
      <c r="AT70" s="2"/>
    </row>
    <row r="71" spans="1:46">
      <c r="A71" s="2"/>
      <c r="B71" s="29"/>
      <c r="C71" s="56"/>
      <c r="D71" s="44"/>
      <c r="E71" s="44"/>
      <c r="F71" s="49"/>
      <c r="G71" s="52"/>
      <c r="H71" s="86"/>
      <c r="I71" s="86"/>
      <c r="J71" s="245"/>
      <c r="K71" s="192"/>
      <c r="L71" s="29"/>
      <c r="M71" s="111"/>
      <c r="N71" s="111"/>
      <c r="O71" s="111"/>
      <c r="P71" s="116"/>
      <c r="Q71" s="667"/>
      <c r="R71" s="667"/>
      <c r="S71" s="667"/>
      <c r="T71" s="667"/>
      <c r="U71" s="667"/>
      <c r="V71" s="667"/>
      <c r="W71" s="667"/>
      <c r="X71" s="668"/>
      <c r="Y71" s="669"/>
      <c r="Z71" s="670"/>
      <c r="AA71" s="36"/>
      <c r="AB71" s="36"/>
      <c r="AC71" s="36"/>
      <c r="AD71" s="36"/>
      <c r="AE71" s="36"/>
      <c r="AF71" s="36"/>
      <c r="AG71" s="36"/>
      <c r="AH71" s="35"/>
      <c r="AI71" s="35"/>
      <c r="AK71" s="35"/>
      <c r="AL71" s="35"/>
      <c r="AN71" s="35"/>
      <c r="AR71" s="2"/>
      <c r="AS71" s="2"/>
      <c r="AT71" s="2"/>
    </row>
    <row r="72" spans="1:46">
      <c r="A72" s="2"/>
      <c r="B72" s="29"/>
      <c r="C72" s="56"/>
      <c r="D72" s="44"/>
      <c r="E72" s="44"/>
      <c r="F72" s="49"/>
      <c r="G72" s="52"/>
      <c r="H72" s="86"/>
      <c r="I72" s="86"/>
      <c r="J72" s="245"/>
      <c r="K72" s="192"/>
      <c r="L72" s="29"/>
      <c r="M72" s="111"/>
      <c r="N72" s="111"/>
      <c r="O72" s="111"/>
      <c r="P72" s="116"/>
      <c r="Q72" s="667"/>
      <c r="R72" s="667"/>
      <c r="S72" s="667"/>
      <c r="T72" s="667"/>
      <c r="U72" s="667"/>
      <c r="V72" s="667"/>
      <c r="W72" s="667"/>
      <c r="X72" s="668"/>
      <c r="Y72" s="669"/>
      <c r="Z72" s="670"/>
      <c r="AA72" s="36"/>
      <c r="AB72" s="36"/>
      <c r="AC72" s="36"/>
      <c r="AD72" s="36"/>
      <c r="AE72" s="36"/>
      <c r="AF72" s="36"/>
      <c r="AG72" s="36"/>
      <c r="AH72" s="35"/>
      <c r="AI72" s="35"/>
      <c r="AK72" s="35"/>
      <c r="AL72" s="35"/>
      <c r="AN72" s="35"/>
      <c r="AR72" s="2"/>
      <c r="AS72" s="2"/>
      <c r="AT72" s="2"/>
    </row>
    <row r="73" spans="1:46">
      <c r="A73" s="2"/>
      <c r="B73" s="29"/>
      <c r="C73" s="56"/>
      <c r="D73" s="44"/>
      <c r="E73" s="44"/>
      <c r="F73" s="49"/>
      <c r="G73" s="52"/>
      <c r="H73" s="86"/>
      <c r="I73" s="86"/>
      <c r="J73" s="245"/>
      <c r="K73" s="192"/>
      <c r="L73" s="29"/>
      <c r="M73" s="111"/>
      <c r="N73" s="111"/>
      <c r="O73" s="111"/>
      <c r="P73" s="116"/>
      <c r="Q73" s="667"/>
      <c r="R73" s="667"/>
      <c r="S73" s="667"/>
      <c r="T73" s="667"/>
      <c r="U73" s="667"/>
      <c r="V73" s="667"/>
      <c r="W73" s="667"/>
      <c r="X73" s="668"/>
      <c r="Y73" s="669"/>
      <c r="Z73" s="670"/>
      <c r="AA73" s="36"/>
      <c r="AB73" s="36"/>
      <c r="AC73" s="36"/>
      <c r="AD73" s="36"/>
      <c r="AE73" s="36"/>
      <c r="AF73" s="36"/>
      <c r="AG73" s="36"/>
      <c r="AH73" s="35"/>
      <c r="AI73" s="35"/>
      <c r="AK73" s="35"/>
      <c r="AL73" s="35"/>
      <c r="AN73" s="35"/>
      <c r="AR73" s="2"/>
      <c r="AS73" s="2"/>
      <c r="AT73" s="2"/>
    </row>
    <row r="74" spans="1:46">
      <c r="A74" s="2"/>
      <c r="B74" s="29"/>
      <c r="C74" s="56"/>
      <c r="D74" s="44"/>
      <c r="E74" s="44"/>
      <c r="F74" s="49"/>
      <c r="G74" s="52"/>
      <c r="H74" s="86"/>
      <c r="I74" s="86"/>
      <c r="J74" s="245"/>
      <c r="K74" s="192"/>
      <c r="L74" s="29"/>
      <c r="M74" s="111"/>
      <c r="N74" s="111"/>
      <c r="O74" s="111"/>
      <c r="P74" s="116"/>
      <c r="Q74" s="667"/>
      <c r="R74" s="667"/>
      <c r="S74" s="667"/>
      <c r="T74" s="667"/>
      <c r="U74" s="667"/>
      <c r="V74" s="667"/>
      <c r="W74" s="667"/>
      <c r="X74" s="668"/>
      <c r="Y74" s="669"/>
      <c r="Z74" s="670"/>
      <c r="AA74" s="36"/>
      <c r="AB74" s="36"/>
      <c r="AC74" s="36"/>
      <c r="AD74" s="36"/>
      <c r="AE74" s="36"/>
      <c r="AF74" s="36"/>
      <c r="AG74" s="36"/>
      <c r="AH74" s="35"/>
      <c r="AI74" s="35"/>
      <c r="AK74" s="35"/>
      <c r="AL74" s="35"/>
      <c r="AR74" s="2"/>
      <c r="AS74" s="2"/>
      <c r="AT74" s="2"/>
    </row>
    <row r="75" spans="1:46">
      <c r="A75" s="2"/>
      <c r="B75" s="29"/>
      <c r="C75" s="56"/>
      <c r="D75" s="44"/>
      <c r="E75" s="44"/>
      <c r="F75" s="49"/>
      <c r="G75" s="52"/>
      <c r="H75" s="86"/>
      <c r="I75" s="86"/>
      <c r="J75" s="245"/>
      <c r="K75" s="192"/>
      <c r="L75" s="29"/>
      <c r="M75" s="111"/>
      <c r="N75" s="111"/>
      <c r="O75" s="111"/>
      <c r="P75" s="116"/>
      <c r="Q75" s="80"/>
      <c r="R75" s="80"/>
      <c r="S75" s="80"/>
      <c r="T75" s="80"/>
      <c r="U75" s="80"/>
      <c r="V75" s="667"/>
      <c r="W75" s="667"/>
      <c r="X75" s="668"/>
      <c r="Y75" s="669"/>
      <c r="Z75" s="670"/>
    </row>
    <row r="76" spans="1:46">
      <c r="A76" s="2"/>
      <c r="B76" s="29"/>
      <c r="C76" s="56"/>
      <c r="D76" s="44"/>
      <c r="E76" s="44"/>
      <c r="F76" s="49"/>
      <c r="G76" s="52"/>
      <c r="H76" s="86"/>
      <c r="I76" s="86"/>
      <c r="J76" s="245"/>
      <c r="K76" s="192"/>
      <c r="L76" s="29"/>
      <c r="M76" s="111"/>
      <c r="N76" s="111"/>
      <c r="O76" s="111"/>
      <c r="P76" s="116"/>
      <c r="Q76" s="80"/>
      <c r="R76" s="80"/>
      <c r="S76" s="80"/>
      <c r="T76" s="80"/>
      <c r="U76" s="80"/>
      <c r="V76" s="667"/>
      <c r="W76" s="667"/>
      <c r="X76" s="668"/>
      <c r="Y76" s="669"/>
      <c r="Z76" s="670"/>
    </row>
    <row r="77" spans="1:46">
      <c r="A77" s="2"/>
      <c r="B77" s="29"/>
      <c r="C77" s="56"/>
      <c r="D77" s="44"/>
      <c r="E77" s="44"/>
      <c r="F77" s="49"/>
      <c r="G77" s="52"/>
      <c r="H77" s="86"/>
      <c r="I77" s="86"/>
      <c r="J77" s="245"/>
      <c r="K77" s="192"/>
      <c r="L77" s="29"/>
      <c r="M77" s="111"/>
      <c r="N77" s="111"/>
      <c r="O77" s="111"/>
      <c r="P77" s="116"/>
      <c r="Q77" s="80"/>
      <c r="R77" s="80"/>
      <c r="S77" s="80"/>
      <c r="T77" s="80"/>
      <c r="U77" s="80"/>
      <c r="V77" s="667"/>
      <c r="W77" s="667"/>
      <c r="X77" s="668"/>
      <c r="Y77" s="669"/>
      <c r="Z77" s="670"/>
    </row>
    <row r="78" spans="1:46">
      <c r="A78" s="2"/>
      <c r="B78" s="29"/>
      <c r="C78" s="56"/>
      <c r="D78" s="44"/>
      <c r="E78" s="44"/>
      <c r="F78" s="49"/>
      <c r="G78" s="52"/>
      <c r="H78" s="86"/>
      <c r="I78" s="86"/>
      <c r="J78" s="245"/>
      <c r="K78" s="192"/>
      <c r="L78" s="29"/>
      <c r="M78" s="111"/>
      <c r="N78" s="111"/>
      <c r="O78" s="111"/>
      <c r="P78" s="116"/>
      <c r="Q78" s="80"/>
      <c r="R78" s="80"/>
      <c r="S78" s="80"/>
      <c r="T78" s="80"/>
      <c r="U78" s="80"/>
      <c r="V78" s="667"/>
      <c r="W78" s="667"/>
      <c r="X78" s="668"/>
      <c r="Y78" s="669"/>
      <c r="Z78" s="670"/>
    </row>
    <row r="79" spans="1:46">
      <c r="A79" s="2"/>
      <c r="B79" s="29"/>
      <c r="C79" s="56"/>
      <c r="D79" s="44"/>
      <c r="E79" s="44"/>
      <c r="F79" s="49"/>
      <c r="G79" s="52"/>
      <c r="H79" s="86"/>
      <c r="I79" s="86"/>
      <c r="J79" s="245"/>
      <c r="K79" s="192"/>
      <c r="L79" s="29"/>
      <c r="M79" s="111"/>
      <c r="N79" s="111"/>
      <c r="O79" s="111"/>
      <c r="P79" s="116"/>
      <c r="Q79" s="80"/>
      <c r="R79" s="80"/>
      <c r="S79" s="80"/>
      <c r="T79" s="80"/>
      <c r="U79" s="80"/>
      <c r="V79" s="667"/>
      <c r="W79" s="667"/>
      <c r="X79" s="668"/>
      <c r="Y79" s="669"/>
      <c r="Z79" s="670"/>
    </row>
    <row r="80" spans="1:46">
      <c r="A80" s="2"/>
      <c r="B80" s="29"/>
      <c r="C80" s="56"/>
      <c r="D80" s="44"/>
      <c r="E80" s="44"/>
      <c r="F80" s="49"/>
      <c r="G80" s="52"/>
      <c r="H80" s="86"/>
      <c r="I80" s="86"/>
      <c r="J80" s="245"/>
      <c r="K80" s="192"/>
      <c r="L80" s="29"/>
      <c r="M80" s="111"/>
      <c r="N80" s="111"/>
      <c r="O80" s="111"/>
      <c r="P80" s="116"/>
      <c r="Q80" s="80"/>
      <c r="R80" s="80"/>
      <c r="S80" s="80"/>
      <c r="T80" s="80"/>
      <c r="U80" s="80"/>
      <c r="V80" s="667"/>
      <c r="W80" s="667"/>
      <c r="X80" s="668"/>
      <c r="Y80" s="669"/>
      <c r="Z80" s="670"/>
    </row>
    <row r="81" spans="1:26">
      <c r="A81" s="2"/>
      <c r="B81" s="29"/>
      <c r="C81" s="56"/>
      <c r="D81" s="44"/>
      <c r="E81" s="44"/>
      <c r="F81" s="49"/>
      <c r="G81" s="52"/>
      <c r="H81" s="86"/>
      <c r="I81" s="86"/>
      <c r="J81" s="245"/>
      <c r="K81" s="192"/>
      <c r="L81" s="29"/>
      <c r="M81" s="111"/>
      <c r="N81" s="111"/>
      <c r="O81" s="111"/>
      <c r="P81" s="116"/>
      <c r="Q81" s="80"/>
      <c r="R81" s="80"/>
      <c r="S81" s="80"/>
      <c r="T81" s="80"/>
      <c r="U81" s="80"/>
      <c r="V81" s="667"/>
      <c r="W81" s="667"/>
      <c r="X81" s="668"/>
      <c r="Y81" s="669"/>
      <c r="Z81" s="670"/>
    </row>
    <row r="82" spans="1:26">
      <c r="A82" s="2"/>
      <c r="B82" s="29"/>
      <c r="C82" s="56"/>
      <c r="D82" s="44"/>
      <c r="E82" s="44"/>
      <c r="F82" s="49"/>
      <c r="G82" s="52"/>
      <c r="H82" s="86"/>
      <c r="I82" s="86"/>
      <c r="J82" s="245"/>
      <c r="K82" s="192"/>
      <c r="L82" s="29"/>
      <c r="M82" s="111"/>
      <c r="N82" s="111"/>
      <c r="O82" s="111"/>
      <c r="P82" s="116"/>
      <c r="V82" s="51"/>
      <c r="W82" s="36"/>
      <c r="X82" s="39"/>
      <c r="Y82" s="40"/>
      <c r="Z82" s="53"/>
    </row>
    <row r="83" spans="1:26">
      <c r="A83" s="2"/>
      <c r="B83" s="29"/>
      <c r="C83" s="56"/>
      <c r="D83" s="44"/>
      <c r="E83" s="44"/>
      <c r="F83" s="49"/>
      <c r="G83" s="52"/>
      <c r="H83" s="86"/>
      <c r="I83" s="86"/>
      <c r="J83" s="245"/>
      <c r="K83" s="192"/>
      <c r="L83" s="29"/>
      <c r="M83" s="111"/>
      <c r="N83" s="111"/>
      <c r="O83" s="111"/>
      <c r="P83" s="116"/>
      <c r="V83" s="51"/>
      <c r="W83" s="36"/>
      <c r="X83" s="39"/>
      <c r="Y83" s="40"/>
      <c r="Z83" s="53"/>
    </row>
    <row r="84" spans="1:26">
      <c r="A84" s="2"/>
      <c r="B84" s="29"/>
      <c r="C84" s="56"/>
      <c r="D84" s="44"/>
      <c r="E84" s="44"/>
      <c r="F84" s="49"/>
      <c r="G84" s="52"/>
      <c r="H84" s="86"/>
      <c r="I84" s="86"/>
      <c r="J84" s="86"/>
      <c r="K84" s="192"/>
      <c r="L84" s="29"/>
      <c r="M84" s="111"/>
      <c r="N84" s="111"/>
      <c r="O84" s="111"/>
      <c r="P84" s="116"/>
      <c r="V84" s="51"/>
      <c r="W84" s="36"/>
      <c r="X84" s="39"/>
      <c r="Y84" s="40"/>
      <c r="Z84" s="53"/>
    </row>
    <row r="85" spans="1:26">
      <c r="C85" s="56"/>
      <c r="M85" s="111"/>
      <c r="Y85" s="47"/>
      <c r="Z85" s="53"/>
    </row>
    <row r="87" spans="1:26">
      <c r="V87" s="41"/>
      <c r="W87" s="36"/>
    </row>
    <row r="88" spans="1:26">
      <c r="V88" s="41"/>
      <c r="W88" s="36"/>
    </row>
    <row r="89" spans="1:26">
      <c r="V89" s="47"/>
      <c r="W89" s="43"/>
    </row>
  </sheetData>
  <phoneticPr fontId="6" type="noConversion"/>
  <pageMargins left="0.75" right="0.75" top="1" bottom="1" header="0.5" footer="0.5"/>
  <pageSetup paperSize="9" orientation="portrait" horizontalDpi="4294967292" verticalDpi="4294967292"/>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N60"/>
  <sheetViews>
    <sheetView zoomScale="125" workbookViewId="0">
      <selection activeCell="E16" sqref="E16"/>
    </sheetView>
  </sheetViews>
  <sheetFormatPr baseColWidth="10" defaultColWidth="11.1640625" defaultRowHeight="13"/>
  <cols>
    <col min="1" max="1" width="4.1640625" style="229" customWidth="1"/>
  </cols>
  <sheetData>
    <row r="1" spans="1:13" s="33" customFormat="1">
      <c r="A1" s="240"/>
      <c r="B1" s="58" t="s">
        <v>616</v>
      </c>
      <c r="L1" s="58" t="s">
        <v>7</v>
      </c>
    </row>
    <row r="2" spans="1:13" s="33" customFormat="1">
      <c r="A2" s="240"/>
    </row>
    <row r="3" spans="1:13">
      <c r="A3" s="240"/>
      <c r="D3" s="33" t="s">
        <v>231</v>
      </c>
      <c r="E3">
        <f>AVERAGE(14.57,14.37,13.59,12.56)/4.5</f>
        <v>3.0605555555555557</v>
      </c>
      <c r="F3" s="33" t="s">
        <v>233</v>
      </c>
      <c r="H3" s="33" t="s">
        <v>65</v>
      </c>
      <c r="L3" t="s">
        <v>244</v>
      </c>
    </row>
    <row r="4" spans="1:13">
      <c r="A4" s="240"/>
      <c r="H4" s="2" t="s">
        <v>64</v>
      </c>
      <c r="L4" t="s">
        <v>245</v>
      </c>
    </row>
    <row r="5" spans="1:13">
      <c r="A5" s="240"/>
      <c r="D5" s="33" t="s">
        <v>114</v>
      </c>
      <c r="F5" s="2" t="s">
        <v>203</v>
      </c>
      <c r="G5" s="33" t="s">
        <v>203</v>
      </c>
      <c r="H5" s="2" t="s">
        <v>227</v>
      </c>
      <c r="J5" s="2" t="s">
        <v>203</v>
      </c>
      <c r="L5" t="s">
        <v>246</v>
      </c>
    </row>
    <row r="6" spans="1:13">
      <c r="A6" s="240"/>
      <c r="B6" s="2" t="s">
        <v>241</v>
      </c>
      <c r="C6" s="2" t="s">
        <v>242</v>
      </c>
      <c r="D6" s="2" t="s">
        <v>243</v>
      </c>
      <c r="E6" s="2" t="s">
        <v>206</v>
      </c>
      <c r="F6" s="2" t="s">
        <v>204</v>
      </c>
      <c r="G6" s="2" t="s">
        <v>243</v>
      </c>
      <c r="H6" s="29" t="s">
        <v>75</v>
      </c>
      <c r="I6" s="2" t="s">
        <v>242</v>
      </c>
      <c r="J6" s="2" t="s">
        <v>204</v>
      </c>
      <c r="L6" t="s">
        <v>208</v>
      </c>
    </row>
    <row r="7" spans="1:13">
      <c r="A7" s="240"/>
      <c r="B7" s="2">
        <v>1968</v>
      </c>
      <c r="C7" s="2">
        <v>0</v>
      </c>
      <c r="D7" s="2">
        <v>0</v>
      </c>
      <c r="E7" s="2">
        <v>0</v>
      </c>
      <c r="G7" s="2">
        <v>0</v>
      </c>
      <c r="H7" s="2">
        <v>0</v>
      </c>
      <c r="I7" s="2">
        <v>0</v>
      </c>
      <c r="J7" s="2">
        <f>G7</f>
        <v>0</v>
      </c>
      <c r="L7" t="s">
        <v>209</v>
      </c>
    </row>
    <row r="8" spans="1:13">
      <c r="A8" s="240"/>
      <c r="B8" s="2">
        <v>1969</v>
      </c>
      <c r="C8" s="2">
        <v>1</v>
      </c>
      <c r="D8" s="2">
        <v>4.5</v>
      </c>
      <c r="E8" s="85">
        <f>E7+$E$3*(C8-C7)</f>
        <v>3.0605555555555557</v>
      </c>
      <c r="G8" s="2">
        <f>G7+F9</f>
        <v>4.5</v>
      </c>
      <c r="H8" s="2">
        <v>2</v>
      </c>
      <c r="I8" s="2">
        <v>1</v>
      </c>
      <c r="J8" s="2">
        <f>J7+F$9</f>
        <v>4.5</v>
      </c>
      <c r="L8" s="33" t="s">
        <v>210</v>
      </c>
    </row>
    <row r="9" spans="1:13">
      <c r="A9" s="240"/>
      <c r="B9" s="2">
        <v>1970</v>
      </c>
      <c r="C9" s="2">
        <v>2</v>
      </c>
      <c r="D9" s="2">
        <v>9</v>
      </c>
      <c r="E9" s="85">
        <f>E8+$E$3*(C9-C8)</f>
        <v>6.1211111111111114</v>
      </c>
      <c r="F9" s="2">
        <f>(D9-D7)/(C9-C7)</f>
        <v>4.5</v>
      </c>
      <c r="G9" s="2">
        <f>G8+F9</f>
        <v>9</v>
      </c>
      <c r="H9" s="2">
        <v>5.5</v>
      </c>
      <c r="I9" s="2">
        <v>2</v>
      </c>
      <c r="J9" s="2">
        <f>J8+F$9</f>
        <v>9</v>
      </c>
    </row>
    <row r="10" spans="1:13">
      <c r="A10" s="240"/>
      <c r="B10" s="2">
        <v>1972</v>
      </c>
      <c r="C10" s="2">
        <v>4</v>
      </c>
      <c r="D10" s="2">
        <v>13.4</v>
      </c>
      <c r="E10" s="85">
        <f>E9+$E$3*(C10-C9)</f>
        <v>12.242222222222223</v>
      </c>
      <c r="F10" s="2">
        <f>(D10-D9)/(C10-C9)</f>
        <v>2.2000000000000002</v>
      </c>
      <c r="G10" s="2">
        <f>G9+F10*2</f>
        <v>13.4</v>
      </c>
      <c r="H10" s="2">
        <v>8.5</v>
      </c>
      <c r="I10" s="2">
        <v>3</v>
      </c>
      <c r="J10" s="2">
        <f>J9+F$10</f>
        <v>11.2</v>
      </c>
    </row>
    <row r="11" spans="1:13">
      <c r="A11" s="240"/>
      <c r="B11" s="2">
        <v>1974</v>
      </c>
      <c r="C11" s="2">
        <v>6</v>
      </c>
      <c r="D11" s="2">
        <v>15</v>
      </c>
      <c r="E11" s="85">
        <f>E10+$E$3*(C11-C10)</f>
        <v>18.363333333333333</v>
      </c>
      <c r="F11" s="2">
        <f>(D11-D10)/(C11-C10)</f>
        <v>0.79999999999999982</v>
      </c>
      <c r="G11" s="2">
        <f>G10+F11*2</f>
        <v>15</v>
      </c>
      <c r="H11" s="2">
        <v>9.1999999999999993</v>
      </c>
      <c r="I11" s="2">
        <v>4</v>
      </c>
      <c r="J11" s="2">
        <f>J10+F$10</f>
        <v>13.399999999999999</v>
      </c>
    </row>
    <row r="12" spans="1:13">
      <c r="A12" s="240"/>
      <c r="B12" s="2"/>
      <c r="C12" s="2">
        <v>8</v>
      </c>
      <c r="D12" s="2"/>
      <c r="F12" s="2">
        <v>0.4</v>
      </c>
      <c r="G12" s="2">
        <f>G11+$F$12*2</f>
        <v>15.8</v>
      </c>
      <c r="H12" s="33"/>
      <c r="I12" s="2">
        <v>5</v>
      </c>
      <c r="J12" s="2">
        <f>J11+F$11</f>
        <v>14.2</v>
      </c>
    </row>
    <row r="13" spans="1:13">
      <c r="A13" s="240"/>
      <c r="B13" s="2"/>
      <c r="C13" s="2">
        <v>10</v>
      </c>
      <c r="D13" s="2"/>
      <c r="F13" s="2">
        <v>0.2</v>
      </c>
      <c r="G13" s="2">
        <f>G12+$F$13*2</f>
        <v>16.2</v>
      </c>
      <c r="H13" s="33"/>
      <c r="I13" s="2">
        <v>6</v>
      </c>
      <c r="J13" s="2">
        <f>J12+F$11</f>
        <v>15</v>
      </c>
      <c r="L13" s="33"/>
      <c r="M13" s="13" t="s">
        <v>85</v>
      </c>
    </row>
    <row r="14" spans="1:13">
      <c r="A14" s="240"/>
      <c r="C14" s="2">
        <v>12</v>
      </c>
      <c r="F14" s="2">
        <v>0.1</v>
      </c>
      <c r="G14" s="2">
        <f>G13+$F$14*2</f>
        <v>16.399999999999999</v>
      </c>
      <c r="H14" s="33"/>
      <c r="I14" s="2">
        <v>7</v>
      </c>
      <c r="J14" s="2">
        <f>J13+F$12</f>
        <v>15.4</v>
      </c>
      <c r="L14" s="2" t="s">
        <v>438</v>
      </c>
      <c r="M14" s="2" t="s">
        <v>439</v>
      </c>
    </row>
    <row r="15" spans="1:13">
      <c r="A15" s="240"/>
      <c r="C15" s="2">
        <v>14</v>
      </c>
      <c r="F15" s="2">
        <v>0.05</v>
      </c>
      <c r="G15" s="2">
        <f>G14+$F$15*2</f>
        <v>16.5</v>
      </c>
      <c r="H15" s="33"/>
      <c r="I15" s="2">
        <v>8</v>
      </c>
      <c r="J15" s="2">
        <f>J14+F$12</f>
        <v>15.8</v>
      </c>
      <c r="L15" s="29" t="s">
        <v>487</v>
      </c>
      <c r="M15" s="29" t="s">
        <v>488</v>
      </c>
    </row>
    <row r="16" spans="1:13">
      <c r="A16" s="240"/>
      <c r="C16" s="2">
        <v>16</v>
      </c>
      <c r="G16" s="2">
        <f>G15+$F$15*2</f>
        <v>16.600000000000001</v>
      </c>
      <c r="H16" s="33"/>
      <c r="I16" s="2">
        <v>9</v>
      </c>
      <c r="J16" s="2">
        <f>J15+F$13</f>
        <v>16</v>
      </c>
      <c r="L16" s="2">
        <v>0</v>
      </c>
      <c r="M16" s="2">
        <v>0</v>
      </c>
    </row>
    <row r="17" spans="1:14">
      <c r="A17" s="240"/>
      <c r="C17" s="2">
        <v>18</v>
      </c>
      <c r="G17" s="2">
        <f t="shared" ref="G17:G23" si="0">G16+$F$15*2</f>
        <v>16.700000000000003</v>
      </c>
      <c r="I17" s="2">
        <v>10</v>
      </c>
      <c r="J17" s="2">
        <f>J16+F$13</f>
        <v>16.2</v>
      </c>
      <c r="L17" s="2">
        <v>1</v>
      </c>
      <c r="M17" s="2">
        <v>2</v>
      </c>
    </row>
    <row r="18" spans="1:14">
      <c r="A18" s="240"/>
      <c r="C18" s="2">
        <v>20</v>
      </c>
      <c r="G18" s="2">
        <f t="shared" si="0"/>
        <v>16.800000000000004</v>
      </c>
      <c r="I18" s="2">
        <v>11</v>
      </c>
      <c r="J18" s="2">
        <f>J17+F$14</f>
        <v>16.3</v>
      </c>
      <c r="L18" s="2">
        <v>1.5</v>
      </c>
      <c r="M18" s="2">
        <v>3.8</v>
      </c>
    </row>
    <row r="19" spans="1:14">
      <c r="A19" s="240"/>
      <c r="C19" s="2">
        <f>C18+2</f>
        <v>22</v>
      </c>
      <c r="G19" s="2">
        <f t="shared" si="0"/>
        <v>16.900000000000006</v>
      </c>
      <c r="I19" s="2">
        <v>12</v>
      </c>
      <c r="J19" s="2">
        <f>J18+F$15</f>
        <v>16.350000000000001</v>
      </c>
      <c r="L19" s="2">
        <f>L17+1</f>
        <v>2</v>
      </c>
      <c r="M19" s="2">
        <v>5.5</v>
      </c>
    </row>
    <row r="20" spans="1:14">
      <c r="A20" s="240"/>
      <c r="C20" s="2">
        <f>C19+2</f>
        <v>24</v>
      </c>
      <c r="G20" s="2">
        <f t="shared" si="0"/>
        <v>17.000000000000007</v>
      </c>
      <c r="I20" s="2">
        <f>I19+1</f>
        <v>13</v>
      </c>
      <c r="J20" s="2">
        <f>J19+F$14</f>
        <v>16.450000000000003</v>
      </c>
      <c r="L20" s="2">
        <f>L19+1</f>
        <v>3</v>
      </c>
      <c r="M20" s="2">
        <v>7.5</v>
      </c>
    </row>
    <row r="21" spans="1:14">
      <c r="A21" s="240"/>
      <c r="C21" s="2">
        <f>C20+2</f>
        <v>26</v>
      </c>
      <c r="G21" s="2">
        <f t="shared" si="0"/>
        <v>17.100000000000009</v>
      </c>
      <c r="I21" s="2">
        <f t="shared" ref="I21:I37" si="1">I20+1</f>
        <v>14</v>
      </c>
      <c r="J21" s="2">
        <f>J20+F$15</f>
        <v>16.500000000000004</v>
      </c>
      <c r="L21" s="2">
        <f>L20+1</f>
        <v>4</v>
      </c>
      <c r="M21" s="2">
        <v>8.5</v>
      </c>
    </row>
    <row r="22" spans="1:14">
      <c r="A22" s="240"/>
      <c r="C22" s="2">
        <f>C21+2</f>
        <v>28</v>
      </c>
      <c r="G22" s="2">
        <f t="shared" si="0"/>
        <v>17.20000000000001</v>
      </c>
      <c r="I22" s="2">
        <f t="shared" si="1"/>
        <v>15</v>
      </c>
      <c r="J22" s="2">
        <f t="shared" ref="J22:J37" si="2">J21+F$15</f>
        <v>16.550000000000004</v>
      </c>
      <c r="L22" s="2">
        <f>L21+1</f>
        <v>5</v>
      </c>
      <c r="M22" s="2">
        <v>9</v>
      </c>
    </row>
    <row r="23" spans="1:14">
      <c r="A23" s="240"/>
      <c r="C23" s="2">
        <f>C22+2</f>
        <v>30</v>
      </c>
      <c r="G23" s="2">
        <f t="shared" si="0"/>
        <v>17.300000000000011</v>
      </c>
      <c r="I23" s="2">
        <f t="shared" si="1"/>
        <v>16</v>
      </c>
      <c r="J23" s="2">
        <f t="shared" si="2"/>
        <v>16.600000000000005</v>
      </c>
    </row>
    <row r="24" spans="1:14">
      <c r="A24" s="240"/>
      <c r="I24" s="2">
        <f t="shared" si="1"/>
        <v>17</v>
      </c>
      <c r="J24" s="2">
        <f t="shared" si="2"/>
        <v>16.650000000000006</v>
      </c>
    </row>
    <row r="25" spans="1:14">
      <c r="A25" s="240"/>
      <c r="I25" s="2">
        <f t="shared" si="1"/>
        <v>18</v>
      </c>
      <c r="J25" s="2">
        <f t="shared" si="2"/>
        <v>16.700000000000006</v>
      </c>
    </row>
    <row r="26" spans="1:14">
      <c r="A26" s="240"/>
      <c r="I26" s="2">
        <f t="shared" si="1"/>
        <v>19</v>
      </c>
      <c r="J26" s="2">
        <f t="shared" si="2"/>
        <v>16.750000000000007</v>
      </c>
    </row>
    <row r="27" spans="1:14">
      <c r="A27" s="240"/>
      <c r="I27" s="2">
        <f t="shared" si="1"/>
        <v>20</v>
      </c>
      <c r="J27" s="2">
        <f t="shared" si="2"/>
        <v>16.800000000000008</v>
      </c>
      <c r="N27" s="33"/>
    </row>
    <row r="28" spans="1:14">
      <c r="A28" s="240"/>
      <c r="I28" s="2">
        <f t="shared" si="1"/>
        <v>21</v>
      </c>
      <c r="J28" s="2">
        <f t="shared" si="2"/>
        <v>16.850000000000009</v>
      </c>
      <c r="N28" s="2"/>
    </row>
    <row r="29" spans="1:14">
      <c r="A29" s="240"/>
      <c r="I29" s="2">
        <f t="shared" si="1"/>
        <v>22</v>
      </c>
      <c r="J29" s="2">
        <f t="shared" si="2"/>
        <v>16.900000000000009</v>
      </c>
      <c r="N29" s="2"/>
    </row>
    <row r="30" spans="1:14">
      <c r="A30" s="240"/>
      <c r="I30" s="2">
        <f t="shared" si="1"/>
        <v>23</v>
      </c>
      <c r="J30" s="2">
        <f t="shared" si="2"/>
        <v>16.95000000000001</v>
      </c>
      <c r="N30" s="2"/>
    </row>
    <row r="31" spans="1:14">
      <c r="A31" s="240"/>
      <c r="I31" s="2">
        <f t="shared" si="1"/>
        <v>24</v>
      </c>
      <c r="J31" s="2">
        <f t="shared" si="2"/>
        <v>17.000000000000011</v>
      </c>
      <c r="N31" s="2"/>
    </row>
    <row r="32" spans="1:14">
      <c r="A32" s="240"/>
      <c r="I32" s="2">
        <f t="shared" si="1"/>
        <v>25</v>
      </c>
      <c r="J32" s="2">
        <f t="shared" si="2"/>
        <v>17.050000000000011</v>
      </c>
      <c r="N32" s="2"/>
    </row>
    <row r="33" spans="1:14">
      <c r="A33" s="240"/>
      <c r="I33" s="2">
        <f t="shared" si="1"/>
        <v>26</v>
      </c>
      <c r="J33" s="2">
        <f t="shared" si="2"/>
        <v>17.100000000000012</v>
      </c>
      <c r="N33" s="2"/>
    </row>
    <row r="34" spans="1:14">
      <c r="A34" s="240"/>
      <c r="I34" s="2">
        <f t="shared" si="1"/>
        <v>27</v>
      </c>
      <c r="J34" s="2">
        <f t="shared" si="2"/>
        <v>17.150000000000013</v>
      </c>
      <c r="N34" s="2"/>
    </row>
    <row r="35" spans="1:14">
      <c r="A35" s="240"/>
      <c r="I35" s="2">
        <f t="shared" si="1"/>
        <v>28</v>
      </c>
      <c r="J35" s="2">
        <f t="shared" si="2"/>
        <v>17.200000000000014</v>
      </c>
      <c r="N35" s="2"/>
    </row>
    <row r="36" spans="1:14">
      <c r="A36" s="240"/>
      <c r="I36" s="2">
        <f t="shared" si="1"/>
        <v>29</v>
      </c>
      <c r="J36" s="2">
        <f t="shared" si="2"/>
        <v>17.250000000000014</v>
      </c>
      <c r="N36" s="2"/>
    </row>
    <row r="37" spans="1:14" s="33" customFormat="1">
      <c r="A37" s="240"/>
      <c r="I37" s="2">
        <f t="shared" si="1"/>
        <v>30</v>
      </c>
      <c r="J37" s="2">
        <f t="shared" si="2"/>
        <v>17.300000000000015</v>
      </c>
    </row>
    <row r="38" spans="1:14" s="33" customFormat="1">
      <c r="A38" s="240"/>
    </row>
    <row r="39" spans="1:14" s="33" customFormat="1">
      <c r="A39" s="240"/>
    </row>
    <row r="40" spans="1:14" s="33" customFormat="1">
      <c r="A40" s="240"/>
    </row>
    <row r="41" spans="1:14" s="33" customFormat="1">
      <c r="A41" s="240"/>
    </row>
    <row r="42" spans="1:14" s="33" customFormat="1">
      <c r="A42" s="240"/>
    </row>
    <row r="43" spans="1:14" s="33" customFormat="1">
      <c r="A43" s="240"/>
    </row>
    <row r="44" spans="1:14" s="33" customFormat="1">
      <c r="A44" s="240"/>
    </row>
    <row r="45" spans="1:14" s="33" customFormat="1">
      <c r="A45" s="240"/>
    </row>
    <row r="46" spans="1:14" s="33" customFormat="1">
      <c r="A46" s="229"/>
    </row>
    <row r="47" spans="1:14" s="33" customFormat="1">
      <c r="A47" s="229"/>
    </row>
    <row r="48" spans="1:14" s="33" customFormat="1">
      <c r="A48" s="229"/>
      <c r="B48" s="58" t="s">
        <v>602</v>
      </c>
    </row>
    <row r="49" spans="1:9" s="33" customFormat="1">
      <c r="A49" s="229"/>
    </row>
    <row r="50" spans="1:9">
      <c r="B50" t="s">
        <v>143</v>
      </c>
      <c r="G50" s="33" t="s">
        <v>145</v>
      </c>
      <c r="H50">
        <v>0.87070000000000003</v>
      </c>
      <c r="I50" s="33" t="s">
        <v>146</v>
      </c>
    </row>
    <row r="51" spans="1:9">
      <c r="B51" t="s">
        <v>177</v>
      </c>
      <c r="C51" t="s">
        <v>178</v>
      </c>
      <c r="D51" t="s">
        <v>179</v>
      </c>
      <c r="E51" s="33" t="s">
        <v>144</v>
      </c>
      <c r="F51" t="s">
        <v>181</v>
      </c>
      <c r="G51" t="s">
        <v>182</v>
      </c>
      <c r="H51" t="s">
        <v>183</v>
      </c>
    </row>
    <row r="52" spans="1:9">
      <c r="B52">
        <v>0.9</v>
      </c>
      <c r="D52">
        <v>1.01</v>
      </c>
      <c r="E52">
        <v>0.95499999999999996</v>
      </c>
      <c r="F52">
        <v>12</v>
      </c>
      <c r="G52" t="s">
        <v>135</v>
      </c>
    </row>
    <row r="53" spans="1:9">
      <c r="B53">
        <v>0.68</v>
      </c>
      <c r="C53">
        <v>0.89</v>
      </c>
      <c r="D53">
        <v>1.02</v>
      </c>
      <c r="E53">
        <v>0.89</v>
      </c>
      <c r="F53">
        <v>15</v>
      </c>
      <c r="G53" t="s">
        <v>136</v>
      </c>
    </row>
    <row r="54" spans="1:9">
      <c r="C54">
        <v>0.87</v>
      </c>
      <c r="E54">
        <v>0.87</v>
      </c>
      <c r="G54" t="s">
        <v>137</v>
      </c>
      <c r="H54" t="s">
        <v>138</v>
      </c>
    </row>
    <row r="55" spans="1:9">
      <c r="C55">
        <v>0.83</v>
      </c>
      <c r="E55">
        <v>0.83</v>
      </c>
      <c r="G55" t="s">
        <v>139</v>
      </c>
      <c r="H55" t="s">
        <v>138</v>
      </c>
    </row>
    <row r="56" spans="1:9">
      <c r="C56">
        <v>0.87</v>
      </c>
      <c r="E56">
        <v>0.87</v>
      </c>
      <c r="G56" t="s">
        <v>139</v>
      </c>
      <c r="H56" t="s">
        <v>138</v>
      </c>
    </row>
    <row r="57" spans="1:9">
      <c r="C57">
        <v>0.89500000000000002</v>
      </c>
      <c r="E57">
        <v>0.89500000000000002</v>
      </c>
      <c r="G57" t="s">
        <v>139</v>
      </c>
      <c r="H57" t="s">
        <v>138</v>
      </c>
    </row>
    <row r="58" spans="1:9">
      <c r="C58">
        <v>0.91600000000000004</v>
      </c>
      <c r="E58">
        <v>0.91600000000000004</v>
      </c>
      <c r="G58" t="s">
        <v>139</v>
      </c>
      <c r="H58" t="s">
        <v>138</v>
      </c>
    </row>
    <row r="59" spans="1:9">
      <c r="C59">
        <v>0.72</v>
      </c>
      <c r="E59">
        <v>0.72</v>
      </c>
      <c r="G59" t="s">
        <v>136</v>
      </c>
      <c r="H59" t="s">
        <v>140</v>
      </c>
    </row>
    <row r="60" spans="1:9">
      <c r="C60">
        <v>0.89</v>
      </c>
      <c r="E60">
        <v>0.89</v>
      </c>
      <c r="G60" t="s">
        <v>141</v>
      </c>
      <c r="H60" t="s">
        <v>142</v>
      </c>
    </row>
  </sheetData>
  <phoneticPr fontId="6" type="noConversion"/>
  <pageMargins left="0.75" right="0.75" top="1" bottom="1" header="0.5" footer="0.5"/>
  <pageSetup paperSize="0" orientation="portrait" horizontalDpi="4294967292" verticalDpi="4294967292"/>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AL139"/>
  <sheetViews>
    <sheetView zoomScale="125" workbookViewId="0">
      <selection activeCell="B1" sqref="B1"/>
    </sheetView>
  </sheetViews>
  <sheetFormatPr baseColWidth="10" defaultColWidth="11.1640625" defaultRowHeight="13"/>
  <cols>
    <col min="1" max="1" width="3.1640625" style="229" customWidth="1"/>
    <col min="2" max="2" width="15.5" customWidth="1"/>
    <col min="5" max="5" width="10.83203125" style="33"/>
    <col min="6" max="6" width="13.5" customWidth="1"/>
    <col min="10" max="10" width="10.83203125" style="229"/>
    <col min="11" max="11" width="35" style="229" customWidth="1"/>
    <col min="12" max="12" width="3" style="229" customWidth="1"/>
    <col min="13" max="13" width="10.83203125" style="229"/>
    <col min="17" max="17" width="15.83203125" customWidth="1"/>
    <col min="18" max="18" width="14.83203125" customWidth="1"/>
  </cols>
  <sheetData>
    <row r="1" spans="1:38">
      <c r="A1" s="240"/>
      <c r="B1" s="58" t="s">
        <v>601</v>
      </c>
      <c r="L1" s="240"/>
      <c r="M1" s="58" t="s">
        <v>600</v>
      </c>
    </row>
    <row r="2" spans="1:38">
      <c r="A2" s="240"/>
      <c r="L2" s="240"/>
    </row>
    <row r="3" spans="1:38">
      <c r="A3" s="240"/>
      <c r="B3" s="33" t="s">
        <v>388</v>
      </c>
      <c r="C3" s="33"/>
      <c r="L3" s="240"/>
    </row>
    <row r="4" spans="1:38">
      <c r="A4" s="240"/>
      <c r="B4" s="33" t="s">
        <v>290</v>
      </c>
      <c r="C4" s="2" t="s">
        <v>420</v>
      </c>
      <c r="D4" s="2" t="s">
        <v>421</v>
      </c>
      <c r="E4" s="2" t="s">
        <v>279</v>
      </c>
      <c r="F4" s="33" t="s">
        <v>291</v>
      </c>
      <c r="L4" s="240"/>
      <c r="N4" s="33"/>
      <c r="O4" s="33"/>
      <c r="P4" s="33"/>
      <c r="Q4" s="33" t="s">
        <v>91</v>
      </c>
      <c r="R4" s="33" t="s">
        <v>90</v>
      </c>
      <c r="S4" s="33"/>
      <c r="T4" s="33"/>
      <c r="U4" s="33"/>
      <c r="V4" s="33"/>
      <c r="W4" s="33"/>
      <c r="X4" s="33"/>
      <c r="Y4" s="33"/>
      <c r="Z4" s="33"/>
      <c r="AA4" s="33"/>
      <c r="AB4" s="33"/>
      <c r="AC4" s="33"/>
      <c r="AD4" s="33"/>
      <c r="AE4" s="33"/>
      <c r="AF4" s="33"/>
      <c r="AG4" s="33"/>
      <c r="AH4" s="33"/>
      <c r="AI4" s="33"/>
      <c r="AJ4" s="33"/>
      <c r="AK4" s="33"/>
      <c r="AL4" s="33"/>
    </row>
    <row r="5" spans="1:38">
      <c r="A5" s="240"/>
      <c r="C5" s="2" t="s">
        <v>422</v>
      </c>
      <c r="D5" s="2" t="s">
        <v>423</v>
      </c>
      <c r="E5" s="2" t="s">
        <v>258</v>
      </c>
      <c r="L5" s="240"/>
      <c r="Q5" s="13" t="s">
        <v>86</v>
      </c>
      <c r="R5" s="33" t="s">
        <v>89</v>
      </c>
      <c r="T5" s="33" t="s">
        <v>89</v>
      </c>
      <c r="Y5" s="33" t="s">
        <v>69</v>
      </c>
    </row>
    <row r="6" spans="1:38" ht="15">
      <c r="A6" s="240"/>
      <c r="B6" s="33" t="s">
        <v>295</v>
      </c>
      <c r="C6" s="3" t="s">
        <v>293</v>
      </c>
      <c r="D6" s="2" t="s">
        <v>294</v>
      </c>
      <c r="E6" s="2" t="s">
        <v>264</v>
      </c>
      <c r="F6" s="257" t="s">
        <v>605</v>
      </c>
      <c r="L6" s="240"/>
      <c r="Q6" s="99" t="s">
        <v>87</v>
      </c>
      <c r="R6" s="33" t="s">
        <v>88</v>
      </c>
      <c r="S6" s="33"/>
      <c r="T6" s="33" t="s">
        <v>94</v>
      </c>
      <c r="X6" s="2" t="s">
        <v>39</v>
      </c>
      <c r="Y6" s="33" t="s">
        <v>68</v>
      </c>
      <c r="AA6" s="2" t="s">
        <v>39</v>
      </c>
      <c r="AC6" s="79" t="s">
        <v>292</v>
      </c>
    </row>
    <row r="7" spans="1:38" ht="16">
      <c r="A7" s="240"/>
      <c r="B7" s="33" t="s">
        <v>253</v>
      </c>
      <c r="C7" s="45">
        <f>22.8/7.75</f>
        <v>2.9419354838709677</v>
      </c>
      <c r="D7" s="45">
        <f>27/7.75</f>
        <v>3.4838709677419355</v>
      </c>
      <c r="E7" s="45" t="s">
        <v>259</v>
      </c>
      <c r="F7" s="257" t="s">
        <v>605</v>
      </c>
      <c r="L7" s="240"/>
      <c r="N7" s="2" t="s">
        <v>438</v>
      </c>
      <c r="O7" s="2" t="s">
        <v>439</v>
      </c>
      <c r="P7" s="2" t="s">
        <v>223</v>
      </c>
      <c r="Q7" s="2" t="s">
        <v>379</v>
      </c>
      <c r="R7" s="2" t="s">
        <v>379</v>
      </c>
      <c r="S7" s="2"/>
      <c r="T7" s="2" t="s">
        <v>92</v>
      </c>
      <c r="U7" s="2" t="s">
        <v>95</v>
      </c>
      <c r="V7" s="2" t="s">
        <v>96</v>
      </c>
      <c r="X7" s="17" t="s">
        <v>40</v>
      </c>
      <c r="Y7" s="2" t="s">
        <v>66</v>
      </c>
      <c r="AA7" s="2" t="s">
        <v>70</v>
      </c>
      <c r="AC7" s="110" t="s">
        <v>63</v>
      </c>
    </row>
    <row r="8" spans="1:38" ht="15">
      <c r="A8" s="240"/>
      <c r="B8" s="33" t="s">
        <v>254</v>
      </c>
      <c r="C8" s="2">
        <v>1.9</v>
      </c>
      <c r="D8" s="2">
        <v>2</v>
      </c>
      <c r="E8" s="2" t="s">
        <v>262</v>
      </c>
      <c r="F8" s="258" t="s">
        <v>606</v>
      </c>
      <c r="L8" s="240"/>
      <c r="N8" s="29" t="s">
        <v>487</v>
      </c>
      <c r="O8" s="29" t="s">
        <v>488</v>
      </c>
      <c r="P8" s="2" t="s">
        <v>224</v>
      </c>
      <c r="Q8" s="29" t="s">
        <v>333</v>
      </c>
      <c r="R8" s="29" t="s">
        <v>333</v>
      </c>
      <c r="S8" s="29"/>
      <c r="T8" s="29" t="s">
        <v>333</v>
      </c>
      <c r="U8" s="103" t="s">
        <v>93</v>
      </c>
      <c r="X8" s="33" t="s">
        <v>67</v>
      </c>
      <c r="Y8" s="33" t="s">
        <v>67</v>
      </c>
      <c r="AA8" s="33" t="s">
        <v>38</v>
      </c>
    </row>
    <row r="9" spans="1:38">
      <c r="A9" s="240"/>
      <c r="C9" s="2">
        <f>9.6/5</f>
        <v>1.92</v>
      </c>
      <c r="D9" s="2">
        <f>13.6/5</f>
        <v>2.7199999999999998</v>
      </c>
      <c r="E9" s="2" t="s">
        <v>261</v>
      </c>
      <c r="F9" s="257"/>
      <c r="L9" s="240"/>
      <c r="N9" s="2">
        <v>0</v>
      </c>
      <c r="O9" s="2">
        <v>0</v>
      </c>
      <c r="P9" s="2">
        <v>0</v>
      </c>
      <c r="Q9" s="95">
        <f>(0.4803*(P9^1.7773))/1000</f>
        <v>0</v>
      </c>
      <c r="R9" s="101">
        <f>(0.119931*(O9^2.361))/1000</f>
        <v>0</v>
      </c>
      <c r="S9" s="102"/>
      <c r="T9" s="101">
        <f>(0.07536*(O9^2.495))/1000</f>
        <v>0</v>
      </c>
      <c r="U9" s="2">
        <v>0</v>
      </c>
      <c r="X9" s="2">
        <f>0.000026*(O9^2.229)*(P9^0.8333)</f>
        <v>0</v>
      </c>
      <c r="Y9" s="2">
        <f>0.3256*(O9*O9*P9)^0.9106</f>
        <v>0</v>
      </c>
      <c r="AA9" s="2">
        <f>0.000026*(R9^2.229)*(S9^0.8333)</f>
        <v>0</v>
      </c>
      <c r="AC9" t="s">
        <v>102</v>
      </c>
    </row>
    <row r="10" spans="1:38">
      <c r="A10" s="240"/>
      <c r="B10" s="33" t="s">
        <v>255</v>
      </c>
      <c r="C10" s="2" t="s">
        <v>248</v>
      </c>
      <c r="D10" s="2" t="s">
        <v>249</v>
      </c>
      <c r="E10" s="2" t="s">
        <v>263</v>
      </c>
      <c r="F10" s="258" t="s">
        <v>606</v>
      </c>
      <c r="L10" s="240"/>
      <c r="N10" s="2">
        <v>1</v>
      </c>
      <c r="O10" s="2">
        <f>$G$33*N10</f>
        <v>2.75</v>
      </c>
      <c r="P10" s="2">
        <f>$H$33*N10</f>
        <v>4.1500000000000004</v>
      </c>
      <c r="Q10" s="95">
        <f t="shared" ref="Q10:Q40" si="0">(0.4803*(P10^1.7773))/1000</f>
        <v>6.0251722738497654E-3</v>
      </c>
      <c r="R10" s="101">
        <f t="shared" ref="R10:R40" si="1">(0.119931*(O10^2.361))/1000</f>
        <v>1.3067603394206462E-3</v>
      </c>
      <c r="S10" s="2"/>
      <c r="T10" s="101">
        <f t="shared" ref="T10:T40" si="2">(0.07536*(O10^2.495))/1000</f>
        <v>9.4032062253113951E-4</v>
      </c>
      <c r="U10" s="104">
        <f t="shared" ref="U10:U40" si="3">T10/R10</f>
        <v>0.71958154388740614</v>
      </c>
      <c r="V10">
        <f>1/U10</f>
        <v>1.3896965653088946</v>
      </c>
      <c r="X10" s="2">
        <f t="shared" ref="X10:X40" si="4">0.000026*(O10^2.229)*(P10^0.8333)</f>
        <v>8.114567953665929E-4</v>
      </c>
      <c r="Y10" s="2">
        <f t="shared" ref="Y10:Y40" si="5">0.3256*(O10*O10*P10)^0.9106</f>
        <v>7.5091658271228656</v>
      </c>
      <c r="AA10">
        <f>X10*0.5053</f>
        <v>4.1002911869873938E-4</v>
      </c>
    </row>
    <row r="11" spans="1:38">
      <c r="A11" s="240"/>
      <c r="B11" s="33" t="s">
        <v>250</v>
      </c>
      <c r="C11" s="2">
        <v>2</v>
      </c>
      <c r="D11" s="2">
        <v>2.9</v>
      </c>
      <c r="E11" s="2"/>
      <c r="L11" s="240"/>
      <c r="N11" s="2">
        <v>1.5</v>
      </c>
      <c r="O11" s="2">
        <f>$G$33*N11</f>
        <v>4.125</v>
      </c>
      <c r="P11" s="2">
        <f>$H$33*N11</f>
        <v>6.2250000000000005</v>
      </c>
      <c r="Q11" s="95">
        <f t="shared" si="0"/>
        <v>1.2386153664924224E-2</v>
      </c>
      <c r="R11" s="101">
        <f t="shared" si="1"/>
        <v>3.4036696933274994E-3</v>
      </c>
      <c r="S11" s="2"/>
      <c r="T11" s="101">
        <f t="shared" si="2"/>
        <v>2.5859710118885729E-3</v>
      </c>
      <c r="U11" s="104">
        <f t="shared" si="3"/>
        <v>0.75975968436598584</v>
      </c>
      <c r="V11" s="33">
        <f t="shared" ref="V11:V40" si="6">1/U11</f>
        <v>1.3162056642087991</v>
      </c>
      <c r="W11" s="33"/>
      <c r="X11" s="2">
        <f t="shared" si="4"/>
        <v>2.8087278731402164E-3</v>
      </c>
      <c r="Y11" s="2">
        <f t="shared" si="5"/>
        <v>22.732007809612252</v>
      </c>
      <c r="Z11" s="33"/>
      <c r="AA11" s="33">
        <f t="shared" ref="AA11:AA40" si="7">X11*0.5053</f>
        <v>1.4192501942977512E-3</v>
      </c>
      <c r="AB11" s="33"/>
      <c r="AC11" s="849" t="s">
        <v>103</v>
      </c>
      <c r="AD11" s="849"/>
      <c r="AE11" s="849"/>
      <c r="AF11" s="849"/>
      <c r="AG11" s="849"/>
      <c r="AH11" s="849"/>
      <c r="AI11" s="33"/>
      <c r="AJ11" s="33"/>
      <c r="AK11" s="33"/>
      <c r="AL11" s="33"/>
    </row>
    <row r="12" spans="1:38">
      <c r="A12" s="240"/>
      <c r="L12" s="240"/>
      <c r="N12" s="2">
        <f>N10+1</f>
        <v>2</v>
      </c>
      <c r="O12" s="2">
        <f>$G$33*N12</f>
        <v>5.5</v>
      </c>
      <c r="P12" s="2">
        <f>$H$33*N12</f>
        <v>8.3000000000000007</v>
      </c>
      <c r="Q12" s="95">
        <f t="shared" si="0"/>
        <v>2.0653329807121049E-2</v>
      </c>
      <c r="R12" s="100">
        <f t="shared" si="1"/>
        <v>6.7131718499132964E-3</v>
      </c>
      <c r="T12" s="101">
        <f t="shared" si="2"/>
        <v>5.3008534792847979E-3</v>
      </c>
      <c r="U12" s="104">
        <f t="shared" si="3"/>
        <v>0.78961980980023039</v>
      </c>
      <c r="V12" s="33">
        <f t="shared" si="6"/>
        <v>1.2664322596630329</v>
      </c>
      <c r="X12" s="2">
        <f t="shared" si="4"/>
        <v>6.7781247430457577E-3</v>
      </c>
      <c r="Y12" s="2">
        <f t="shared" si="5"/>
        <v>49.882181384805534</v>
      </c>
      <c r="AA12" s="33">
        <f t="shared" si="7"/>
        <v>3.4249864326610212E-3</v>
      </c>
      <c r="AC12" s="849"/>
      <c r="AD12" s="849"/>
      <c r="AE12" s="849"/>
      <c r="AF12" s="849"/>
      <c r="AG12" s="849"/>
      <c r="AH12" s="849"/>
    </row>
    <row r="13" spans="1:38">
      <c r="A13" s="240"/>
      <c r="B13" s="33" t="s">
        <v>252</v>
      </c>
      <c r="C13" s="82">
        <f>AVERAGE(35,36,41)/15</f>
        <v>2.4888888888888889</v>
      </c>
      <c r="D13" s="82">
        <f>AVERAGE(22,25,33)/15</f>
        <v>1.7777777777777779</v>
      </c>
      <c r="E13" s="82" t="s">
        <v>260</v>
      </c>
      <c r="F13" s="257" t="s">
        <v>251</v>
      </c>
      <c r="L13" s="240"/>
      <c r="N13" s="2">
        <f t="shared" ref="N13:N40" si="8">N12+1</f>
        <v>3</v>
      </c>
      <c r="O13" s="2">
        <f>$G$33*N13</f>
        <v>8.25</v>
      </c>
      <c r="P13" s="2">
        <f>$H$33*N13</f>
        <v>12.450000000000001</v>
      </c>
      <c r="Q13" s="95">
        <f t="shared" si="0"/>
        <v>4.2457759721434271E-2</v>
      </c>
      <c r="R13" s="100">
        <f t="shared" si="1"/>
        <v>1.7485547182874789E-2</v>
      </c>
      <c r="T13" s="101">
        <f t="shared" si="2"/>
        <v>1.4577850477000696E-2</v>
      </c>
      <c r="U13" s="104">
        <f t="shared" si="3"/>
        <v>0.83370856653992109</v>
      </c>
      <c r="V13" s="33">
        <f t="shared" si="6"/>
        <v>1.1994599073753385</v>
      </c>
      <c r="X13" s="2">
        <f t="shared" si="4"/>
        <v>2.3461394373822688E-2</v>
      </c>
      <c r="Y13" s="2">
        <f t="shared" si="5"/>
        <v>151.00507338700717</v>
      </c>
      <c r="AA13" s="33">
        <f t="shared" si="7"/>
        <v>1.1855042577092604E-2</v>
      </c>
      <c r="AC13" s="849"/>
      <c r="AD13" s="849"/>
      <c r="AE13" s="849"/>
      <c r="AF13" s="849"/>
      <c r="AG13" s="849"/>
      <c r="AH13" s="849"/>
    </row>
    <row r="14" spans="1:38">
      <c r="A14" s="240"/>
      <c r="L14" s="240"/>
      <c r="N14" s="2">
        <f t="shared" si="8"/>
        <v>4</v>
      </c>
      <c r="O14" s="2">
        <f>O13+$G$35</f>
        <v>9</v>
      </c>
      <c r="P14" s="2">
        <f>P13+$H$35</f>
        <v>13.950000000000001</v>
      </c>
      <c r="Q14" s="95">
        <f t="shared" si="0"/>
        <v>5.1971389213664503E-2</v>
      </c>
      <c r="R14" s="100">
        <f t="shared" si="1"/>
        <v>2.14732618332624E-2</v>
      </c>
      <c r="T14" s="101">
        <f t="shared" si="2"/>
        <v>1.8112397919922803E-2</v>
      </c>
      <c r="U14" s="104">
        <f t="shared" si="3"/>
        <v>0.84348610195151774</v>
      </c>
      <c r="V14" s="33">
        <f t="shared" si="6"/>
        <v>1.1855559892289469</v>
      </c>
      <c r="X14" s="2">
        <f t="shared" si="4"/>
        <v>3.1315084556363774E-2</v>
      </c>
      <c r="Y14" s="2">
        <f t="shared" si="5"/>
        <v>196.24569019258126</v>
      </c>
      <c r="AA14" s="33">
        <f t="shared" si="7"/>
        <v>1.5823512226330615E-2</v>
      </c>
    </row>
    <row r="15" spans="1:38" ht="15">
      <c r="A15" s="240"/>
      <c r="B15" s="58" t="s">
        <v>265</v>
      </c>
      <c r="C15" s="59">
        <v>2.5</v>
      </c>
      <c r="D15" s="59">
        <f>AVERAGE(1.8,3.5)</f>
        <v>2.65</v>
      </c>
      <c r="L15" s="240"/>
      <c r="N15" s="2">
        <f t="shared" si="8"/>
        <v>5</v>
      </c>
      <c r="O15" s="2">
        <f>O14+$G$35</f>
        <v>9.75</v>
      </c>
      <c r="P15" s="2">
        <f>P14+$H$35</f>
        <v>15.450000000000001</v>
      </c>
      <c r="Q15" s="95">
        <f t="shared" si="0"/>
        <v>6.2315370404773328E-2</v>
      </c>
      <c r="R15" s="100">
        <f t="shared" si="1"/>
        <v>2.594008247490194E-2</v>
      </c>
      <c r="T15" s="101">
        <f t="shared" si="2"/>
        <v>2.211604199632515E-2</v>
      </c>
      <c r="U15" s="104">
        <f t="shared" si="3"/>
        <v>0.85258179181671068</v>
      </c>
      <c r="V15" s="33">
        <f t="shared" si="6"/>
        <v>1.1729079949844643</v>
      </c>
      <c r="X15" s="2">
        <f t="shared" si="4"/>
        <v>4.0756674586684374E-2</v>
      </c>
      <c r="Y15" s="2">
        <f t="shared" si="5"/>
        <v>249.17122059142963</v>
      </c>
      <c r="AA15" s="33">
        <f t="shared" si="7"/>
        <v>2.0594347668651612E-2</v>
      </c>
      <c r="AC15" s="33" t="s">
        <v>104</v>
      </c>
      <c r="AD15" s="33" t="s">
        <v>106</v>
      </c>
    </row>
    <row r="16" spans="1:38" ht="15">
      <c r="A16" s="240"/>
      <c r="L16" s="240"/>
      <c r="N16" s="2">
        <f t="shared" si="8"/>
        <v>6</v>
      </c>
      <c r="O16" s="2">
        <f>O15+$G$36</f>
        <v>10.125</v>
      </c>
      <c r="P16" s="2">
        <f>P15+$H$36</f>
        <v>16.200000000000003</v>
      </c>
      <c r="Q16" s="95">
        <f t="shared" si="0"/>
        <v>6.7792807857308832E-2</v>
      </c>
      <c r="R16" s="100">
        <f t="shared" si="1"/>
        <v>2.8357577338054434E-2</v>
      </c>
      <c r="T16" s="101">
        <f t="shared" si="2"/>
        <v>2.4299732588622482E-2</v>
      </c>
      <c r="U16" s="104">
        <f t="shared" si="3"/>
        <v>0.85690439274632502</v>
      </c>
      <c r="V16" s="33">
        <f t="shared" si="6"/>
        <v>1.1669913335314603</v>
      </c>
      <c r="X16" s="2">
        <f t="shared" si="4"/>
        <v>4.6119834021622889E-2</v>
      </c>
      <c r="Y16" s="2">
        <f t="shared" si="5"/>
        <v>278.67255570629123</v>
      </c>
      <c r="AA16" s="33">
        <f t="shared" si="7"/>
        <v>2.3304352131126044E-2</v>
      </c>
      <c r="AC16" s="33" t="s">
        <v>105</v>
      </c>
      <c r="AD16" s="33" t="s">
        <v>83</v>
      </c>
    </row>
    <row r="17" spans="1:38" ht="14">
      <c r="A17" s="240"/>
      <c r="B17" s="78"/>
      <c r="F17" s="13"/>
      <c r="L17" s="240"/>
      <c r="N17" s="2">
        <f t="shared" si="8"/>
        <v>7</v>
      </c>
      <c r="O17" s="2">
        <f t="shared" ref="O17:O40" si="9">O16+$G$36</f>
        <v>10.5</v>
      </c>
      <c r="P17" s="2">
        <f t="shared" ref="P17:P40" si="10">P16+$H$36</f>
        <v>16.950000000000003</v>
      </c>
      <c r="Q17" s="95">
        <f t="shared" si="0"/>
        <v>7.3470991198995014E-2</v>
      </c>
      <c r="R17" s="100">
        <f t="shared" si="1"/>
        <v>3.0900064787581373E-2</v>
      </c>
      <c r="T17" s="101">
        <f t="shared" si="2"/>
        <v>2.660775242590557E-2</v>
      </c>
      <c r="U17" s="104">
        <f t="shared" si="3"/>
        <v>0.86109050608201743</v>
      </c>
      <c r="V17" s="33">
        <f t="shared" si="6"/>
        <v>1.1613181110891864</v>
      </c>
      <c r="X17" s="2">
        <f t="shared" si="4"/>
        <v>5.1936348068559332E-2</v>
      </c>
      <c r="Y17" s="2">
        <f t="shared" si="5"/>
        <v>310.28178329352693</v>
      </c>
      <c r="AA17" s="33">
        <f t="shared" si="7"/>
        <v>2.6243436679043029E-2</v>
      </c>
    </row>
    <row r="18" spans="1:38">
      <c r="A18" s="240"/>
      <c r="F18" s="850" t="s">
        <v>604</v>
      </c>
      <c r="G18" s="850"/>
      <c r="H18" s="850"/>
      <c r="I18" s="850"/>
      <c r="J18" s="850"/>
      <c r="K18" s="850"/>
      <c r="L18" s="240"/>
      <c r="N18" s="2">
        <f t="shared" si="8"/>
        <v>8</v>
      </c>
      <c r="O18" s="2">
        <f t="shared" si="9"/>
        <v>10.875</v>
      </c>
      <c r="P18" s="2">
        <f t="shared" si="10"/>
        <v>17.700000000000003</v>
      </c>
      <c r="Q18" s="95">
        <f t="shared" si="0"/>
        <v>7.9347906508109828E-2</v>
      </c>
      <c r="R18" s="100">
        <f t="shared" si="1"/>
        <v>3.3569196869830606E-2</v>
      </c>
      <c r="T18" s="101">
        <f t="shared" si="2"/>
        <v>2.9042360202301592E-2</v>
      </c>
      <c r="U18" s="104">
        <f t="shared" si="3"/>
        <v>0.86514909233359161</v>
      </c>
      <c r="V18" s="33">
        <f t="shared" si="6"/>
        <v>1.155870137137486</v>
      </c>
      <c r="X18" s="2">
        <f t="shared" si="4"/>
        <v>5.8225108153473898E-2</v>
      </c>
      <c r="Y18" s="2">
        <f t="shared" si="5"/>
        <v>344.0597196480241</v>
      </c>
      <c r="AA18" s="33">
        <f t="shared" si="7"/>
        <v>2.9421147149950359E-2</v>
      </c>
    </row>
    <row r="19" spans="1:38" ht="15">
      <c r="A19" s="240"/>
      <c r="B19" s="33" t="s">
        <v>266</v>
      </c>
      <c r="C19" s="84">
        <v>2.5</v>
      </c>
      <c r="D19" s="33" t="s">
        <v>464</v>
      </c>
      <c r="E19" s="33" t="s">
        <v>257</v>
      </c>
      <c r="F19" s="256"/>
      <c r="L19" s="240"/>
      <c r="N19" s="2">
        <f t="shared" si="8"/>
        <v>9</v>
      </c>
      <c r="O19" s="2">
        <f t="shared" si="9"/>
        <v>11.25</v>
      </c>
      <c r="P19" s="2">
        <f t="shared" si="10"/>
        <v>18.450000000000003</v>
      </c>
      <c r="Q19" s="95">
        <f t="shared" si="0"/>
        <v>8.5421646054223477E-2</v>
      </c>
      <c r="R19" s="100">
        <f t="shared" si="1"/>
        <v>3.6366588332833225E-2</v>
      </c>
      <c r="T19" s="101">
        <f t="shared" si="2"/>
        <v>3.1605774216451568E-2</v>
      </c>
      <c r="U19" s="104">
        <f t="shared" si="3"/>
        <v>0.86908823910536026</v>
      </c>
      <c r="V19" s="33">
        <f t="shared" si="6"/>
        <v>1.1506311499847246</v>
      </c>
      <c r="X19" s="2">
        <f t="shared" si="4"/>
        <v>6.500504990523201E-2</v>
      </c>
      <c r="Y19" s="2">
        <f t="shared" si="5"/>
        <v>380.06656438316855</v>
      </c>
      <c r="AA19" s="33">
        <f t="shared" si="7"/>
        <v>3.2847051717113732E-2</v>
      </c>
    </row>
    <row r="20" spans="1:38" ht="15">
      <c r="A20" s="240"/>
      <c r="B20" s="33" t="s">
        <v>267</v>
      </c>
      <c r="C20" s="84">
        <v>2.65</v>
      </c>
      <c r="D20" s="33" t="s">
        <v>464</v>
      </c>
      <c r="E20" s="33" t="s">
        <v>257</v>
      </c>
      <c r="F20" s="256"/>
      <c r="L20" s="240"/>
      <c r="N20" s="2">
        <f t="shared" si="8"/>
        <v>10</v>
      </c>
      <c r="O20" s="2">
        <f t="shared" si="9"/>
        <v>11.625</v>
      </c>
      <c r="P20" s="2">
        <f t="shared" si="10"/>
        <v>19.200000000000003</v>
      </c>
      <c r="Q20" s="95">
        <f t="shared" si="0"/>
        <v>9.1690398536355786E-2</v>
      </c>
      <c r="R20" s="100">
        <f t="shared" si="1"/>
        <v>3.9293818713179156E-2</v>
      </c>
      <c r="T20" s="101">
        <f t="shared" si="2"/>
        <v>3.4300174451624525E-2</v>
      </c>
      <c r="U20" s="104">
        <f t="shared" si="3"/>
        <v>0.87291527204303609</v>
      </c>
      <c r="V20" s="33">
        <f t="shared" si="6"/>
        <v>1.1455865557942702</v>
      </c>
      <c r="X20" s="2">
        <f t="shared" si="4"/>
        <v>7.2295151668730351E-2</v>
      </c>
      <c r="Y20" s="2">
        <f t="shared" si="5"/>
        <v>418.36192888322012</v>
      </c>
      <c r="AA20" s="33">
        <f t="shared" si="7"/>
        <v>3.6530740138209443E-2</v>
      </c>
    </row>
    <row r="21" spans="1:38">
      <c r="A21" s="240"/>
      <c r="F21" s="13"/>
      <c r="L21" s="240"/>
      <c r="N21" s="2">
        <f t="shared" si="8"/>
        <v>11</v>
      </c>
      <c r="O21" s="2">
        <f t="shared" si="9"/>
        <v>12</v>
      </c>
      <c r="P21" s="2">
        <f t="shared" si="10"/>
        <v>19.950000000000003</v>
      </c>
      <c r="Q21" s="95">
        <f t="shared" si="0"/>
        <v>9.8152440571023084E-2</v>
      </c>
      <c r="R21" s="100">
        <f t="shared" si="1"/>
        <v>4.2352434241040286E-2</v>
      </c>
      <c r="T21" s="101">
        <f t="shared" si="2"/>
        <v>3.712770448339061E-2</v>
      </c>
      <c r="U21" s="104">
        <f t="shared" si="3"/>
        <v>0.87663684859495472</v>
      </c>
      <c r="V21" s="33">
        <f t="shared" si="6"/>
        <v>1.1407232100758344</v>
      </c>
      <c r="X21" s="2">
        <f t="shared" si="4"/>
        <v>8.0114433116175901E-2</v>
      </c>
      <c r="Y21" s="2">
        <f t="shared" si="5"/>
        <v>459.00486248873125</v>
      </c>
      <c r="AA21" s="33">
        <f t="shared" si="7"/>
        <v>4.0481823053603677E-2</v>
      </c>
      <c r="AC21" s="58" t="s">
        <v>608</v>
      </c>
    </row>
    <row r="22" spans="1:38" ht="27" customHeight="1">
      <c r="A22" s="240"/>
      <c r="F22" s="255" t="s">
        <v>221</v>
      </c>
      <c r="L22" s="240"/>
      <c r="N22" s="2">
        <f t="shared" si="8"/>
        <v>12</v>
      </c>
      <c r="O22" s="2">
        <f t="shared" si="9"/>
        <v>12.375</v>
      </c>
      <c r="P22" s="2">
        <f t="shared" si="10"/>
        <v>20.700000000000003</v>
      </c>
      <c r="Q22" s="95">
        <f t="shared" si="0"/>
        <v>0.10480612922843009</v>
      </c>
      <c r="R22" s="100">
        <f t="shared" si="1"/>
        <v>4.554394958450074E-2</v>
      </c>
      <c r="T22" s="101">
        <f t="shared" si="2"/>
        <v>4.0090473234220089E-2</v>
      </c>
      <c r="U22" s="104">
        <f t="shared" si="3"/>
        <v>0.88025903769802727</v>
      </c>
      <c r="V22" s="33">
        <f t="shared" si="6"/>
        <v>1.1360292336391209</v>
      </c>
      <c r="X22" s="2">
        <f t="shared" si="4"/>
        <v>8.8481953947274622E-2</v>
      </c>
      <c r="Y22" s="2">
        <f t="shared" si="5"/>
        <v>502.05387666717462</v>
      </c>
      <c r="AA22" s="33">
        <f t="shared" si="7"/>
        <v>4.4709931329557862E-2</v>
      </c>
      <c r="AC22" s="1" t="s">
        <v>598</v>
      </c>
    </row>
    <row r="23" spans="1:38">
      <c r="A23" s="240"/>
      <c r="F23" s="850" t="s">
        <v>222</v>
      </c>
      <c r="G23" s="850"/>
      <c r="H23" s="850"/>
      <c r="I23" s="850"/>
      <c r="J23" s="850"/>
      <c r="K23" s="850"/>
      <c r="L23" s="240"/>
      <c r="N23" s="2">
        <f t="shared" si="8"/>
        <v>13</v>
      </c>
      <c r="O23" s="2">
        <f t="shared" si="9"/>
        <v>12.75</v>
      </c>
      <c r="P23" s="2">
        <f t="shared" si="10"/>
        <v>21.450000000000003</v>
      </c>
      <c r="Q23" s="95">
        <f t="shared" si="0"/>
        <v>0.11164989545386189</v>
      </c>
      <c r="R23" s="100">
        <f t="shared" si="1"/>
        <v>4.8869849451310898E-2</v>
      </c>
      <c r="T23" s="101">
        <f t="shared" si="2"/>
        <v>4.3190556591666374E-2</v>
      </c>
      <c r="U23" s="104">
        <f t="shared" si="3"/>
        <v>0.88378738785960831</v>
      </c>
      <c r="V23" s="33">
        <f t="shared" si="6"/>
        <v>1.1314938567089536</v>
      </c>
      <c r="X23" s="2">
        <f t="shared" si="4"/>
        <v>9.7416812670174671E-2</v>
      </c>
      <c r="Y23" s="2">
        <f t="shared" si="5"/>
        <v>547.566967385319</v>
      </c>
      <c r="AA23" s="33">
        <f t="shared" si="7"/>
        <v>4.9224715442239261E-2</v>
      </c>
      <c r="AC23" s="1" t="s">
        <v>599</v>
      </c>
    </row>
    <row r="24" spans="1:38" ht="16">
      <c r="A24" s="240"/>
      <c r="B24" s="33"/>
      <c r="C24" s="33"/>
      <c r="D24" s="33"/>
      <c r="F24" s="83"/>
      <c r="G24" s="33"/>
      <c r="H24" s="33"/>
      <c r="I24" s="33"/>
      <c r="L24" s="240"/>
      <c r="N24" s="2">
        <f t="shared" si="8"/>
        <v>14</v>
      </c>
      <c r="O24" s="2">
        <f t="shared" si="9"/>
        <v>13.125</v>
      </c>
      <c r="P24" s="2">
        <f t="shared" si="10"/>
        <v>22.200000000000003</v>
      </c>
      <c r="Q24" s="95">
        <f t="shared" si="0"/>
        <v>0.11868223824156056</v>
      </c>
      <c r="R24" s="100">
        <f t="shared" si="1"/>
        <v>5.2331590063656383E-2</v>
      </c>
      <c r="T24" s="101">
        <f t="shared" si="2"/>
        <v>4.6429998904529216E-2</v>
      </c>
      <c r="U24" s="104">
        <f t="shared" si="3"/>
        <v>0.88722698561330837</v>
      </c>
      <c r="V24" s="33">
        <f t="shared" si="6"/>
        <v>1.1271072862022289</v>
      </c>
      <c r="X24" s="2">
        <f t="shared" si="4"/>
        <v>0.10693814545594459</v>
      </c>
      <c r="Y24" s="2">
        <f t="shared" si="5"/>
        <v>595.60163587034401</v>
      </c>
      <c r="AA24" s="33">
        <f t="shared" si="7"/>
        <v>5.4035844898888796E-2</v>
      </c>
    </row>
    <row r="25" spans="1:38">
      <c r="A25" s="240"/>
      <c r="B25" s="33" t="s">
        <v>226</v>
      </c>
      <c r="E25" s="33" t="s">
        <v>84</v>
      </c>
      <c r="G25" s="33" t="s">
        <v>84</v>
      </c>
      <c r="L25" s="240"/>
      <c r="N25" s="2">
        <f t="shared" si="8"/>
        <v>15</v>
      </c>
      <c r="O25" s="2">
        <f t="shared" si="9"/>
        <v>13.5</v>
      </c>
      <c r="P25" s="2">
        <f t="shared" si="10"/>
        <v>22.950000000000003</v>
      </c>
      <c r="Q25" s="95">
        <f t="shared" si="0"/>
        <v>0.12590171945214368</v>
      </c>
      <c r="R25" s="100">
        <f t="shared" si="1"/>
        <v>5.5930600519422641E-2</v>
      </c>
      <c r="T25" s="101">
        <f t="shared" si="2"/>
        <v>4.9810814369499967E-2</v>
      </c>
      <c r="U25" s="104">
        <f t="shared" si="3"/>
        <v>0.89058250594328059</v>
      </c>
      <c r="V25" s="33">
        <f t="shared" si="6"/>
        <v>1.1228605921703205</v>
      </c>
      <c r="X25" s="2">
        <f t="shared" si="4"/>
        <v>0.11706512506017694</v>
      </c>
      <c r="Y25" s="2">
        <f t="shared" si="5"/>
        <v>646.21490792197449</v>
      </c>
      <c r="AA25" s="33">
        <f t="shared" si="7"/>
        <v>5.9153007692907406E-2</v>
      </c>
    </row>
    <row r="26" spans="1:38">
      <c r="A26" s="240"/>
      <c r="C26" s="33" t="s">
        <v>195</v>
      </c>
      <c r="E26" s="13" t="s">
        <v>85</v>
      </c>
      <c r="G26" s="33" t="s">
        <v>196</v>
      </c>
      <c r="L26" s="240"/>
      <c r="N26" s="2">
        <f t="shared" si="8"/>
        <v>16</v>
      </c>
      <c r="O26" s="2">
        <f t="shared" si="9"/>
        <v>13.875</v>
      </c>
      <c r="P26" s="2">
        <f t="shared" si="10"/>
        <v>23.700000000000003</v>
      </c>
      <c r="Q26" s="95">
        <f t="shared" si="0"/>
        <v>0.13330695918348437</v>
      </c>
      <c r="R26" s="100">
        <f t="shared" si="1"/>
        <v>5.9668284051661302E-2</v>
      </c>
      <c r="T26" s="101">
        <f t="shared" si="2"/>
        <v>5.3334988319188682E-2</v>
      </c>
      <c r="U26" s="104">
        <f t="shared" si="3"/>
        <v>0.89385825597080693</v>
      </c>
      <c r="V26" s="33">
        <f t="shared" si="6"/>
        <v>1.1187456101906381</v>
      </c>
      <c r="X26" s="2">
        <f t="shared" si="4"/>
        <v>0.12781695980601424</v>
      </c>
      <c r="Y26" s="2">
        <f t="shared" si="5"/>
        <v>699.46335191714604</v>
      </c>
      <c r="AA26" s="33">
        <f t="shared" si="7"/>
        <v>6.4585909789978996E-2</v>
      </c>
      <c r="AC26" t="s">
        <v>610</v>
      </c>
      <c r="AE26" s="229" t="s">
        <v>613</v>
      </c>
    </row>
    <row r="27" spans="1:38" ht="24" customHeight="1">
      <c r="A27" s="240"/>
      <c r="B27" s="2" t="s">
        <v>438</v>
      </c>
      <c r="C27" s="2" t="s">
        <v>439</v>
      </c>
      <c r="D27" s="2" t="s">
        <v>223</v>
      </c>
      <c r="E27" s="2" t="s">
        <v>439</v>
      </c>
      <c r="F27" s="2" t="s">
        <v>223</v>
      </c>
      <c r="G27" s="2" t="s">
        <v>231</v>
      </c>
      <c r="H27" s="2" t="s">
        <v>232</v>
      </c>
      <c r="L27" s="240"/>
      <c r="N27" s="2">
        <f t="shared" si="8"/>
        <v>17</v>
      </c>
      <c r="O27" s="2">
        <f t="shared" si="9"/>
        <v>14.25</v>
      </c>
      <c r="P27" s="2">
        <f t="shared" si="10"/>
        <v>24.450000000000003</v>
      </c>
      <c r="Q27" s="95">
        <f t="shared" si="0"/>
        <v>0.14089663162007585</v>
      </c>
      <c r="R27" s="100">
        <f t="shared" si="1"/>
        <v>6.3546019196470183E-2</v>
      </c>
      <c r="T27" s="101">
        <f t="shared" si="2"/>
        <v>5.7004478421079113E-2</v>
      </c>
      <c r="U27" s="104">
        <f t="shared" si="3"/>
        <v>0.8970582129595549</v>
      </c>
      <c r="V27" s="33">
        <f t="shared" si="6"/>
        <v>1.1147548571021069</v>
      </c>
      <c r="X27" s="2">
        <f t="shared" si="4"/>
        <v>0.13921289262351258</v>
      </c>
      <c r="Y27" s="2">
        <f t="shared" si="5"/>
        <v>755.40309563114988</v>
      </c>
      <c r="AA27" s="33">
        <f t="shared" si="7"/>
        <v>7.0344274642660909E-2</v>
      </c>
      <c r="AC27" s="229" t="s">
        <v>609</v>
      </c>
    </row>
    <row r="28" spans="1:38" s="33" customFormat="1">
      <c r="A28" s="240"/>
      <c r="B28" s="29" t="s">
        <v>487</v>
      </c>
      <c r="C28" s="29" t="s">
        <v>488</v>
      </c>
      <c r="D28" s="2" t="s">
        <v>224</v>
      </c>
      <c r="E28" s="29" t="s">
        <v>488</v>
      </c>
      <c r="F28" s="2" t="s">
        <v>224</v>
      </c>
      <c r="G28" s="29" t="s">
        <v>211</v>
      </c>
      <c r="H28" s="2" t="s">
        <v>212</v>
      </c>
      <c r="I28"/>
      <c r="J28" s="229"/>
      <c r="K28" s="229"/>
      <c r="L28" s="240"/>
      <c r="M28" s="229"/>
      <c r="N28" s="2">
        <f t="shared" si="8"/>
        <v>18</v>
      </c>
      <c r="O28" s="2">
        <f t="shared" si="9"/>
        <v>14.625</v>
      </c>
      <c r="P28" s="2">
        <f t="shared" si="10"/>
        <v>25.200000000000003</v>
      </c>
      <c r="Q28" s="95">
        <f t="shared" si="0"/>
        <v>0.14866946129807335</v>
      </c>
      <c r="R28" s="100">
        <f t="shared" si="1"/>
        <v>6.7565160878224714E-2</v>
      </c>
      <c r="S28"/>
      <c r="T28" s="101">
        <f t="shared" si="2"/>
        <v>6.0821215795799646E-2</v>
      </c>
      <c r="U28" s="104">
        <f t="shared" si="3"/>
        <v>0.90018605750706437</v>
      </c>
      <c r="V28" s="33">
        <f t="shared" si="6"/>
        <v>1.1108814579614308</v>
      </c>
      <c r="W28"/>
      <c r="X28" s="2">
        <f t="shared" si="4"/>
        <v>0.15127220014079429</v>
      </c>
      <c r="Y28" s="2">
        <f t="shared" si="5"/>
        <v>814.08984198424594</v>
      </c>
      <c r="Z28"/>
      <c r="AA28" s="33">
        <f t="shared" si="7"/>
        <v>7.6437842731143346E-2</v>
      </c>
      <c r="AB28"/>
      <c r="AC28"/>
      <c r="AD28"/>
      <c r="AE28"/>
      <c r="AF28"/>
      <c r="AG28"/>
      <c r="AH28"/>
      <c r="AI28"/>
      <c r="AJ28"/>
      <c r="AK28"/>
      <c r="AL28"/>
    </row>
    <row r="29" spans="1:38">
      <c r="A29" s="240"/>
      <c r="B29" s="2">
        <v>0</v>
      </c>
      <c r="C29" s="29">
        <v>0</v>
      </c>
      <c r="D29" s="2">
        <v>0</v>
      </c>
      <c r="E29" s="2"/>
      <c r="F29" s="2"/>
      <c r="G29" s="2">
        <v>0</v>
      </c>
      <c r="L29" s="240"/>
      <c r="N29" s="2">
        <f t="shared" si="8"/>
        <v>19</v>
      </c>
      <c r="O29" s="2">
        <f t="shared" si="9"/>
        <v>15</v>
      </c>
      <c r="P29" s="2">
        <f t="shared" si="10"/>
        <v>25.950000000000003</v>
      </c>
      <c r="Q29" s="95">
        <f t="shared" si="0"/>
        <v>0.15662421973309992</v>
      </c>
      <c r="R29" s="100">
        <f t="shared" si="1"/>
        <v>7.1727041420017915E-2</v>
      </c>
      <c r="T29" s="101">
        <f t="shared" si="2"/>
        <v>6.4787106062109995E-2</v>
      </c>
      <c r="U29" s="104">
        <f t="shared" si="3"/>
        <v>0.9032452026388601</v>
      </c>
      <c r="V29" s="33">
        <f t="shared" si="6"/>
        <v>1.1071190824800039</v>
      </c>
      <c r="X29" s="2">
        <f t="shared" si="4"/>
        <v>0.16401419182290983</v>
      </c>
      <c r="Y29" s="2">
        <f t="shared" si="5"/>
        <v>875.5788838099943</v>
      </c>
      <c r="AA29" s="33">
        <f t="shared" si="7"/>
        <v>8.2876371128116327E-2</v>
      </c>
      <c r="AC29" s="229" t="s">
        <v>611</v>
      </c>
    </row>
    <row r="30" spans="1:38">
      <c r="A30" s="240"/>
      <c r="B30" s="2">
        <v>1</v>
      </c>
      <c r="C30" s="29">
        <f>C29+$C$19</f>
        <v>2.5</v>
      </c>
      <c r="D30" s="2">
        <f>D29+$C$20</f>
        <v>2.65</v>
      </c>
      <c r="E30" s="2">
        <v>2</v>
      </c>
      <c r="F30" s="2">
        <v>2.2000000000000002</v>
      </c>
      <c r="L30" s="240"/>
      <c r="N30" s="2">
        <f t="shared" si="8"/>
        <v>20</v>
      </c>
      <c r="O30" s="2">
        <f t="shared" si="9"/>
        <v>15.375</v>
      </c>
      <c r="P30" s="2">
        <f t="shared" si="10"/>
        <v>26.700000000000003</v>
      </c>
      <c r="Q30" s="95">
        <f t="shared" si="0"/>
        <v>0.16475972236599318</v>
      </c>
      <c r="R30" s="100">
        <f t="shared" si="1"/>
        <v>7.6032971486236056E-2</v>
      </c>
      <c r="T30" s="101">
        <f t="shared" si="2"/>
        <v>6.8904030315154519E-2</v>
      </c>
      <c r="U30" s="104">
        <f t="shared" si="3"/>
        <v>0.90623881939992235</v>
      </c>
      <c r="V30" s="33">
        <f t="shared" si="6"/>
        <v>1.1034618895074069</v>
      </c>
      <c r="X30" s="2">
        <f t="shared" si="4"/>
        <v>0.17745820915474864</v>
      </c>
      <c r="Y30" s="2">
        <f t="shared" si="5"/>
        <v>939.92511773053025</v>
      </c>
      <c r="AA30" s="33">
        <f t="shared" si="7"/>
        <v>8.9669633085894485E-2</v>
      </c>
      <c r="AC30" s="229"/>
    </row>
    <row r="31" spans="1:38">
      <c r="A31" s="240"/>
      <c r="B31" s="2">
        <v>1.5</v>
      </c>
      <c r="C31" s="29">
        <f>C30+$C$19/2</f>
        <v>3.75</v>
      </c>
      <c r="D31" s="2">
        <f>D30+$C$20/2</f>
        <v>3.9749999999999996</v>
      </c>
      <c r="E31" s="2">
        <v>3.8</v>
      </c>
      <c r="F31" s="2">
        <v>5</v>
      </c>
      <c r="G31" s="33"/>
      <c r="H31" s="33"/>
      <c r="I31" s="33"/>
      <c r="L31" s="240"/>
      <c r="N31" s="2">
        <f t="shared" si="8"/>
        <v>21</v>
      </c>
      <c r="O31" s="2">
        <f t="shared" si="9"/>
        <v>15.75</v>
      </c>
      <c r="P31" s="2">
        <f t="shared" si="10"/>
        <v>27.450000000000003</v>
      </c>
      <c r="Q31" s="95">
        <f t="shared" si="0"/>
        <v>0.17307482578831962</v>
      </c>
      <c r="R31" s="100">
        <f t="shared" si="1"/>
        <v>8.0484240963401052E-2</v>
      </c>
      <c r="T31" s="101">
        <f t="shared" si="2"/>
        <v>7.3173846043795648E-2</v>
      </c>
      <c r="U31" s="104">
        <f t="shared" si="3"/>
        <v>0.90916985943956796</v>
      </c>
      <c r="V31" s="33">
        <f t="shared" si="6"/>
        <v>1.0999044783737351</v>
      </c>
      <c r="X31" s="2">
        <f t="shared" si="4"/>
        <v>0.19162362486469092</v>
      </c>
      <c r="Y31" s="2">
        <f t="shared" si="5"/>
        <v>1007.1830572146058</v>
      </c>
      <c r="AA31" s="33">
        <f t="shared" si="7"/>
        <v>9.6827417644128319E-2</v>
      </c>
      <c r="AC31" s="229" t="s">
        <v>612</v>
      </c>
    </row>
    <row r="32" spans="1:38">
      <c r="A32" s="240"/>
      <c r="B32" s="2">
        <f>B30+1</f>
        <v>2</v>
      </c>
      <c r="C32" s="29">
        <f>C30+$C$19</f>
        <v>5</v>
      </c>
      <c r="D32" s="2">
        <f>D30+$C$20</f>
        <v>5.3</v>
      </c>
      <c r="E32" s="2">
        <v>5.5</v>
      </c>
      <c r="F32" s="2">
        <v>7.5</v>
      </c>
      <c r="L32" s="240"/>
      <c r="N32" s="2">
        <f t="shared" si="8"/>
        <v>22</v>
      </c>
      <c r="O32" s="2">
        <f t="shared" si="9"/>
        <v>16.125</v>
      </c>
      <c r="P32" s="2">
        <f t="shared" si="10"/>
        <v>28.200000000000003</v>
      </c>
      <c r="Q32" s="95">
        <f t="shared" si="0"/>
        <v>0.18156842521500524</v>
      </c>
      <c r="R32" s="100">
        <f t="shared" si="1"/>
        <v>8.5082119784719912E-2</v>
      </c>
      <c r="T32" s="101">
        <f t="shared" si="2"/>
        <v>7.7598387992210777E-2</v>
      </c>
      <c r="U32" s="104">
        <f t="shared" si="3"/>
        <v>0.91204107500559528</v>
      </c>
      <c r="V32" s="33">
        <f t="shared" si="6"/>
        <v>1.0964418461020136</v>
      </c>
      <c r="X32" s="2">
        <f t="shared" si="4"/>
        <v>0.20652984218602458</v>
      </c>
      <c r="Y32" s="2">
        <f t="shared" si="5"/>
        <v>1077.4068448859907</v>
      </c>
      <c r="AA32" s="33">
        <f t="shared" si="7"/>
        <v>0.10435952925659821</v>
      </c>
    </row>
    <row r="33" spans="1:38">
      <c r="A33" s="240"/>
      <c r="B33" s="2">
        <f t="shared" ref="B33:B60" si="11">B32+1</f>
        <v>3</v>
      </c>
      <c r="C33" s="29">
        <f t="shared" ref="C33:C60" si="12">C32+$C$19</f>
        <v>7.5</v>
      </c>
      <c r="D33" s="2">
        <f t="shared" ref="D33:D60" si="13">D32+$C$20</f>
        <v>7.9499999999999993</v>
      </c>
      <c r="E33" s="2">
        <v>7.5</v>
      </c>
      <c r="F33" s="2">
        <v>10.5</v>
      </c>
      <c r="G33" s="2">
        <f>(E33-E30)/(B33-B30)</f>
        <v>2.75</v>
      </c>
      <c r="H33" s="2">
        <f>(F33-F30)/(B33-B30)</f>
        <v>4.1500000000000004</v>
      </c>
      <c r="L33" s="240"/>
      <c r="N33" s="2">
        <f t="shared" si="8"/>
        <v>23</v>
      </c>
      <c r="O33" s="2">
        <f t="shared" si="9"/>
        <v>16.5</v>
      </c>
      <c r="P33" s="2">
        <f t="shared" si="10"/>
        <v>28.950000000000003</v>
      </c>
      <c r="Q33" s="95">
        <f t="shared" si="0"/>
        <v>0.19023945217601043</v>
      </c>
      <c r="R33" s="100">
        <f t="shared" si="1"/>
        <v>8.982785870318645E-2</v>
      </c>
      <c r="T33" s="101">
        <f t="shared" si="2"/>
        <v>8.2179468970376326E-2</v>
      </c>
      <c r="U33" s="104">
        <f t="shared" si="3"/>
        <v>0.91485503669766521</v>
      </c>
      <c r="V33" s="33">
        <f t="shared" si="6"/>
        <v>1.0930693496640527</v>
      </c>
      <c r="X33" s="2">
        <f t="shared" si="4"/>
        <v>0.22219629415342118</v>
      </c>
      <c r="Y33" s="2">
        <f t="shared" si="5"/>
        <v>1150.6502641426919</v>
      </c>
      <c r="AA33" s="33">
        <f t="shared" si="7"/>
        <v>0.11227578743572372</v>
      </c>
    </row>
    <row r="34" spans="1:38">
      <c r="A34" s="240"/>
      <c r="B34" s="2">
        <f t="shared" si="11"/>
        <v>4</v>
      </c>
      <c r="C34" s="29">
        <f t="shared" si="12"/>
        <v>10</v>
      </c>
      <c r="D34" s="2">
        <f t="shared" si="13"/>
        <v>10.6</v>
      </c>
      <c r="E34" s="2">
        <v>8.5</v>
      </c>
      <c r="F34" s="2">
        <v>12.5</v>
      </c>
      <c r="G34" s="2"/>
      <c r="L34" s="240"/>
      <c r="N34" s="2">
        <f t="shared" si="8"/>
        <v>24</v>
      </c>
      <c r="O34" s="2">
        <f t="shared" si="9"/>
        <v>16.875</v>
      </c>
      <c r="P34" s="2">
        <f t="shared" si="10"/>
        <v>29.700000000000003</v>
      </c>
      <c r="Q34" s="95">
        <f t="shared" si="0"/>
        <v>0.19908687240282272</v>
      </c>
      <c r="R34" s="100">
        <f t="shared" si="1"/>
        <v>9.4722690017558828E-2</v>
      </c>
      <c r="T34" s="101">
        <f t="shared" si="2"/>
        <v>8.6918880617586694E-2</v>
      </c>
      <c r="U34" s="104">
        <f t="shared" si="3"/>
        <v>0.91761414927589646</v>
      </c>
      <c r="V34" s="33">
        <f t="shared" si="6"/>
        <v>1.0897826725853295</v>
      </c>
      <c r="X34" s="2">
        <f t="shared" si="4"/>
        <v>0.23864244293202738</v>
      </c>
      <c r="Y34" s="2">
        <f t="shared" si="5"/>
        <v>1226.9667501412598</v>
      </c>
      <c r="AA34" s="33">
        <f t="shared" si="7"/>
        <v>0.12058602641355343</v>
      </c>
      <c r="AC34" s="229">
        <v>0.2</v>
      </c>
      <c r="AD34" s="229"/>
      <c r="AE34" s="229"/>
      <c r="AF34" s="229">
        <v>0.2</v>
      </c>
    </row>
    <row r="35" spans="1:38" s="33" customFormat="1">
      <c r="A35" s="240"/>
      <c r="B35" s="2">
        <f t="shared" si="11"/>
        <v>5</v>
      </c>
      <c r="C35" s="29">
        <f t="shared" si="12"/>
        <v>12.5</v>
      </c>
      <c r="D35" s="2">
        <f t="shared" si="13"/>
        <v>13.25</v>
      </c>
      <c r="E35" s="2">
        <v>9</v>
      </c>
      <c r="F35" s="2">
        <v>13.5</v>
      </c>
      <c r="G35" s="2">
        <f>(E35-E33)/(B35-B33)</f>
        <v>0.75</v>
      </c>
      <c r="H35" s="2">
        <f>(F35-F33)/(B35-B33)</f>
        <v>1.5</v>
      </c>
      <c r="I35"/>
      <c r="J35" s="229"/>
      <c r="K35" s="229"/>
      <c r="L35" s="240"/>
      <c r="M35" s="229"/>
      <c r="N35" s="2">
        <f t="shared" si="8"/>
        <v>25</v>
      </c>
      <c r="O35" s="2">
        <f t="shared" si="9"/>
        <v>17.25</v>
      </c>
      <c r="P35" s="2">
        <f t="shared" si="10"/>
        <v>30.450000000000003</v>
      </c>
      <c r="Q35" s="95">
        <f t="shared" si="0"/>
        <v>0.20810968388877002</v>
      </c>
      <c r="R35" s="100">
        <f t="shared" si="1"/>
        <v>9.9767828255086372E-2</v>
      </c>
      <c r="S35"/>
      <c r="T35" s="101">
        <f t="shared" si="2"/>
        <v>9.1818394122729338E-2</v>
      </c>
      <c r="U35" s="104">
        <f t="shared" si="3"/>
        <v>0.92032066577582583</v>
      </c>
      <c r="V35" s="33">
        <f t="shared" si="6"/>
        <v>1.0865777953133378</v>
      </c>
      <c r="W35"/>
      <c r="X35" s="2">
        <f t="shared" si="4"/>
        <v>0.25588777917694022</v>
      </c>
      <c r="Y35" s="2">
        <f t="shared" si="5"/>
        <v>1306.4094001949718</v>
      </c>
      <c r="Z35"/>
      <c r="AA35" s="33">
        <f t="shared" si="7"/>
        <v>0.12930009481810789</v>
      </c>
      <c r="AB35"/>
      <c r="AC35" s="229">
        <v>7</v>
      </c>
      <c r="AD35" s="229">
        <v>6.95</v>
      </c>
      <c r="AE35" s="229">
        <v>37.1</v>
      </c>
      <c r="AF35" s="229">
        <v>0.1</v>
      </c>
      <c r="AG35"/>
      <c r="AH35"/>
      <c r="AI35"/>
      <c r="AJ35"/>
      <c r="AK35"/>
      <c r="AL35"/>
    </row>
    <row r="36" spans="1:38">
      <c r="A36" s="240"/>
      <c r="B36" s="2">
        <f t="shared" si="11"/>
        <v>6</v>
      </c>
      <c r="C36" s="29">
        <f t="shared" si="12"/>
        <v>15</v>
      </c>
      <c r="D36" s="2">
        <f t="shared" si="13"/>
        <v>15.9</v>
      </c>
      <c r="E36" s="2"/>
      <c r="F36" s="2"/>
      <c r="G36" s="2">
        <f>G35/2</f>
        <v>0.375</v>
      </c>
      <c r="H36" s="2">
        <f>H35/2</f>
        <v>0.75</v>
      </c>
      <c r="L36" s="240"/>
      <c r="N36" s="2">
        <f t="shared" si="8"/>
        <v>26</v>
      </c>
      <c r="O36" s="2">
        <f t="shared" si="9"/>
        <v>17.625</v>
      </c>
      <c r="P36" s="2">
        <f t="shared" si="10"/>
        <v>31.200000000000003</v>
      </c>
      <c r="Q36" s="95">
        <f t="shared" si="0"/>
        <v>0.21730691510488553</v>
      </c>
      <c r="R36" s="100">
        <f t="shared" si="1"/>
        <v>0.10496447081445973</v>
      </c>
      <c r="T36" s="101">
        <f t="shared" si="2"/>
        <v>9.6879760904666712E-2</v>
      </c>
      <c r="U36" s="104">
        <f t="shared" si="3"/>
        <v>0.92297670014376643</v>
      </c>
      <c r="V36" s="33">
        <f t="shared" si="6"/>
        <v>1.0834509688535323</v>
      </c>
      <c r="X36" s="2">
        <f t="shared" si="4"/>
        <v>0.27395182142103786</v>
      </c>
      <c r="Y36" s="2">
        <f t="shared" si="5"/>
        <v>1389.0309836299205</v>
      </c>
      <c r="AA36" s="33">
        <f t="shared" si="7"/>
        <v>0.13842785536405042</v>
      </c>
      <c r="AC36" s="229">
        <v>9</v>
      </c>
      <c r="AD36" s="229">
        <v>17.39</v>
      </c>
      <c r="AE36" s="229">
        <v>31.3</v>
      </c>
      <c r="AF36" s="229">
        <v>0.22</v>
      </c>
    </row>
    <row r="37" spans="1:38">
      <c r="A37" s="240"/>
      <c r="B37" s="2">
        <f t="shared" si="11"/>
        <v>7</v>
      </c>
      <c r="C37" s="29">
        <f t="shared" si="12"/>
        <v>17.5</v>
      </c>
      <c r="D37" s="2">
        <f t="shared" si="13"/>
        <v>18.55</v>
      </c>
      <c r="E37" s="2"/>
      <c r="F37" s="2"/>
      <c r="L37" s="240"/>
      <c r="N37" s="2">
        <f t="shared" si="8"/>
        <v>27</v>
      </c>
      <c r="O37" s="2">
        <f t="shared" si="9"/>
        <v>18</v>
      </c>
      <c r="P37" s="2">
        <f t="shared" si="10"/>
        <v>31.950000000000003</v>
      </c>
      <c r="Q37" s="95">
        <f t="shared" si="0"/>
        <v>0.22667762335537647</v>
      </c>
      <c r="R37" s="100">
        <f t="shared" si="1"/>
        <v>0.11031379857211256</v>
      </c>
      <c r="T37" s="101">
        <f t="shared" si="2"/>
        <v>0.10210471325575333</v>
      </c>
      <c r="U37" s="104">
        <f t="shared" si="3"/>
        <v>0.925584238575622</v>
      </c>
      <c r="V37" s="33">
        <f t="shared" si="6"/>
        <v>1.0803986912513723</v>
      </c>
      <c r="X37" s="2">
        <f t="shared" si="4"/>
        <v>0.29285411548931595</v>
      </c>
      <c r="Y37" s="2">
        <f t="shared" si="5"/>
        <v>1474.8839511387841</v>
      </c>
      <c r="AA37" s="33">
        <f t="shared" si="7"/>
        <v>0.14797918455675135</v>
      </c>
      <c r="AC37" s="229">
        <v>11</v>
      </c>
      <c r="AD37" s="229">
        <v>27.33</v>
      </c>
      <c r="AE37" s="229">
        <v>44.7</v>
      </c>
      <c r="AF37" s="229">
        <v>0.25</v>
      </c>
    </row>
    <row r="38" spans="1:38">
      <c r="A38" s="240"/>
      <c r="B38" s="2">
        <f t="shared" si="11"/>
        <v>8</v>
      </c>
      <c r="C38" s="29">
        <f t="shared" si="12"/>
        <v>20</v>
      </c>
      <c r="D38" s="2">
        <f t="shared" si="13"/>
        <v>21.2</v>
      </c>
      <c r="E38" s="2"/>
      <c r="F38" s="2"/>
      <c r="L38" s="240"/>
      <c r="N38" s="2">
        <f t="shared" si="8"/>
        <v>28</v>
      </c>
      <c r="O38" s="2">
        <f t="shared" si="9"/>
        <v>18.375</v>
      </c>
      <c r="P38" s="2">
        <f t="shared" si="10"/>
        <v>32.700000000000003</v>
      </c>
      <c r="Q38" s="95">
        <f t="shared" si="0"/>
        <v>0.23622089325871648</v>
      </c>
      <c r="R38" s="100">
        <f t="shared" si="1"/>
        <v>0.11581697645469259</v>
      </c>
      <c r="T38" s="101">
        <f t="shared" si="2"/>
        <v>0.10749496495121968</v>
      </c>
      <c r="U38" s="104">
        <f t="shared" si="3"/>
        <v>0.9281451497162122</v>
      </c>
      <c r="V38" s="33">
        <f t="shared" si="6"/>
        <v>1.0774176865609415</v>
      </c>
      <c r="X38" s="2">
        <f t="shared" si="4"/>
        <v>0.31261423393802934</v>
      </c>
      <c r="Y38" s="2">
        <f t="shared" si="5"/>
        <v>1564.0204436683496</v>
      </c>
      <c r="AA38" s="33">
        <f t="shared" si="7"/>
        <v>0.15796397240888621</v>
      </c>
      <c r="AC38" s="229">
        <v>12</v>
      </c>
      <c r="AD38" s="229">
        <v>15.5</v>
      </c>
      <c r="AE38" s="229">
        <v>42.4</v>
      </c>
      <c r="AF38" s="229">
        <v>0.13</v>
      </c>
    </row>
    <row r="39" spans="1:38">
      <c r="A39" s="240"/>
      <c r="B39" s="2">
        <f t="shared" si="11"/>
        <v>9</v>
      </c>
      <c r="C39" s="29">
        <f t="shared" si="12"/>
        <v>22.5</v>
      </c>
      <c r="D39" s="2">
        <f t="shared" si="13"/>
        <v>23.849999999999998</v>
      </c>
      <c r="E39" s="2"/>
      <c r="F39" s="2"/>
      <c r="L39" s="240"/>
      <c r="N39" s="2">
        <f t="shared" si="8"/>
        <v>29</v>
      </c>
      <c r="O39" s="2">
        <f t="shared" si="9"/>
        <v>18.75</v>
      </c>
      <c r="P39" s="2">
        <f t="shared" si="10"/>
        <v>33.450000000000003</v>
      </c>
      <c r="Q39" s="95">
        <f t="shared" si="0"/>
        <v>0.24593583534208083</v>
      </c>
      <c r="R39" s="100">
        <f t="shared" si="1"/>
        <v>0.12147515398025423</v>
      </c>
      <c r="T39" s="101">
        <f t="shared" si="2"/>
        <v>0.1130522118269074</v>
      </c>
      <c r="U39" s="104">
        <f t="shared" si="3"/>
        <v>0.93066119385437474</v>
      </c>
      <c r="V39" s="33">
        <f t="shared" si="6"/>
        <v>1.0745048859923507</v>
      </c>
      <c r="X39" s="2">
        <f t="shared" si="4"/>
        <v>0.33325177551708729</v>
      </c>
      <c r="Y39" s="2">
        <f t="shared" si="5"/>
        <v>1656.4923008735543</v>
      </c>
      <c r="AA39" s="33">
        <f t="shared" si="7"/>
        <v>0.16839212216878419</v>
      </c>
      <c r="AC39" s="229">
        <v>13</v>
      </c>
      <c r="AD39" s="229">
        <v>18.71</v>
      </c>
      <c r="AE39" s="229">
        <v>40.6</v>
      </c>
      <c r="AF39" s="229">
        <v>0.16</v>
      </c>
    </row>
    <row r="40" spans="1:38">
      <c r="A40" s="240"/>
      <c r="B40" s="2">
        <f t="shared" si="11"/>
        <v>10</v>
      </c>
      <c r="C40" s="29">
        <f t="shared" si="12"/>
        <v>25</v>
      </c>
      <c r="D40" s="2">
        <f t="shared" si="13"/>
        <v>26.499999999999996</v>
      </c>
      <c r="E40" s="2"/>
      <c r="F40" s="2"/>
      <c r="L40" s="240"/>
      <c r="N40" s="2">
        <f t="shared" si="8"/>
        <v>30</v>
      </c>
      <c r="O40" s="2">
        <f t="shared" si="9"/>
        <v>19.125</v>
      </c>
      <c r="P40" s="2">
        <f t="shared" si="10"/>
        <v>34.200000000000003</v>
      </c>
      <c r="Q40" s="95">
        <f t="shared" si="0"/>
        <v>0.25582158473829314</v>
      </c>
      <c r="R40" s="100">
        <f t="shared" si="1"/>
        <v>0.12728946577047937</v>
      </c>
      <c r="T40" s="101">
        <f t="shared" si="2"/>
        <v>0.11877813232760764</v>
      </c>
      <c r="U40" s="104">
        <f t="shared" si="3"/>
        <v>0.9331340312306845</v>
      </c>
      <c r="V40" s="33">
        <f t="shared" si="6"/>
        <v>1.0716574109735639</v>
      </c>
      <c r="X40" s="2">
        <f t="shared" si="4"/>
        <v>0.35478636465428076</v>
      </c>
      <c r="Y40" s="2">
        <f t="shared" si="5"/>
        <v>1752.3510691678293</v>
      </c>
      <c r="AA40" s="33">
        <f t="shared" si="7"/>
        <v>0.17927355005980805</v>
      </c>
      <c r="AC40" s="229">
        <v>19</v>
      </c>
      <c r="AD40" s="229">
        <v>20.94</v>
      </c>
      <c r="AE40" s="229">
        <v>36.799999999999997</v>
      </c>
      <c r="AF40" s="229">
        <v>0.14000000000000001</v>
      </c>
    </row>
    <row r="41" spans="1:38">
      <c r="A41" s="240"/>
      <c r="B41" s="2">
        <f t="shared" si="11"/>
        <v>11</v>
      </c>
      <c r="C41" s="29">
        <f t="shared" si="12"/>
        <v>27.5</v>
      </c>
      <c r="D41" s="2">
        <f t="shared" si="13"/>
        <v>29.149999999999995</v>
      </c>
      <c r="E41" s="2"/>
      <c r="F41" s="2"/>
      <c r="L41" s="240"/>
      <c r="X41" s="2"/>
      <c r="Y41" s="2"/>
      <c r="AC41" s="229">
        <v>20</v>
      </c>
      <c r="AD41" s="229">
        <v>28.11</v>
      </c>
      <c r="AE41" s="229">
        <v>35.299999999999997</v>
      </c>
      <c r="AF41" s="229">
        <v>0.16</v>
      </c>
    </row>
    <row r="42" spans="1:38">
      <c r="A42" s="240"/>
      <c r="B42" s="2">
        <f t="shared" si="11"/>
        <v>12</v>
      </c>
      <c r="C42" s="29">
        <f t="shared" si="12"/>
        <v>30</v>
      </c>
      <c r="D42" s="2">
        <f t="shared" si="13"/>
        <v>31.799999999999994</v>
      </c>
      <c r="E42" s="2"/>
      <c r="F42" s="2"/>
      <c r="L42" s="240"/>
      <c r="AC42" s="229">
        <v>21</v>
      </c>
      <c r="AD42" s="229">
        <v>24.49</v>
      </c>
      <c r="AE42" s="229">
        <v>37.799999999999997</v>
      </c>
      <c r="AF42" s="229">
        <v>0.16</v>
      </c>
    </row>
    <row r="43" spans="1:38">
      <c r="A43" s="240"/>
      <c r="B43" s="2">
        <f t="shared" si="11"/>
        <v>13</v>
      </c>
      <c r="C43" s="29">
        <f t="shared" si="12"/>
        <v>32.5</v>
      </c>
      <c r="D43" s="2">
        <f t="shared" si="13"/>
        <v>34.449999999999996</v>
      </c>
      <c r="E43" s="2"/>
      <c r="F43" s="2"/>
      <c r="L43" s="240"/>
      <c r="N43" s="33" t="s">
        <v>42</v>
      </c>
      <c r="AF43">
        <f>AVERAGE(AF34:AF42)</f>
        <v>0.16888888888888889</v>
      </c>
    </row>
    <row r="44" spans="1:38">
      <c r="A44" s="240"/>
      <c r="B44" s="2">
        <f t="shared" si="11"/>
        <v>14</v>
      </c>
      <c r="C44" s="29">
        <f t="shared" si="12"/>
        <v>35</v>
      </c>
      <c r="D44" s="2">
        <f t="shared" si="13"/>
        <v>37.099999999999994</v>
      </c>
      <c r="E44" s="2"/>
      <c r="F44" s="2"/>
      <c r="L44" s="240"/>
      <c r="N44" s="2" t="s">
        <v>279</v>
      </c>
      <c r="O44" s="2" t="s">
        <v>66</v>
      </c>
      <c r="P44" s="2" t="s">
        <v>439</v>
      </c>
    </row>
    <row r="45" spans="1:38">
      <c r="A45" s="240"/>
      <c r="B45" s="2">
        <f t="shared" si="11"/>
        <v>15</v>
      </c>
      <c r="C45" s="29">
        <f t="shared" si="12"/>
        <v>37.5</v>
      </c>
      <c r="D45" s="2">
        <f t="shared" si="13"/>
        <v>39.749999999999993</v>
      </c>
      <c r="E45" s="2"/>
      <c r="F45" s="2"/>
      <c r="L45" s="240"/>
      <c r="N45" s="2" t="s">
        <v>487</v>
      </c>
      <c r="O45" s="2" t="s">
        <v>41</v>
      </c>
      <c r="P45" s="2" t="s">
        <v>488</v>
      </c>
    </row>
    <row r="46" spans="1:38">
      <c r="A46" s="240"/>
      <c r="B46" s="2">
        <f t="shared" si="11"/>
        <v>16</v>
      </c>
      <c r="C46" s="29">
        <f t="shared" si="12"/>
        <v>40</v>
      </c>
      <c r="D46" s="2">
        <f t="shared" si="13"/>
        <v>42.399999999999991</v>
      </c>
      <c r="E46" s="2"/>
      <c r="F46" s="2"/>
      <c r="L46" s="240"/>
      <c r="N46" s="2">
        <v>0</v>
      </c>
      <c r="O46" s="2">
        <v>0</v>
      </c>
      <c r="P46" s="2"/>
    </row>
    <row r="47" spans="1:38">
      <c r="A47" s="240"/>
      <c r="B47" s="2">
        <f t="shared" si="11"/>
        <v>17</v>
      </c>
      <c r="C47" s="29">
        <f t="shared" si="12"/>
        <v>42.5</v>
      </c>
      <c r="D47" s="2">
        <f t="shared" si="13"/>
        <v>45.04999999999999</v>
      </c>
      <c r="E47" s="2"/>
      <c r="F47" s="2"/>
      <c r="L47" s="240"/>
      <c r="N47" s="2">
        <v>1</v>
      </c>
      <c r="O47" s="2">
        <v>40</v>
      </c>
      <c r="P47" s="2">
        <v>2</v>
      </c>
    </row>
    <row r="48" spans="1:38">
      <c r="A48" s="240"/>
      <c r="B48" s="2">
        <f t="shared" si="11"/>
        <v>18</v>
      </c>
      <c r="C48" s="29">
        <f t="shared" si="12"/>
        <v>45</v>
      </c>
      <c r="D48" s="2">
        <f t="shared" si="13"/>
        <v>47.699999999999989</v>
      </c>
      <c r="E48" s="2"/>
      <c r="F48" s="2"/>
      <c r="L48" s="240"/>
      <c r="N48" s="2">
        <v>2</v>
      </c>
      <c r="O48" s="2">
        <v>70</v>
      </c>
      <c r="P48" s="2">
        <v>5.5</v>
      </c>
    </row>
    <row r="49" spans="1:26">
      <c r="A49" s="240"/>
      <c r="B49" s="2">
        <f t="shared" si="11"/>
        <v>19</v>
      </c>
      <c r="C49" s="29">
        <f t="shared" si="12"/>
        <v>47.5</v>
      </c>
      <c r="D49" s="2">
        <f t="shared" si="13"/>
        <v>50.349999999999987</v>
      </c>
      <c r="E49" s="2"/>
      <c r="F49" s="2"/>
      <c r="L49" s="240"/>
      <c r="N49" s="2">
        <v>3</v>
      </c>
      <c r="O49" s="2">
        <v>95</v>
      </c>
      <c r="P49" s="2">
        <v>7.5</v>
      </c>
    </row>
    <row r="50" spans="1:26">
      <c r="A50" s="240"/>
      <c r="B50" s="2">
        <f t="shared" si="11"/>
        <v>20</v>
      </c>
      <c r="C50" s="29">
        <f t="shared" si="12"/>
        <v>50</v>
      </c>
      <c r="D50" s="2">
        <f t="shared" si="13"/>
        <v>52.999999999999986</v>
      </c>
      <c r="E50" s="2"/>
      <c r="F50" s="2"/>
      <c r="L50" s="240"/>
      <c r="N50" s="2">
        <v>4</v>
      </c>
      <c r="O50" s="2">
        <v>110</v>
      </c>
      <c r="P50" s="2">
        <v>8.5</v>
      </c>
    </row>
    <row r="51" spans="1:26">
      <c r="A51" s="240"/>
      <c r="B51" s="2">
        <f t="shared" si="11"/>
        <v>21</v>
      </c>
      <c r="C51" s="29">
        <f t="shared" si="12"/>
        <v>52.5</v>
      </c>
      <c r="D51" s="2">
        <f t="shared" si="13"/>
        <v>55.649999999999984</v>
      </c>
      <c r="E51" s="2"/>
      <c r="F51" s="2"/>
      <c r="L51" s="240"/>
      <c r="N51" s="2">
        <v>5</v>
      </c>
      <c r="O51" s="2">
        <v>115</v>
      </c>
      <c r="P51" s="2">
        <v>9</v>
      </c>
    </row>
    <row r="52" spans="1:26">
      <c r="A52" s="240"/>
      <c r="B52" s="2">
        <f t="shared" si="11"/>
        <v>22</v>
      </c>
      <c r="C52" s="29">
        <f t="shared" si="12"/>
        <v>55</v>
      </c>
      <c r="D52" s="2">
        <f t="shared" si="13"/>
        <v>58.299999999999983</v>
      </c>
      <c r="E52" s="2"/>
      <c r="F52" s="2"/>
      <c r="L52" s="240"/>
      <c r="N52" s="2">
        <v>6</v>
      </c>
      <c r="O52" s="2">
        <v>122</v>
      </c>
      <c r="P52" s="2"/>
    </row>
    <row r="53" spans="1:26">
      <c r="A53" s="240"/>
      <c r="B53" s="2">
        <f t="shared" si="11"/>
        <v>23</v>
      </c>
      <c r="C53" s="29">
        <f t="shared" si="12"/>
        <v>57.5</v>
      </c>
      <c r="D53" s="2">
        <f t="shared" si="13"/>
        <v>60.949999999999982</v>
      </c>
      <c r="E53" s="2"/>
      <c r="F53" s="2"/>
      <c r="L53" s="240"/>
    </row>
    <row r="54" spans="1:26">
      <c r="A54" s="240"/>
      <c r="B54" s="2">
        <f t="shared" si="11"/>
        <v>24</v>
      </c>
      <c r="C54" s="29">
        <f t="shared" si="12"/>
        <v>60</v>
      </c>
      <c r="D54" s="2">
        <f t="shared" si="13"/>
        <v>63.59999999999998</v>
      </c>
      <c r="E54" s="2"/>
      <c r="F54" s="2"/>
      <c r="L54" s="240"/>
    </row>
    <row r="55" spans="1:26">
      <c r="A55" s="240"/>
      <c r="B55" s="2">
        <f t="shared" si="11"/>
        <v>25</v>
      </c>
      <c r="C55" s="29">
        <f t="shared" si="12"/>
        <v>62.5</v>
      </c>
      <c r="D55" s="2">
        <f t="shared" si="13"/>
        <v>66.249999999999986</v>
      </c>
      <c r="E55" s="2"/>
      <c r="F55" s="2"/>
      <c r="L55" s="240"/>
    </row>
    <row r="56" spans="1:26">
      <c r="A56" s="240"/>
      <c r="B56" s="2">
        <f t="shared" si="11"/>
        <v>26</v>
      </c>
      <c r="C56" s="29">
        <f t="shared" si="12"/>
        <v>65</v>
      </c>
      <c r="D56" s="2">
        <f t="shared" si="13"/>
        <v>68.899999999999991</v>
      </c>
      <c r="E56" s="2"/>
      <c r="F56" s="2"/>
      <c r="L56" s="240"/>
    </row>
    <row r="57" spans="1:26">
      <c r="A57" s="240"/>
      <c r="B57" s="2">
        <f t="shared" si="11"/>
        <v>27</v>
      </c>
      <c r="C57" s="29">
        <f t="shared" si="12"/>
        <v>67.5</v>
      </c>
      <c r="D57" s="2">
        <f t="shared" si="13"/>
        <v>71.55</v>
      </c>
      <c r="E57" s="2"/>
      <c r="F57" s="2"/>
      <c r="L57" s="240"/>
      <c r="N57" s="33"/>
      <c r="O57" s="33"/>
      <c r="P57" s="33"/>
      <c r="Q57" s="33"/>
      <c r="R57" s="33"/>
      <c r="S57" s="33"/>
      <c r="T57" s="33"/>
      <c r="U57" s="33"/>
      <c r="V57" s="33"/>
      <c r="W57" s="33"/>
      <c r="X57" s="33"/>
      <c r="Y57" s="33"/>
      <c r="Z57" s="33"/>
    </row>
    <row r="58" spans="1:26" ht="16">
      <c r="A58" s="240"/>
      <c r="B58" s="2">
        <f t="shared" si="11"/>
        <v>28</v>
      </c>
      <c r="C58" s="29">
        <f t="shared" si="12"/>
        <v>70</v>
      </c>
      <c r="D58" s="2">
        <f t="shared" si="13"/>
        <v>74.2</v>
      </c>
      <c r="E58" s="2"/>
      <c r="F58" s="2"/>
      <c r="L58" s="240"/>
      <c r="N58" s="33"/>
      <c r="O58" s="33"/>
      <c r="P58" s="66" t="s">
        <v>311</v>
      </c>
      <c r="Q58" s="33"/>
      <c r="R58" s="33"/>
      <c r="S58" s="33"/>
      <c r="T58" s="33"/>
      <c r="U58" s="33"/>
      <c r="V58" s="33"/>
      <c r="W58" s="33"/>
      <c r="X58" s="33"/>
      <c r="Y58" s="33"/>
      <c r="Z58" s="33"/>
    </row>
    <row r="59" spans="1:26" ht="16">
      <c r="A59" s="240"/>
      <c r="B59" s="2">
        <f t="shared" si="11"/>
        <v>29</v>
      </c>
      <c r="C59" s="29">
        <f t="shared" si="12"/>
        <v>72.5</v>
      </c>
      <c r="D59" s="2">
        <f t="shared" si="13"/>
        <v>76.850000000000009</v>
      </c>
      <c r="E59" s="2"/>
      <c r="F59" s="2"/>
      <c r="L59" s="240"/>
      <c r="N59" s="33"/>
      <c r="O59" s="33"/>
      <c r="P59" s="66" t="s">
        <v>312</v>
      </c>
      <c r="Q59" s="33"/>
      <c r="R59" s="33"/>
      <c r="S59" s="33"/>
      <c r="T59" s="33"/>
      <c r="U59" s="33"/>
      <c r="V59" s="33"/>
      <c r="W59" s="33"/>
      <c r="X59" s="33"/>
      <c r="Y59" s="33"/>
      <c r="Z59" s="33"/>
    </row>
    <row r="60" spans="1:26" ht="16">
      <c r="A60" s="240"/>
      <c r="B60" s="2">
        <f t="shared" si="11"/>
        <v>30</v>
      </c>
      <c r="C60" s="29">
        <f t="shared" si="12"/>
        <v>75</v>
      </c>
      <c r="D60" s="2">
        <f t="shared" si="13"/>
        <v>79.500000000000014</v>
      </c>
      <c r="E60" s="2"/>
      <c r="F60" s="2"/>
      <c r="L60" s="240"/>
      <c r="N60" s="1"/>
      <c r="O60" s="1"/>
      <c r="P60" s="1"/>
      <c r="Q60" s="1"/>
      <c r="R60" s="1"/>
      <c r="S60" s="1"/>
      <c r="T60" s="1"/>
      <c r="U60" s="33"/>
      <c r="V60" s="33"/>
      <c r="W60" s="66"/>
      <c r="X60" s="33"/>
      <c r="Y60" s="33"/>
      <c r="Z60" s="33"/>
    </row>
    <row r="61" spans="1:26" ht="16">
      <c r="A61" s="240"/>
      <c r="L61" s="240"/>
      <c r="N61" s="1"/>
      <c r="O61" s="1"/>
      <c r="P61" s="1"/>
      <c r="Q61" s="1"/>
      <c r="R61" s="58" t="s">
        <v>328</v>
      </c>
      <c r="S61" s="1"/>
      <c r="T61" s="1"/>
      <c r="U61" s="33"/>
      <c r="V61" s="66"/>
      <c r="W61" s="33" t="s">
        <v>313</v>
      </c>
      <c r="X61" s="33"/>
      <c r="Y61" s="33"/>
      <c r="Z61" s="33"/>
    </row>
    <row r="62" spans="1:26" ht="16">
      <c r="A62" s="240"/>
      <c r="L62" s="240"/>
      <c r="N62" s="58"/>
      <c r="O62" s="1"/>
      <c r="P62" s="1"/>
      <c r="Q62" s="33"/>
      <c r="R62" s="66"/>
      <c r="S62" s="33"/>
      <c r="T62" s="33"/>
      <c r="U62" s="33"/>
      <c r="V62" s="33"/>
      <c r="W62" s="33"/>
      <c r="X62" s="33"/>
      <c r="Y62" s="33"/>
      <c r="Z62" s="33"/>
    </row>
    <row r="63" spans="1:26">
      <c r="A63" s="240"/>
      <c r="L63" s="240"/>
      <c r="N63" s="34"/>
      <c r="O63" s="34"/>
      <c r="P63" s="34"/>
      <c r="Q63" s="33"/>
      <c r="R63" s="33"/>
      <c r="S63" s="33" t="s">
        <v>314</v>
      </c>
      <c r="T63" s="33"/>
      <c r="U63" s="33"/>
      <c r="V63" s="33"/>
      <c r="W63" s="33"/>
      <c r="X63" s="33"/>
      <c r="Y63" s="33"/>
      <c r="Z63" s="33"/>
    </row>
    <row r="64" spans="1:26" ht="15">
      <c r="A64" s="240"/>
      <c r="L64" s="240"/>
      <c r="N64" s="33" t="s">
        <v>483</v>
      </c>
      <c r="O64" s="2">
        <v>660</v>
      </c>
      <c r="P64" s="33" t="s">
        <v>484</v>
      </c>
      <c r="Q64" s="33"/>
      <c r="R64" s="33"/>
      <c r="S64" s="33"/>
      <c r="T64" s="33" t="s">
        <v>282</v>
      </c>
      <c r="U64" s="33" t="s">
        <v>283</v>
      </c>
      <c r="V64" s="33" t="s">
        <v>284</v>
      </c>
      <c r="W64" s="33"/>
      <c r="X64" s="33"/>
      <c r="Y64" s="33"/>
      <c r="Z64" s="33"/>
    </row>
    <row r="65" spans="1:26" ht="15">
      <c r="A65" s="240"/>
      <c r="B65" s="58" t="s">
        <v>323</v>
      </c>
      <c r="C65" s="58" t="s">
        <v>304</v>
      </c>
      <c r="D65" s="58"/>
      <c r="L65" s="240"/>
      <c r="N65" s="33" t="s">
        <v>491</v>
      </c>
      <c r="O65" s="2">
        <v>150</v>
      </c>
      <c r="P65" s="33" t="s">
        <v>492</v>
      </c>
      <c r="Q65" s="33" t="s">
        <v>431</v>
      </c>
      <c r="R65" s="33"/>
      <c r="S65" s="70" t="s">
        <v>281</v>
      </c>
      <c r="T65" s="71">
        <v>20</v>
      </c>
      <c r="U65" s="72">
        <v>40</v>
      </c>
      <c r="V65" s="73">
        <v>60</v>
      </c>
      <c r="W65" s="33" t="s">
        <v>286</v>
      </c>
      <c r="X65" s="33"/>
      <c r="Y65" s="33"/>
      <c r="Z65" s="33"/>
    </row>
    <row r="66" spans="1:26" ht="15">
      <c r="A66" s="240"/>
      <c r="B66" s="33" t="s">
        <v>465</v>
      </c>
      <c r="C66" s="2" t="s">
        <v>466</v>
      </c>
      <c r="D66" s="33" t="s">
        <v>467</v>
      </c>
      <c r="L66" s="240"/>
      <c r="N66" s="33" t="s">
        <v>490</v>
      </c>
      <c r="O66" s="2">
        <v>333</v>
      </c>
      <c r="P66" s="33" t="s">
        <v>492</v>
      </c>
      <c r="Q66" s="33" t="s">
        <v>431</v>
      </c>
      <c r="R66" s="33"/>
      <c r="S66" s="33"/>
      <c r="T66" s="33"/>
      <c r="U66" s="33"/>
      <c r="V66" s="33"/>
      <c r="W66" s="33"/>
      <c r="X66" s="33"/>
      <c r="Y66" s="33"/>
      <c r="Z66" s="33"/>
    </row>
    <row r="67" spans="1:26" ht="15">
      <c r="A67" s="240"/>
      <c r="B67" s="33" t="s">
        <v>191</v>
      </c>
      <c r="C67" s="84">
        <f>G33</f>
        <v>2.75</v>
      </c>
      <c r="D67" s="33" t="s">
        <v>464</v>
      </c>
      <c r="L67" s="240"/>
      <c r="N67" s="33"/>
      <c r="O67" s="33"/>
      <c r="P67" s="33"/>
      <c r="Q67" s="33"/>
      <c r="R67" s="33"/>
      <c r="S67" s="33"/>
      <c r="T67" s="33"/>
      <c r="U67" s="33"/>
      <c r="V67" s="33"/>
      <c r="W67" s="33"/>
      <c r="X67" s="33"/>
      <c r="Y67" s="33"/>
      <c r="Z67" s="33"/>
    </row>
    <row r="68" spans="1:26" ht="15">
      <c r="A68" s="240"/>
      <c r="B68" s="33" t="s">
        <v>192</v>
      </c>
      <c r="C68" s="84">
        <f>G35</f>
        <v>0.75</v>
      </c>
      <c r="D68" s="33" t="s">
        <v>464</v>
      </c>
      <c r="L68" s="240"/>
      <c r="N68" s="33"/>
      <c r="O68" s="33"/>
      <c r="P68" s="33"/>
      <c r="Q68" s="33"/>
      <c r="R68" s="33"/>
      <c r="S68" s="33"/>
      <c r="T68" s="33"/>
      <c r="U68" s="33"/>
      <c r="V68" s="33"/>
      <c r="W68" s="33"/>
      <c r="X68" s="33"/>
      <c r="Y68" s="33"/>
      <c r="Z68" s="33"/>
    </row>
    <row r="69" spans="1:26" ht="15">
      <c r="A69" s="240"/>
      <c r="B69" s="33" t="s">
        <v>193</v>
      </c>
      <c r="C69" s="84">
        <f>H33</f>
        <v>4.1500000000000004</v>
      </c>
      <c r="D69" s="33" t="s">
        <v>225</v>
      </c>
      <c r="L69" s="240"/>
      <c r="N69" s="2"/>
      <c r="O69" s="2"/>
      <c r="P69" s="3"/>
      <c r="Q69" s="33"/>
      <c r="R69" s="2" t="s">
        <v>494</v>
      </c>
      <c r="S69" s="2" t="s">
        <v>495</v>
      </c>
      <c r="T69" s="33"/>
      <c r="U69" s="2" t="s">
        <v>434</v>
      </c>
      <c r="V69" s="2" t="s">
        <v>435</v>
      </c>
      <c r="W69" s="33"/>
      <c r="X69" s="2" t="s">
        <v>436</v>
      </c>
      <c r="Y69" s="33"/>
      <c r="Z69" s="33"/>
    </row>
    <row r="70" spans="1:26" ht="16">
      <c r="A70" s="240"/>
      <c r="B70" s="33" t="s">
        <v>194</v>
      </c>
      <c r="C70" s="84">
        <f>H35</f>
        <v>1.5</v>
      </c>
      <c r="D70" s="33" t="s">
        <v>225</v>
      </c>
      <c r="L70" s="240"/>
      <c r="N70" s="2"/>
      <c r="O70" s="2" t="s">
        <v>438</v>
      </c>
      <c r="P70" s="2" t="s">
        <v>439</v>
      </c>
      <c r="Q70" s="2" t="s">
        <v>489</v>
      </c>
      <c r="R70" s="2" t="s">
        <v>489</v>
      </c>
      <c r="S70" s="2" t="s">
        <v>489</v>
      </c>
      <c r="T70" s="33"/>
      <c r="U70" s="2" t="s">
        <v>432</v>
      </c>
      <c r="V70" s="2" t="s">
        <v>432</v>
      </c>
      <c r="W70" s="33"/>
      <c r="X70" s="2" t="s">
        <v>432</v>
      </c>
      <c r="Y70" s="33"/>
      <c r="Z70" s="33"/>
    </row>
    <row r="71" spans="1:26" ht="15">
      <c r="A71" s="240"/>
      <c r="D71" s="33" t="s">
        <v>485</v>
      </c>
      <c r="L71" s="240"/>
      <c r="N71" s="29"/>
      <c r="O71" s="29" t="s">
        <v>487</v>
      </c>
      <c r="P71" s="29" t="s">
        <v>488</v>
      </c>
      <c r="Q71" s="29" t="s">
        <v>325</v>
      </c>
      <c r="R71" s="29" t="s">
        <v>493</v>
      </c>
      <c r="S71" s="29" t="s">
        <v>493</v>
      </c>
      <c r="T71" s="42"/>
      <c r="U71" s="29" t="s">
        <v>433</v>
      </c>
      <c r="V71" s="29" t="s">
        <v>433</v>
      </c>
      <c r="W71" s="42"/>
      <c r="X71" s="29" t="s">
        <v>493</v>
      </c>
      <c r="Y71" s="42"/>
      <c r="Z71" s="42"/>
    </row>
    <row r="72" spans="1:26">
      <c r="A72" s="240"/>
      <c r="B72" s="33"/>
      <c r="C72" s="84"/>
      <c r="D72" s="33"/>
      <c r="L72" s="240"/>
      <c r="N72" s="40"/>
      <c r="O72" s="2">
        <v>0</v>
      </c>
      <c r="P72" s="29">
        <v>0</v>
      </c>
      <c r="Q72" s="36">
        <f>'E. Uro'!D17*1000/$O$64</f>
        <v>0</v>
      </c>
      <c r="R72" s="35">
        <f t="shared" ref="R72:R102" si="14">Q72*$O$65</f>
        <v>0</v>
      </c>
      <c r="S72" s="35">
        <f t="shared" ref="S72:S102" si="15">Q72*$O$66</f>
        <v>0</v>
      </c>
      <c r="T72" s="33"/>
      <c r="U72" s="35">
        <f>AVERAGE(R72)</f>
        <v>0</v>
      </c>
      <c r="V72" s="35">
        <f>AVERAGE(S72)</f>
        <v>0</v>
      </c>
      <c r="W72" s="33"/>
      <c r="X72" s="35">
        <f t="shared" ref="X72:X102" si="16">Q72*250</f>
        <v>0</v>
      </c>
      <c r="Y72" s="33"/>
      <c r="Z72" s="33"/>
    </row>
    <row r="73" spans="1:26">
      <c r="A73" s="240"/>
      <c r="B73" s="33"/>
      <c r="C73" s="84"/>
      <c r="D73" s="33"/>
      <c r="L73" s="240"/>
      <c r="N73" s="40"/>
      <c r="O73" s="2">
        <v>1</v>
      </c>
      <c r="P73" s="29">
        <f>P72+'E. Uro'!$B$3</f>
        <v>2.75</v>
      </c>
      <c r="Q73" s="36">
        <f>'E. Uro'!D18*1000/$O$64</f>
        <v>1.9799399082131002E-3</v>
      </c>
      <c r="R73" s="35">
        <f t="shared" si="14"/>
        <v>0.29699098623196502</v>
      </c>
      <c r="S73" s="35">
        <f t="shared" si="15"/>
        <v>0.65931998943496239</v>
      </c>
      <c r="T73" s="33"/>
      <c r="U73" s="35">
        <f>AVERAGE(R$72:R73)</f>
        <v>0.14849549311598251</v>
      </c>
      <c r="V73" s="35">
        <f>AVERAGE(S$72:S73)</f>
        <v>0.3296599947174812</v>
      </c>
      <c r="W73" s="33"/>
      <c r="X73" s="35">
        <f t="shared" si="16"/>
        <v>0.49498497705327504</v>
      </c>
      <c r="Y73" s="33"/>
      <c r="Z73" s="33"/>
    </row>
    <row r="74" spans="1:26">
      <c r="A74" s="240"/>
      <c r="B74" s="33"/>
      <c r="C74" s="63"/>
      <c r="D74" s="33"/>
      <c r="L74" s="240"/>
      <c r="N74" s="40"/>
      <c r="O74" s="2">
        <f t="shared" ref="O74:O102" si="17">O73+1</f>
        <v>2</v>
      </c>
      <c r="P74" s="29">
        <f>P73+'E. Uro'!$B$3</f>
        <v>5.5</v>
      </c>
      <c r="Q74" s="36">
        <f>'E. Uro'!D19*1000/$O$64</f>
        <v>5.1570752929204532E-3</v>
      </c>
      <c r="R74" s="35">
        <f t="shared" si="14"/>
        <v>0.77356129393806794</v>
      </c>
      <c r="S74" s="35">
        <f t="shared" si="15"/>
        <v>1.7173060725425109</v>
      </c>
      <c r="T74" s="33"/>
      <c r="U74" s="35">
        <f>AVERAGE(R$72:R74)</f>
        <v>0.35685076005667765</v>
      </c>
      <c r="V74" s="35">
        <f>AVERAGE(S$72:S74)</f>
        <v>0.79220868732582439</v>
      </c>
      <c r="W74" s="33"/>
      <c r="X74" s="35">
        <f t="shared" si="16"/>
        <v>1.2892688232301133</v>
      </c>
      <c r="Y74" s="33"/>
      <c r="Z74" s="33"/>
    </row>
    <row r="75" spans="1:26">
      <c r="A75" s="240"/>
      <c r="B75" s="33"/>
      <c r="C75" s="63"/>
      <c r="D75" s="33"/>
      <c r="L75" s="240"/>
      <c r="N75" s="40"/>
      <c r="O75" s="2">
        <f t="shared" si="17"/>
        <v>3</v>
      </c>
      <c r="P75" s="29">
        <f>P74+'E. Uro'!$B$3</f>
        <v>8.25</v>
      </c>
      <c r="Q75" s="36">
        <f>'E. Uro'!D20*1000/$O$64</f>
        <v>1.017147249986863E-2</v>
      </c>
      <c r="R75" s="35">
        <f t="shared" si="14"/>
        <v>1.5257208749802944</v>
      </c>
      <c r="S75" s="35">
        <f t="shared" si="15"/>
        <v>3.3871003424562538</v>
      </c>
      <c r="T75" s="33"/>
      <c r="U75" s="35">
        <f>AVERAGE(R$72:R75)</f>
        <v>0.64906828878758183</v>
      </c>
      <c r="V75" s="35">
        <f>AVERAGE(S$72:S75)</f>
        <v>1.4409316011084319</v>
      </c>
      <c r="W75" s="33"/>
      <c r="X75" s="35">
        <f t="shared" si="16"/>
        <v>2.5428681249671574</v>
      </c>
      <c r="Y75" s="33"/>
      <c r="Z75" s="33"/>
    </row>
    <row r="76" spans="1:26">
      <c r="A76" s="240"/>
      <c r="B76" s="33"/>
      <c r="C76" s="2"/>
      <c r="D76" s="2"/>
      <c r="E76" s="33" t="s">
        <v>202</v>
      </c>
      <c r="L76" s="240"/>
      <c r="N76" s="40"/>
      <c r="O76" s="2">
        <f t="shared" si="17"/>
        <v>4</v>
      </c>
      <c r="P76" s="29">
        <f>P75+'E. Uro'!$B$3</f>
        <v>11</v>
      </c>
      <c r="Q76" s="36">
        <f>'E. Uro'!D21*1000/$O$64</f>
        <v>2.6493253307386045E-2</v>
      </c>
      <c r="R76" s="35">
        <f t="shared" si="14"/>
        <v>3.9739879961079065</v>
      </c>
      <c r="S76" s="35">
        <f t="shared" si="15"/>
        <v>8.8222533513595529</v>
      </c>
      <c r="T76" s="33"/>
      <c r="U76" s="35">
        <f>AVERAGE(R$72:R76)</f>
        <v>1.3140522302516469</v>
      </c>
      <c r="V76" s="35">
        <f>AVERAGE(S$72:S76)</f>
        <v>2.9171959511586563</v>
      </c>
      <c r="W76" s="33"/>
      <c r="X76" s="35">
        <f t="shared" si="16"/>
        <v>6.6233133268465112</v>
      </c>
      <c r="Y76" s="33"/>
      <c r="Z76" s="33"/>
    </row>
    <row r="77" spans="1:26" ht="15">
      <c r="A77" s="240"/>
      <c r="B77" s="58" t="s">
        <v>322</v>
      </c>
      <c r="C77" s="33"/>
      <c r="D77" s="33"/>
      <c r="E77" s="65" t="s">
        <v>200</v>
      </c>
      <c r="L77" s="240"/>
      <c r="N77" s="40"/>
      <c r="O77" s="2">
        <f t="shared" si="17"/>
        <v>5</v>
      </c>
      <c r="P77" s="29">
        <f>P76+'E. Uro'!$B$3</f>
        <v>13.75</v>
      </c>
      <c r="Q77" s="36">
        <f>'E. Uro'!D22*1000/$O$64</f>
        <v>3.2535245201912734E-2</v>
      </c>
      <c r="R77" s="35">
        <f t="shared" si="14"/>
        <v>4.8802867802869097</v>
      </c>
      <c r="S77" s="35">
        <f t="shared" si="15"/>
        <v>10.834236652236941</v>
      </c>
      <c r="T77" s="33"/>
      <c r="U77" s="35">
        <f>AVERAGE(R$72:R77)</f>
        <v>1.9084246552575239</v>
      </c>
      <c r="V77" s="35">
        <f>AVERAGE(S$72:S77)</f>
        <v>4.2367027346717032</v>
      </c>
      <c r="W77" s="33"/>
      <c r="X77" s="35">
        <f t="shared" si="16"/>
        <v>8.1338113004781842</v>
      </c>
      <c r="Y77" s="33"/>
      <c r="Z77" s="33"/>
    </row>
    <row r="78" spans="1:26" ht="15">
      <c r="A78" s="240"/>
      <c r="B78" s="2" t="s">
        <v>438</v>
      </c>
      <c r="C78" s="2" t="s">
        <v>439</v>
      </c>
      <c r="D78" s="2" t="s">
        <v>198</v>
      </c>
      <c r="E78" s="2" t="s">
        <v>326</v>
      </c>
      <c r="L78" s="240"/>
      <c r="N78" s="40"/>
      <c r="O78" s="2">
        <f t="shared" si="17"/>
        <v>6</v>
      </c>
      <c r="P78" s="29">
        <f>P77+'E. Uro'!$B$3</f>
        <v>16.5</v>
      </c>
      <c r="Q78" s="36">
        <f>'E. Uro'!D23*1000/$O$64</f>
        <v>3.9303155265002943E-2</v>
      </c>
      <c r="R78" s="35">
        <f t="shared" si="14"/>
        <v>5.8954732897504414</v>
      </c>
      <c r="S78" s="35">
        <f t="shared" si="15"/>
        <v>13.08795070324598</v>
      </c>
      <c r="T78" s="33"/>
      <c r="U78" s="35">
        <f>AVERAGE(R$72:R78)</f>
        <v>2.4780030316136554</v>
      </c>
      <c r="V78" s="35">
        <f>AVERAGE(S$72:S78)</f>
        <v>5.5011667301823142</v>
      </c>
      <c r="W78" s="33"/>
      <c r="X78" s="35">
        <f t="shared" si="16"/>
        <v>9.8257888162507356</v>
      </c>
      <c r="Y78" s="33"/>
      <c r="Z78" s="33"/>
    </row>
    <row r="79" spans="1:26">
      <c r="A79" s="240"/>
      <c r="B79" s="29" t="s">
        <v>487</v>
      </c>
      <c r="C79" s="29" t="s">
        <v>488</v>
      </c>
      <c r="D79" s="29" t="s">
        <v>199</v>
      </c>
      <c r="E79" s="29" t="s">
        <v>201</v>
      </c>
      <c r="L79" s="240"/>
      <c r="N79" s="40"/>
      <c r="O79" s="2">
        <f t="shared" si="17"/>
        <v>7</v>
      </c>
      <c r="P79" s="29">
        <f>P78+'E. Uro'!$B$3</f>
        <v>19.25</v>
      </c>
      <c r="Q79" s="36">
        <f>'E. Uro'!D24*1000/$O$64</f>
        <v>4.2966026269779446E-2</v>
      </c>
      <c r="R79" s="35">
        <f t="shared" si="14"/>
        <v>6.4449039404669168</v>
      </c>
      <c r="S79" s="35">
        <f t="shared" si="15"/>
        <v>14.307686747836556</v>
      </c>
      <c r="T79" s="33"/>
      <c r="U79" s="35">
        <f>AVERAGE(R$72:R79)</f>
        <v>2.9738656452203127</v>
      </c>
      <c r="V79" s="35">
        <f>AVERAGE(S$72:S79)</f>
        <v>6.6019817323890946</v>
      </c>
      <c r="W79" s="33"/>
      <c r="X79" s="35">
        <f t="shared" si="16"/>
        <v>10.741506567444862</v>
      </c>
      <c r="Y79" s="33"/>
      <c r="Z79" s="33"/>
    </row>
    <row r="80" spans="1:26">
      <c r="A80" s="240"/>
      <c r="B80" s="2">
        <v>0</v>
      </c>
      <c r="C80" s="29">
        <v>0</v>
      </c>
      <c r="D80" s="29">
        <v>0</v>
      </c>
      <c r="E80" s="2">
        <f>0.4803*(D80^1.7773)/1000</f>
        <v>0</v>
      </c>
      <c r="L80" s="240"/>
      <c r="N80" s="40"/>
      <c r="O80" s="2">
        <f t="shared" si="17"/>
        <v>8</v>
      </c>
      <c r="P80" s="29">
        <f>P79+'E. Uro'!$B$3</f>
        <v>22</v>
      </c>
      <c r="Q80" s="36">
        <f>'E. Uro'!D25*1000/$O$64</f>
        <v>4.6818279981183902E-2</v>
      </c>
      <c r="R80" s="35">
        <f t="shared" si="14"/>
        <v>7.0227419971775857</v>
      </c>
      <c r="S80" s="35">
        <f t="shared" si="15"/>
        <v>15.590487233734239</v>
      </c>
      <c r="T80" s="33"/>
      <c r="U80" s="35">
        <f>AVERAGE(R$72:R80)</f>
        <v>3.4237407954377876</v>
      </c>
      <c r="V80" s="35">
        <f>AVERAGE(S$72:S80)</f>
        <v>7.6007045658718893</v>
      </c>
      <c r="W80" s="33"/>
      <c r="X80" s="35">
        <f t="shared" si="16"/>
        <v>11.704569995295975</v>
      </c>
      <c r="Y80" s="33"/>
      <c r="Z80" s="33"/>
    </row>
    <row r="81" spans="1:26">
      <c r="A81" s="240"/>
      <c r="B81" s="2">
        <v>1</v>
      </c>
      <c r="C81" s="29">
        <f>C80+$C$67</f>
        <v>2.75</v>
      </c>
      <c r="D81" s="29">
        <f>D80+$C$69</f>
        <v>4.1500000000000004</v>
      </c>
      <c r="E81" s="2">
        <f t="shared" ref="E81:E110" si="18">0.4803*(D81^1.7773)/1000</f>
        <v>6.0251722738497654E-3</v>
      </c>
      <c r="L81" s="240"/>
      <c r="N81" s="40"/>
      <c r="O81" s="2">
        <f t="shared" si="17"/>
        <v>9</v>
      </c>
      <c r="P81" s="29">
        <f>P80+'E. Uro'!$B$3</f>
        <v>24.75</v>
      </c>
      <c r="Q81" s="36">
        <f>'E. Uro'!D26*1000/$O$64</f>
        <v>5.0862419499743343E-2</v>
      </c>
      <c r="R81" s="35">
        <f t="shared" si="14"/>
        <v>7.6293629249615016</v>
      </c>
      <c r="S81" s="35">
        <f t="shared" si="15"/>
        <v>16.937185693414534</v>
      </c>
      <c r="T81" s="33"/>
      <c r="U81" s="35">
        <f>AVERAGE(R$72:R81)</f>
        <v>3.8443030083901588</v>
      </c>
      <c r="V81" s="35">
        <f>AVERAGE(S$72:S81)</f>
        <v>8.5343526786261528</v>
      </c>
      <c r="W81" s="33"/>
      <c r="X81" s="35">
        <f t="shared" si="16"/>
        <v>12.715604874935837</v>
      </c>
      <c r="Y81" s="33"/>
      <c r="Z81" s="33"/>
    </row>
    <row r="82" spans="1:26">
      <c r="A82" s="240"/>
      <c r="B82" s="2">
        <f t="shared" ref="B82:B110" si="19">B81+1</f>
        <v>2</v>
      </c>
      <c r="C82" s="29">
        <f>C81+$C$67</f>
        <v>5.5</v>
      </c>
      <c r="D82" s="29">
        <f>D81+$C$69</f>
        <v>8.3000000000000007</v>
      </c>
      <c r="E82" s="2">
        <f t="shared" si="18"/>
        <v>2.0653329807121049E-2</v>
      </c>
      <c r="L82" s="240"/>
      <c r="N82" s="40"/>
      <c r="O82" s="2">
        <f t="shared" si="17"/>
        <v>10</v>
      </c>
      <c r="P82" s="29">
        <f>P81+'E. Uro'!$B$3</f>
        <v>27.5</v>
      </c>
      <c r="Q82" s="36">
        <f>'E. Uro'!D27*1000/$O$64</f>
        <v>5.5100891413383674E-2</v>
      </c>
      <c r="R82" s="35">
        <f t="shared" si="14"/>
        <v>8.2651337120075503</v>
      </c>
      <c r="S82" s="35">
        <f t="shared" si="15"/>
        <v>18.348596840656764</v>
      </c>
      <c r="T82" s="33"/>
      <c r="U82" s="35">
        <f>AVERAGE(R$72:R82)</f>
        <v>4.2461967087190127</v>
      </c>
      <c r="V82" s="35">
        <f>AVERAGE(S$72:S82)</f>
        <v>9.4265566933562095</v>
      </c>
      <c r="W82" s="33"/>
      <c r="X82" s="35">
        <f t="shared" si="16"/>
        <v>13.775222853345918</v>
      </c>
      <c r="Y82" s="33"/>
      <c r="Z82" s="33"/>
    </row>
    <row r="83" spans="1:26">
      <c r="A83" s="240"/>
      <c r="B83" s="2">
        <f t="shared" si="19"/>
        <v>3</v>
      </c>
      <c r="C83" s="29">
        <f>C82+$C$67</f>
        <v>8.25</v>
      </c>
      <c r="D83" s="29">
        <f>D82+$C$69</f>
        <v>12.450000000000001</v>
      </c>
      <c r="E83" s="2">
        <f t="shared" si="18"/>
        <v>4.2457759721434271E-2</v>
      </c>
      <c r="L83" s="240"/>
      <c r="N83" s="40"/>
      <c r="O83" s="2">
        <f t="shared" si="17"/>
        <v>11</v>
      </c>
      <c r="P83" s="29">
        <f>P82+'E. Uro'!$B$3</f>
        <v>30.25</v>
      </c>
      <c r="Q83" s="36">
        <f>'E. Uro'!D28*1000/$O$64</f>
        <v>5.9536088959362361E-2</v>
      </c>
      <c r="R83" s="35">
        <f t="shared" si="14"/>
        <v>8.9304133439043536</v>
      </c>
      <c r="S83" s="35">
        <f t="shared" si="15"/>
        <v>19.825517623467665</v>
      </c>
      <c r="T83" s="33"/>
      <c r="U83" s="35">
        <f>AVERAGE(R$72:R83)</f>
        <v>4.636548094984458</v>
      </c>
      <c r="V83" s="35">
        <f>AVERAGE(S$72:S83)</f>
        <v>10.293136770865496</v>
      </c>
      <c r="W83" s="33"/>
      <c r="X83" s="35">
        <f t="shared" si="16"/>
        <v>14.88402223984059</v>
      </c>
      <c r="Y83" s="33"/>
      <c r="Z83" s="33"/>
    </row>
    <row r="84" spans="1:26">
      <c r="A84" s="240"/>
      <c r="B84" s="2">
        <f t="shared" si="19"/>
        <v>4</v>
      </c>
      <c r="C84" s="29">
        <f>C83+$C$68</f>
        <v>9</v>
      </c>
      <c r="D84" s="29">
        <f>D83+$C$70</f>
        <v>13.950000000000001</v>
      </c>
      <c r="E84" s="2">
        <f t="shared" si="18"/>
        <v>5.1971389213664503E-2</v>
      </c>
      <c r="L84" s="240"/>
      <c r="N84" s="40"/>
      <c r="O84" s="2">
        <f t="shared" si="17"/>
        <v>12</v>
      </c>
      <c r="P84" s="29">
        <f>P83+'E. Uro'!$B$3</f>
        <v>33</v>
      </c>
      <c r="Q84" s="36">
        <f>'E. Uro'!D29*1000/$O$64</f>
        <v>6.4170354910667096E-2</v>
      </c>
      <c r="R84" s="35">
        <f t="shared" si="14"/>
        <v>9.625553236600064</v>
      </c>
      <c r="S84" s="35">
        <f t="shared" si="15"/>
        <v>21.368728185252142</v>
      </c>
      <c r="T84" s="33"/>
      <c r="U84" s="35">
        <f>AVERAGE(R$72:R84)</f>
        <v>5.0203177212625816</v>
      </c>
      <c r="V84" s="35">
        <f>AVERAGE(S$72:S84)</f>
        <v>11.145105341202932</v>
      </c>
      <c r="W84" s="33"/>
      <c r="X84" s="35">
        <f t="shared" si="16"/>
        <v>16.042588727666775</v>
      </c>
      <c r="Y84" s="33"/>
      <c r="Z84" s="33"/>
    </row>
    <row r="85" spans="1:26">
      <c r="A85" s="240"/>
      <c r="B85" s="2">
        <f t="shared" si="19"/>
        <v>5</v>
      </c>
      <c r="C85" s="29">
        <f t="shared" ref="C85:C110" si="20">C84+$C$68</f>
        <v>9.75</v>
      </c>
      <c r="D85" s="29">
        <f t="shared" ref="D85:D110" si="21">D84+$C$70</f>
        <v>15.450000000000001</v>
      </c>
      <c r="E85" s="2">
        <f t="shared" si="18"/>
        <v>6.2315370404773328E-2</v>
      </c>
      <c r="L85" s="240"/>
      <c r="N85" s="40"/>
      <c r="O85" s="2">
        <f t="shared" si="17"/>
        <v>13</v>
      </c>
      <c r="P85" s="29">
        <f>P84+'E. Uro'!$B$3</f>
        <v>35.75</v>
      </c>
      <c r="Q85" s="36">
        <f>'E. Uro'!D30*1000/$O$64</f>
        <v>6.9005984218940511E-2</v>
      </c>
      <c r="R85" s="35">
        <f t="shared" si="14"/>
        <v>10.350897632841077</v>
      </c>
      <c r="S85" s="35">
        <f t="shared" si="15"/>
        <v>22.978992744907192</v>
      </c>
      <c r="T85" s="33"/>
      <c r="U85" s="35">
        <f>AVERAGE(R$72:R85)</f>
        <v>5.4010734292324747</v>
      </c>
      <c r="V85" s="35">
        <f>AVERAGE(S$72:S85)</f>
        <v>11.990383012896093</v>
      </c>
      <c r="W85" s="33"/>
      <c r="X85" s="35">
        <f t="shared" si="16"/>
        <v>17.251496054735128</v>
      </c>
      <c r="Y85" s="33"/>
      <c r="Z85" s="33"/>
    </row>
    <row r="86" spans="1:26">
      <c r="A86" s="240"/>
      <c r="B86" s="2">
        <f t="shared" si="19"/>
        <v>6</v>
      </c>
      <c r="C86" s="29">
        <f t="shared" si="20"/>
        <v>10.5</v>
      </c>
      <c r="D86" s="29">
        <f t="shared" si="21"/>
        <v>16.950000000000003</v>
      </c>
      <c r="E86" s="2">
        <f t="shared" si="18"/>
        <v>7.3470991198995014E-2</v>
      </c>
      <c r="L86" s="240"/>
      <c r="N86" s="40"/>
      <c r="O86" s="2">
        <f t="shared" si="17"/>
        <v>14</v>
      </c>
      <c r="P86" s="29">
        <f>P85+'E. Uro'!$B$3</f>
        <v>38.5</v>
      </c>
      <c r="Q86" s="36">
        <f>'E. Uro'!D31*1000/$O$64</f>
        <v>7.4045226441380146E-2</v>
      </c>
      <c r="R86" s="35">
        <f t="shared" si="14"/>
        <v>11.106783966207022</v>
      </c>
      <c r="S86" s="35">
        <f t="shared" si="15"/>
        <v>24.657060404979589</v>
      </c>
      <c r="T86" s="33"/>
      <c r="U86" s="35">
        <f>AVERAGE(R$72:R86)</f>
        <v>5.7814541316974442</v>
      </c>
      <c r="V86" s="35">
        <f>AVERAGE(S$72:S86)</f>
        <v>12.834828172368328</v>
      </c>
      <c r="W86" s="33"/>
      <c r="X86" s="35">
        <f t="shared" si="16"/>
        <v>18.511306610345038</v>
      </c>
      <c r="Y86" s="33"/>
      <c r="Z86" s="33"/>
    </row>
    <row r="87" spans="1:26">
      <c r="A87" s="240"/>
      <c r="B87" s="2">
        <f t="shared" si="19"/>
        <v>7</v>
      </c>
      <c r="C87" s="29">
        <f t="shared" si="20"/>
        <v>11.25</v>
      </c>
      <c r="D87" s="29">
        <f t="shared" si="21"/>
        <v>18.450000000000003</v>
      </c>
      <c r="E87" s="2">
        <f t="shared" si="18"/>
        <v>8.5421646054223477E-2</v>
      </c>
      <c r="L87" s="240"/>
      <c r="N87" s="40"/>
      <c r="O87" s="2">
        <f t="shared" si="17"/>
        <v>15</v>
      </c>
      <c r="P87" s="29">
        <f>P86+'E. Uro'!$B$3</f>
        <v>41.25</v>
      </c>
      <c r="Q87" s="36">
        <f>'E. Uro'!D32*1000/$O$64</f>
        <v>7.9290287975236948E-2</v>
      </c>
      <c r="R87" s="35">
        <f t="shared" si="14"/>
        <v>11.893543196285542</v>
      </c>
      <c r="S87" s="35">
        <f t="shared" si="15"/>
        <v>26.403665895753903</v>
      </c>
      <c r="T87" s="33"/>
      <c r="U87" s="37">
        <f>AVERAGE(R$72:R87)</f>
        <v>6.1634596982342007</v>
      </c>
      <c r="V87" s="37">
        <f>AVERAGE(S$72:S87)</f>
        <v>13.682880530079926</v>
      </c>
      <c r="W87" s="33"/>
      <c r="X87" s="35">
        <f t="shared" si="16"/>
        <v>19.822571993809238</v>
      </c>
      <c r="Y87" s="35">
        <f>AVERAGE(X$72:X87)</f>
        <v>10.272432830390335</v>
      </c>
      <c r="Z87" s="35"/>
    </row>
    <row r="88" spans="1:26">
      <c r="A88" s="240"/>
      <c r="B88" s="2">
        <f t="shared" si="19"/>
        <v>8</v>
      </c>
      <c r="C88" s="29">
        <f t="shared" si="20"/>
        <v>12</v>
      </c>
      <c r="D88" s="29">
        <f t="shared" si="21"/>
        <v>19.950000000000003</v>
      </c>
      <c r="E88" s="2">
        <f t="shared" si="18"/>
        <v>9.8152440571023084E-2</v>
      </c>
      <c r="L88" s="240"/>
      <c r="N88" s="40"/>
      <c r="O88" s="2">
        <f t="shared" si="17"/>
        <v>16</v>
      </c>
      <c r="P88" s="29">
        <f>P87+'E. Uro'!$B$5</f>
        <v>45.4</v>
      </c>
      <c r="Q88" s="36">
        <f>'E. Uro'!D33*1000/$O$64</f>
        <v>8.4743334120337327E-2</v>
      </c>
      <c r="R88" s="35">
        <f t="shared" si="14"/>
        <v>12.7115001180506</v>
      </c>
      <c r="S88" s="35">
        <f t="shared" si="15"/>
        <v>28.219530262072329</v>
      </c>
      <c r="T88" s="33"/>
      <c r="U88" s="35">
        <f>AVERAGE(R$72:R88)</f>
        <v>6.5486385464586947</v>
      </c>
      <c r="V88" s="35">
        <f>AVERAGE(S$72:S88)</f>
        <v>14.537977573138303</v>
      </c>
      <c r="W88" s="33"/>
      <c r="X88" s="35">
        <f t="shared" si="16"/>
        <v>21.185833530084331</v>
      </c>
      <c r="Y88" s="35">
        <f>AVERAGE(X$72:X88)</f>
        <v>10.914397577431158</v>
      </c>
      <c r="Z88" s="35"/>
    </row>
    <row r="89" spans="1:26">
      <c r="A89" s="240"/>
      <c r="B89" s="2">
        <f t="shared" si="19"/>
        <v>9</v>
      </c>
      <c r="C89" s="29">
        <f t="shared" si="20"/>
        <v>12.75</v>
      </c>
      <c r="D89" s="29">
        <f t="shared" si="21"/>
        <v>21.450000000000003</v>
      </c>
      <c r="E89" s="2">
        <f t="shared" si="18"/>
        <v>0.11164989545386189</v>
      </c>
      <c r="L89" s="240"/>
      <c r="N89" s="40"/>
      <c r="O89" s="2">
        <f t="shared" si="17"/>
        <v>17</v>
      </c>
      <c r="P89" s="29">
        <f>P88+'E. Uro'!$B$5</f>
        <v>49.55</v>
      </c>
      <c r="Q89" s="36">
        <f>'E. Uro'!D34*1000/$O$64</f>
        <v>9.0406490987365612E-2</v>
      </c>
      <c r="R89" s="35">
        <f t="shared" si="14"/>
        <v>13.560973648104842</v>
      </c>
      <c r="S89" s="35">
        <f t="shared" si="15"/>
        <v>30.10536149879275</v>
      </c>
      <c r="T89" s="33"/>
      <c r="U89" s="35">
        <f>AVERAGE(R$72:R89)</f>
        <v>6.9382127187723688</v>
      </c>
      <c r="V89" s="35">
        <f>AVERAGE(S$72:S89)</f>
        <v>15.40283223567466</v>
      </c>
      <c r="W89" s="33"/>
      <c r="X89" s="35">
        <f t="shared" si="16"/>
        <v>22.601622746841404</v>
      </c>
      <c r="Y89" s="35">
        <f>AVERAGE(X$72:X89)</f>
        <v>11.563687864620615</v>
      </c>
      <c r="Z89" s="35"/>
    </row>
    <row r="90" spans="1:26">
      <c r="A90" s="240"/>
      <c r="B90" s="2">
        <f t="shared" si="19"/>
        <v>10</v>
      </c>
      <c r="C90" s="29">
        <f t="shared" si="20"/>
        <v>13.5</v>
      </c>
      <c r="D90" s="29">
        <f t="shared" si="21"/>
        <v>22.950000000000003</v>
      </c>
      <c r="E90" s="2">
        <f t="shared" si="18"/>
        <v>0.12590171945214368</v>
      </c>
      <c r="L90" s="240"/>
      <c r="N90" s="40"/>
      <c r="O90" s="2">
        <f t="shared" si="17"/>
        <v>18</v>
      </c>
      <c r="P90" s="29">
        <f>P89+'E. Uro'!$B$5</f>
        <v>53.699999999999996</v>
      </c>
      <c r="Q90" s="36">
        <f>'E. Uro'!D35*1000/$O$64</f>
        <v>9.6281847267379067E-2</v>
      </c>
      <c r="R90" s="35">
        <f t="shared" si="14"/>
        <v>14.44227709010686</v>
      </c>
      <c r="S90" s="35">
        <f t="shared" si="15"/>
        <v>32.061855140037231</v>
      </c>
      <c r="T90" s="33"/>
      <c r="U90" s="35">
        <f>AVERAGE(R$72:R90)</f>
        <v>7.3331634751583952</v>
      </c>
      <c r="V90" s="35">
        <f>AVERAGE(S$72:S90)</f>
        <v>16.279622914851636</v>
      </c>
      <c r="W90" s="33"/>
      <c r="X90" s="35">
        <f t="shared" si="16"/>
        <v>24.070461816844766</v>
      </c>
      <c r="Y90" s="35">
        <f>AVERAGE(X$72:X90)</f>
        <v>12.221939125263992</v>
      </c>
      <c r="Z90" s="35"/>
    </row>
    <row r="91" spans="1:26">
      <c r="A91" s="240"/>
      <c r="B91" s="2">
        <f t="shared" si="19"/>
        <v>11</v>
      </c>
      <c r="C91" s="29">
        <f t="shared" si="20"/>
        <v>14.25</v>
      </c>
      <c r="D91" s="29">
        <f t="shared" si="21"/>
        <v>24.450000000000003</v>
      </c>
      <c r="E91" s="2">
        <f t="shared" si="18"/>
        <v>0.14089663162007585</v>
      </c>
      <c r="L91" s="240"/>
      <c r="N91" s="40"/>
      <c r="O91" s="2">
        <f t="shared" si="17"/>
        <v>19</v>
      </c>
      <c r="P91" s="29">
        <f>P90+'E. Uro'!$B$5</f>
        <v>57.849999999999994</v>
      </c>
      <c r="Q91" s="36">
        <f>'E. Uro'!D36*1000/$O$64</f>
        <v>0.10237145587609806</v>
      </c>
      <c r="R91" s="35">
        <f t="shared" si="14"/>
        <v>15.355718381414709</v>
      </c>
      <c r="S91" s="35">
        <f t="shared" si="15"/>
        <v>34.089694806740653</v>
      </c>
      <c r="T91" s="33"/>
      <c r="U91" s="35">
        <f>AVERAGE(R$72:R91)</f>
        <v>7.7342912204712109</v>
      </c>
      <c r="V91" s="35">
        <f>AVERAGE(S$72:S91)</f>
        <v>17.170126509446089</v>
      </c>
      <c r="W91" s="33"/>
      <c r="X91" s="35">
        <f t="shared" si="16"/>
        <v>25.592863969024513</v>
      </c>
      <c r="Y91" s="35">
        <f>AVERAGE(X$72:X91)</f>
        <v>12.890485367452019</v>
      </c>
      <c r="Z91" s="35"/>
    </row>
    <row r="92" spans="1:26">
      <c r="A92" s="240"/>
      <c r="B92" s="2">
        <f t="shared" si="19"/>
        <v>12</v>
      </c>
      <c r="C92" s="29">
        <f t="shared" si="20"/>
        <v>15</v>
      </c>
      <c r="D92" s="29">
        <f t="shared" si="21"/>
        <v>25.950000000000003</v>
      </c>
      <c r="E92" s="2">
        <f t="shared" si="18"/>
        <v>0.15662421973309992</v>
      </c>
      <c r="L92" s="240"/>
      <c r="N92" s="40"/>
      <c r="O92" s="2">
        <f t="shared" si="17"/>
        <v>20</v>
      </c>
      <c r="P92" s="29">
        <f>P91+'E. Uro'!$B$5</f>
        <v>61.999999999999993</v>
      </c>
      <c r="Q92" s="36">
        <f>'E. Uro'!D37*1000/$O$64</f>
        <v>0.10867733548487563</v>
      </c>
      <c r="R92" s="35">
        <f t="shared" si="14"/>
        <v>16.301600322731343</v>
      </c>
      <c r="S92" s="35">
        <f t="shared" si="15"/>
        <v>36.189552716463581</v>
      </c>
      <c r="T92" s="33"/>
      <c r="U92" s="37">
        <f>AVERAGE(R$72:R92)</f>
        <v>8.1422583205788364</v>
      </c>
      <c r="V92" s="37">
        <f>AVERAGE(S$72:S92)</f>
        <v>18.075813471685017</v>
      </c>
      <c r="W92" s="33"/>
      <c r="X92" s="35">
        <f t="shared" si="16"/>
        <v>27.169333871218907</v>
      </c>
      <c r="Y92" s="35">
        <f>AVERAGE(X$72:X92)</f>
        <v>13.57043053429806</v>
      </c>
      <c r="Z92" s="35"/>
    </row>
    <row r="93" spans="1:26">
      <c r="A93" s="240"/>
      <c r="B93" s="2">
        <f t="shared" si="19"/>
        <v>13</v>
      </c>
      <c r="C93" s="29">
        <f t="shared" si="20"/>
        <v>15.75</v>
      </c>
      <c r="D93" s="29">
        <f t="shared" si="21"/>
        <v>27.450000000000003</v>
      </c>
      <c r="E93" s="2">
        <f t="shared" si="18"/>
        <v>0.17307482578831962</v>
      </c>
      <c r="L93" s="240"/>
      <c r="N93" s="40"/>
      <c r="O93" s="2">
        <f t="shared" si="17"/>
        <v>21</v>
      </c>
      <c r="P93" s="29">
        <f>P92+'E. Uro'!$B$5</f>
        <v>66.149999999999991</v>
      </c>
      <c r="Q93" s="36">
        <f>'E. Uro'!D38*1000/$O$64</f>
        <v>0.1152014719488425</v>
      </c>
      <c r="R93" s="35">
        <f t="shared" si="14"/>
        <v>17.280220792326375</v>
      </c>
      <c r="S93" s="35">
        <f t="shared" si="15"/>
        <v>38.362090158964556</v>
      </c>
      <c r="T93" s="33"/>
      <c r="U93" s="35">
        <f>AVERAGE(R$72:R93)</f>
        <v>8.5576202511128141</v>
      </c>
      <c r="V93" s="35">
        <f>AVERAGE(S$72:S93)</f>
        <v>18.997916957470451</v>
      </c>
      <c r="W93" s="33"/>
      <c r="X93" s="35">
        <f t="shared" si="16"/>
        <v>28.800367987210628</v>
      </c>
      <c r="Y93" s="35">
        <f>AVERAGE(X$72:X93)</f>
        <v>14.262700418521359</v>
      </c>
      <c r="Z93" s="33"/>
    </row>
    <row r="94" spans="1:26">
      <c r="A94" s="240"/>
      <c r="B94" s="2">
        <f t="shared" si="19"/>
        <v>14</v>
      </c>
      <c r="C94" s="29">
        <f t="shared" si="20"/>
        <v>16.5</v>
      </c>
      <c r="D94" s="29">
        <f t="shared" si="21"/>
        <v>28.950000000000003</v>
      </c>
      <c r="E94" s="2">
        <f t="shared" si="18"/>
        <v>0.19023945217601043</v>
      </c>
      <c r="L94" s="240"/>
      <c r="N94" s="40"/>
      <c r="O94" s="2">
        <f t="shared" si="17"/>
        <v>22</v>
      </c>
      <c r="P94" s="29">
        <f>P93+'E. Uro'!$B$5</f>
        <v>70.3</v>
      </c>
      <c r="Q94" s="36">
        <f>'E. Uro'!D39*1000/$O$64</f>
        <v>0.12194581964151674</v>
      </c>
      <c r="R94" s="35">
        <f t="shared" si="14"/>
        <v>18.29187294622751</v>
      </c>
      <c r="S94" s="35">
        <f t="shared" si="15"/>
        <v>40.607957940625077</v>
      </c>
      <c r="T94" s="33"/>
      <c r="U94" s="35">
        <f>AVERAGE(R$72:R94)</f>
        <v>8.9808486291612777</v>
      </c>
      <c r="V94" s="35">
        <f>AVERAGE(S$72:S94)</f>
        <v>19.937483956738046</v>
      </c>
      <c r="W94" s="33"/>
      <c r="X94" s="35">
        <f t="shared" si="16"/>
        <v>30.486454910379184</v>
      </c>
      <c r="Y94" s="35">
        <f>AVERAGE(X$72:X94)</f>
        <v>14.968081048602132</v>
      </c>
      <c r="Z94" s="33"/>
    </row>
    <row r="95" spans="1:26">
      <c r="A95" s="240"/>
      <c r="B95" s="2">
        <f t="shared" si="19"/>
        <v>15</v>
      </c>
      <c r="C95" s="29">
        <f t="shared" si="20"/>
        <v>17.25</v>
      </c>
      <c r="D95" s="29">
        <f t="shared" si="21"/>
        <v>30.450000000000003</v>
      </c>
      <c r="E95" s="2">
        <f t="shared" si="18"/>
        <v>0.20810968388877002</v>
      </c>
      <c r="L95" s="240"/>
      <c r="N95" s="40"/>
      <c r="O95" s="2">
        <f t="shared" si="17"/>
        <v>23</v>
      </c>
      <c r="P95" s="29">
        <f>P94+'E. Uro'!$B$5</f>
        <v>74.45</v>
      </c>
      <c r="Q95" s="36">
        <f>'E. Uro'!D40*1000/$O$64</f>
        <v>0.12891230270412107</v>
      </c>
      <c r="R95" s="35">
        <f t="shared" si="14"/>
        <v>19.33684540561816</v>
      </c>
      <c r="S95" s="35">
        <f t="shared" si="15"/>
        <v>42.927796800472315</v>
      </c>
      <c r="T95" s="33"/>
      <c r="U95" s="35">
        <f>AVERAGE(R$72:R95)</f>
        <v>9.4123484948469827</v>
      </c>
      <c r="V95" s="35">
        <f>AVERAGE(S$72:S95)</f>
        <v>20.895413658560305</v>
      </c>
      <c r="W95" s="33"/>
      <c r="X95" s="35">
        <f t="shared" si="16"/>
        <v>32.228075676030265</v>
      </c>
      <c r="Y95" s="35">
        <f>AVERAGE(X$72:X95)</f>
        <v>15.687247491411638</v>
      </c>
      <c r="Z95" s="33"/>
    </row>
    <row r="96" spans="1:26">
      <c r="A96" s="240"/>
      <c r="B96" s="2">
        <f t="shared" si="19"/>
        <v>16</v>
      </c>
      <c r="C96" s="29">
        <f t="shared" si="20"/>
        <v>18</v>
      </c>
      <c r="D96" s="29">
        <f t="shared" si="21"/>
        <v>31.950000000000003</v>
      </c>
      <c r="E96" s="2">
        <f t="shared" si="18"/>
        <v>0.22667762335537647</v>
      </c>
      <c r="L96" s="240"/>
      <c r="N96" s="40"/>
      <c r="O96" s="2">
        <f t="shared" si="17"/>
        <v>24</v>
      </c>
      <c r="P96" s="29">
        <f>P95+'E. Uro'!$B$5</f>
        <v>78.600000000000009</v>
      </c>
      <c r="Q96" s="36">
        <f>'E. Uro'!D41*1000/$O$64</f>
        <v>0.13610281621694917</v>
      </c>
      <c r="R96" s="35">
        <f t="shared" si="14"/>
        <v>20.415422432542375</v>
      </c>
      <c r="S96" s="35">
        <f t="shared" si="15"/>
        <v>45.322237800244075</v>
      </c>
      <c r="T96" s="33"/>
      <c r="U96" s="35">
        <f>AVERAGE(R$72:R96)</f>
        <v>9.8524714523547985</v>
      </c>
      <c r="V96" s="35">
        <f>AVERAGE(S$72:S96)</f>
        <v>21.872486624227658</v>
      </c>
      <c r="W96" s="33"/>
      <c r="X96" s="35">
        <f t="shared" si="16"/>
        <v>34.025704054237295</v>
      </c>
      <c r="Y96" s="35">
        <f>AVERAGE(X$72:X96)</f>
        <v>16.420785753924662</v>
      </c>
      <c r="Z96" s="33"/>
    </row>
    <row r="97" spans="1:26">
      <c r="A97" s="240"/>
      <c r="B97" s="2">
        <f t="shared" si="19"/>
        <v>17</v>
      </c>
      <c r="C97" s="29">
        <f t="shared" si="20"/>
        <v>18.75</v>
      </c>
      <c r="D97" s="29">
        <f t="shared" si="21"/>
        <v>33.450000000000003</v>
      </c>
      <c r="E97" s="2">
        <f t="shared" si="18"/>
        <v>0.24593583534208083</v>
      </c>
      <c r="L97" s="240"/>
      <c r="N97" s="40"/>
      <c r="O97" s="2">
        <f t="shared" si="17"/>
        <v>25</v>
      </c>
      <c r="P97" s="29">
        <f>P96+'E. Uro'!$B$5</f>
        <v>82.750000000000014</v>
      </c>
      <c r="Q97" s="36">
        <f>'E. Uro'!D42*1000/$O$64</f>
        <v>0.14351922729933156</v>
      </c>
      <c r="R97" s="35">
        <f t="shared" si="14"/>
        <v>21.527884094899733</v>
      </c>
      <c r="S97" s="35">
        <f t="shared" si="15"/>
        <v>47.791902690677411</v>
      </c>
      <c r="T97" s="33"/>
      <c r="U97" s="35">
        <f>AVERAGE(R$72:R97)</f>
        <v>10.301525784760372</v>
      </c>
      <c r="V97" s="35">
        <f>AVERAGE(S$72:S97)</f>
        <v>22.869387242168031</v>
      </c>
      <c r="W97" s="33"/>
      <c r="X97" s="35">
        <f t="shared" si="16"/>
        <v>35.87980682483289</v>
      </c>
      <c r="Y97" s="35">
        <f>AVERAGE(X$72:X97)</f>
        <v>17.169209641267287</v>
      </c>
      <c r="Z97" s="33"/>
    </row>
    <row r="98" spans="1:26">
      <c r="A98" s="240"/>
      <c r="B98" s="2">
        <f t="shared" si="19"/>
        <v>18</v>
      </c>
      <c r="C98" s="29">
        <f t="shared" si="20"/>
        <v>19.5</v>
      </c>
      <c r="D98" s="29">
        <f t="shared" si="21"/>
        <v>34.950000000000003</v>
      </c>
      <c r="E98" s="2">
        <f t="shared" si="18"/>
        <v>0.26587729997569598</v>
      </c>
      <c r="L98" s="240"/>
      <c r="N98" s="40"/>
      <c r="O98" s="2">
        <f t="shared" si="17"/>
        <v>26</v>
      </c>
      <c r="P98" s="29">
        <f>P97+'E. Uro'!$B$5</f>
        <v>86.90000000000002</v>
      </c>
      <c r="Q98" s="36">
        <f>'E. Uro'!D43*1000/$O$64</f>
        <v>0.15116337614407027</v>
      </c>
      <c r="R98" s="35">
        <f t="shared" si="14"/>
        <v>22.674506421610541</v>
      </c>
      <c r="S98" s="35">
        <f t="shared" si="15"/>
        <v>50.3374042559754</v>
      </c>
      <c r="T98" s="33"/>
      <c r="U98" s="35">
        <f>AVERAGE(R$72:R98)</f>
        <v>10.759784326865933</v>
      </c>
      <c r="V98" s="35">
        <f>AVERAGE(S$72:S98)</f>
        <v>23.886721205642381</v>
      </c>
      <c r="W98" s="33"/>
      <c r="X98" s="35">
        <f t="shared" si="16"/>
        <v>37.790844036017567</v>
      </c>
      <c r="Y98" s="35">
        <f>AVERAGE(X$72:X98)</f>
        <v>17.932973878109891</v>
      </c>
      <c r="Z98" s="33"/>
    </row>
    <row r="99" spans="1:26">
      <c r="A99" s="240"/>
      <c r="B99" s="2">
        <f t="shared" si="19"/>
        <v>19</v>
      </c>
      <c r="C99" s="29">
        <f t="shared" si="20"/>
        <v>20.25</v>
      </c>
      <c r="D99" s="29">
        <f t="shared" si="21"/>
        <v>36.450000000000003</v>
      </c>
      <c r="E99" s="2">
        <f t="shared" si="18"/>
        <v>0.28649537238775991</v>
      </c>
      <c r="L99" s="240"/>
      <c r="N99" s="40"/>
      <c r="O99" s="2">
        <f t="shared" si="17"/>
        <v>27</v>
      </c>
      <c r="P99" s="29">
        <f>P98+'E. Uro'!$B$5</f>
        <v>91.050000000000026</v>
      </c>
      <c r="Q99" s="36">
        <f>'E. Uro'!D44*1000/$O$64</f>
        <v>0.15903707699160566</v>
      </c>
      <c r="R99" s="35">
        <f t="shared" si="14"/>
        <v>23.855561548740848</v>
      </c>
      <c r="S99" s="35">
        <f t="shared" si="15"/>
        <v>52.959346638204686</v>
      </c>
      <c r="T99" s="33"/>
      <c r="U99" s="35">
        <f>AVERAGE(R$72:R99)</f>
        <v>11.22749065621861</v>
      </c>
      <c r="V99" s="35">
        <f>AVERAGE(S$72:S99)</f>
        <v>24.92502925680532</v>
      </c>
      <c r="W99" s="33"/>
      <c r="X99" s="35">
        <f t="shared" si="16"/>
        <v>39.759269247901415</v>
      </c>
      <c r="Y99" s="35">
        <f>AVERAGE(X$72:X99)</f>
        <v>18.712484427031018</v>
      </c>
      <c r="Z99" s="33"/>
    </row>
    <row r="100" spans="1:26">
      <c r="A100" s="240"/>
      <c r="B100" s="2">
        <f t="shared" si="19"/>
        <v>20</v>
      </c>
      <c r="C100" s="29">
        <f t="shared" si="20"/>
        <v>21</v>
      </c>
      <c r="D100" s="29">
        <f t="shared" si="21"/>
        <v>37.950000000000003</v>
      </c>
      <c r="E100" s="2">
        <f t="shared" si="18"/>
        <v>0.30778374780776535</v>
      </c>
      <c r="L100" s="240"/>
      <c r="N100" s="40"/>
      <c r="O100" s="2">
        <f t="shared" si="17"/>
        <v>28</v>
      </c>
      <c r="P100" s="29">
        <f>P99+'E. Uro'!$B$5</f>
        <v>95.200000000000031</v>
      </c>
      <c r="Q100" s="36">
        <f>'E. Uro'!D45*1000/$O$64</f>
        <v>0.16714211904865539</v>
      </c>
      <c r="R100" s="35">
        <f t="shared" si="14"/>
        <v>25.071317857298308</v>
      </c>
      <c r="S100" s="35">
        <f t="shared" si="15"/>
        <v>55.658325643202247</v>
      </c>
      <c r="T100" s="33"/>
      <c r="U100" s="35">
        <f>AVERAGE(R$72:R100)</f>
        <v>11.70486400797998</v>
      </c>
      <c r="V100" s="35">
        <f>AVERAGE(S$72:S100)</f>
        <v>25.984798097715561</v>
      </c>
      <c r="W100" s="33"/>
      <c r="X100" s="35">
        <f t="shared" si="16"/>
        <v>41.785529762163847</v>
      </c>
      <c r="Y100" s="35">
        <f>AVERAGE(X$72:X100)</f>
        <v>19.50810667996663</v>
      </c>
      <c r="Z100" s="33"/>
    </row>
    <row r="101" spans="1:26">
      <c r="A101" s="240"/>
      <c r="B101" s="2">
        <f t="shared" si="19"/>
        <v>21</v>
      </c>
      <c r="C101" s="29">
        <f t="shared" si="20"/>
        <v>21.75</v>
      </c>
      <c r="D101" s="29">
        <f t="shared" si="21"/>
        <v>39.450000000000003</v>
      </c>
      <c r="E101" s="2">
        <f t="shared" si="18"/>
        <v>0.32973643117980944</v>
      </c>
      <c r="L101" s="240"/>
      <c r="N101" s="40"/>
      <c r="O101" s="2">
        <f t="shared" si="17"/>
        <v>29</v>
      </c>
      <c r="P101" s="29">
        <f>P100+'E. Uro'!$B$5</f>
        <v>99.350000000000037</v>
      </c>
      <c r="Q101" s="36">
        <f>'E. Uro'!D46*1000/$O$64</f>
        <v>0.17548026735559483</v>
      </c>
      <c r="R101" s="35">
        <f t="shared" si="14"/>
        <v>26.322040103339223</v>
      </c>
      <c r="S101" s="35">
        <f t="shared" si="15"/>
        <v>58.434929029413077</v>
      </c>
      <c r="T101" s="33"/>
      <c r="U101" s="35">
        <f>AVERAGE(R$72:R101)</f>
        <v>12.192103211158621</v>
      </c>
      <c r="V101" s="35">
        <f>AVERAGE(S$72:S101)</f>
        <v>27.066469128772145</v>
      </c>
      <c r="W101" s="33"/>
      <c r="X101" s="35">
        <f t="shared" si="16"/>
        <v>43.870066838898708</v>
      </c>
      <c r="Y101" s="35">
        <f>AVERAGE(X$72:X101)</f>
        <v>20.320172018597699</v>
      </c>
      <c r="Z101" s="33"/>
    </row>
    <row r="102" spans="1:26">
      <c r="A102" s="240"/>
      <c r="B102" s="2">
        <f t="shared" si="19"/>
        <v>22</v>
      </c>
      <c r="C102" s="29">
        <f t="shared" si="20"/>
        <v>22.5</v>
      </c>
      <c r="D102" s="29">
        <f t="shared" si="21"/>
        <v>40.950000000000003</v>
      </c>
      <c r="E102" s="2">
        <f t="shared" si="18"/>
        <v>0.35234771056404146</v>
      </c>
      <c r="L102" s="240"/>
      <c r="N102" s="40"/>
      <c r="O102" s="2">
        <f t="shared" si="17"/>
        <v>30</v>
      </c>
      <c r="P102" s="29">
        <f>P101+'E. Uro'!$B$5</f>
        <v>103.50000000000004</v>
      </c>
      <c r="Q102" s="36">
        <f>'E. Uro'!D47*1000/$O$64</f>
        <v>0.1840532636064458</v>
      </c>
      <c r="R102" s="35">
        <f t="shared" si="14"/>
        <v>27.607989540966869</v>
      </c>
      <c r="S102" s="35">
        <f t="shared" si="15"/>
        <v>61.289736780946455</v>
      </c>
      <c r="T102" s="33"/>
      <c r="U102" s="37">
        <f>AVERAGE(R$72:R102)</f>
        <v>12.689389866958887</v>
      </c>
      <c r="V102" s="37">
        <f>AVERAGE(S$72:S102)</f>
        <v>28.170445504648733</v>
      </c>
      <c r="W102" s="33"/>
      <c r="X102" s="35">
        <f t="shared" si="16"/>
        <v>46.013315901611449</v>
      </c>
      <c r="Y102" s="35">
        <f>AVERAGE(X$72:X102)</f>
        <v>21.148983111598142</v>
      </c>
      <c r="Z102" s="33"/>
    </row>
    <row r="103" spans="1:26">
      <c r="A103" s="240"/>
      <c r="B103" s="2">
        <f t="shared" si="19"/>
        <v>23</v>
      </c>
      <c r="C103" s="29">
        <f t="shared" si="20"/>
        <v>23.25</v>
      </c>
      <c r="D103" s="29">
        <f t="shared" si="21"/>
        <v>42.45</v>
      </c>
      <c r="E103" s="2">
        <f t="shared" si="18"/>
        <v>0.37561213372794322</v>
      </c>
      <c r="L103" s="240"/>
      <c r="N103" s="33"/>
      <c r="O103" s="33"/>
      <c r="P103" s="33"/>
      <c r="Q103" s="36"/>
      <c r="R103" s="36"/>
      <c r="S103" s="36"/>
      <c r="T103" s="36"/>
      <c r="U103" s="35"/>
      <c r="V103" s="35"/>
      <c r="W103" s="33"/>
      <c r="X103" s="35"/>
      <c r="Y103" s="35"/>
      <c r="Z103" s="33"/>
    </row>
    <row r="104" spans="1:26">
      <c r="A104" s="240"/>
      <c r="B104" s="2">
        <f t="shared" si="19"/>
        <v>24</v>
      </c>
      <c r="C104" s="29">
        <f t="shared" si="20"/>
        <v>24</v>
      </c>
      <c r="D104" s="29">
        <f t="shared" si="21"/>
        <v>43.95</v>
      </c>
      <c r="E104" s="2">
        <f t="shared" si="18"/>
        <v>0.39952448744404345</v>
      </c>
      <c r="L104" s="240"/>
      <c r="N104" s="46"/>
      <c r="O104" s="46"/>
      <c r="P104" s="46"/>
      <c r="Q104" s="36"/>
      <c r="R104" s="36"/>
      <c r="S104" s="35"/>
      <c r="T104" s="35"/>
      <c r="U104" s="33"/>
      <c r="V104" s="35"/>
      <c r="W104" s="35"/>
      <c r="X104" s="33"/>
      <c r="Y104" s="35"/>
      <c r="Z104" s="33"/>
    </row>
    <row r="105" spans="1:26">
      <c r="A105" s="240"/>
      <c r="B105" s="2">
        <f t="shared" si="19"/>
        <v>25</v>
      </c>
      <c r="C105" s="29">
        <f t="shared" si="20"/>
        <v>24.75</v>
      </c>
      <c r="D105" s="29">
        <f t="shared" si="21"/>
        <v>45.45</v>
      </c>
      <c r="E105" s="2">
        <f t="shared" si="18"/>
        <v>0.42407977909814965</v>
      </c>
      <c r="L105" s="240"/>
      <c r="N105" s="36"/>
      <c r="O105" s="36"/>
      <c r="P105" s="36"/>
      <c r="Q105" s="36"/>
      <c r="R105" s="36"/>
      <c r="S105" s="35"/>
      <c r="T105" s="35"/>
      <c r="U105" s="33"/>
      <c r="V105" s="35"/>
      <c r="W105" s="35"/>
      <c r="X105" s="33"/>
      <c r="Y105" s="35"/>
      <c r="Z105" s="33"/>
    </row>
    <row r="106" spans="1:26">
      <c r="A106" s="240"/>
      <c r="B106" s="2">
        <f t="shared" si="19"/>
        <v>26</v>
      </c>
      <c r="C106" s="29">
        <f t="shared" si="20"/>
        <v>25.5</v>
      </c>
      <c r="D106" s="29">
        <f t="shared" si="21"/>
        <v>46.95</v>
      </c>
      <c r="E106" s="2">
        <f t="shared" si="18"/>
        <v>0.44927322028143424</v>
      </c>
      <c r="L106" s="240"/>
    </row>
    <row r="107" spans="1:26">
      <c r="A107" s="240"/>
      <c r="B107" s="2">
        <f t="shared" si="19"/>
        <v>27</v>
      </c>
      <c r="C107" s="29">
        <f t="shared" si="20"/>
        <v>26.25</v>
      </c>
      <c r="D107" s="29">
        <f t="shared" si="21"/>
        <v>48.45</v>
      </c>
      <c r="E107" s="2">
        <f t="shared" si="18"/>
        <v>0.47510021209500519</v>
      </c>
      <c r="L107" s="240"/>
    </row>
    <row r="108" spans="1:26">
      <c r="A108" s="240"/>
      <c r="B108" s="2">
        <f t="shared" si="19"/>
        <v>28</v>
      </c>
      <c r="C108" s="29">
        <f t="shared" si="20"/>
        <v>27</v>
      </c>
      <c r="D108" s="29">
        <f t="shared" si="21"/>
        <v>49.95</v>
      </c>
      <c r="E108" s="2">
        <f t="shared" si="18"/>
        <v>0.50155633194005511</v>
      </c>
      <c r="L108" s="240"/>
    </row>
    <row r="109" spans="1:26">
      <c r="A109" s="240"/>
      <c r="B109" s="2">
        <f t="shared" si="19"/>
        <v>29</v>
      </c>
      <c r="C109" s="29">
        <f t="shared" si="20"/>
        <v>27.75</v>
      </c>
      <c r="D109" s="29">
        <f t="shared" si="21"/>
        <v>51.45</v>
      </c>
      <c r="E109" s="2">
        <f t="shared" si="18"/>
        <v>0.52863732160276133</v>
      </c>
      <c r="L109" s="240"/>
    </row>
    <row r="110" spans="1:26">
      <c r="A110" s="240"/>
      <c r="B110" s="2">
        <f t="shared" si="19"/>
        <v>30</v>
      </c>
      <c r="C110" s="29">
        <f t="shared" si="20"/>
        <v>28.5</v>
      </c>
      <c r="D110" s="29">
        <f t="shared" si="21"/>
        <v>52.95</v>
      </c>
      <c r="E110" s="2">
        <f t="shared" si="18"/>
        <v>0.55633907647252767</v>
      </c>
      <c r="L110" s="240"/>
    </row>
    <row r="111" spans="1:26">
      <c r="A111" s="240"/>
      <c r="L111" s="240"/>
    </row>
    <row r="112" spans="1:26">
      <c r="A112" s="240"/>
      <c r="B112" s="58" t="s">
        <v>602</v>
      </c>
      <c r="L112" s="240"/>
    </row>
    <row r="113" spans="1:12">
      <c r="A113" s="240"/>
      <c r="B113" t="s">
        <v>150</v>
      </c>
      <c r="G113" s="33" t="s">
        <v>151</v>
      </c>
      <c r="H113">
        <v>0.50590000000000002</v>
      </c>
      <c r="I113" s="33" t="s">
        <v>146</v>
      </c>
      <c r="L113" s="240"/>
    </row>
    <row r="114" spans="1:12">
      <c r="A114" s="240"/>
      <c r="B114" t="s">
        <v>177</v>
      </c>
      <c r="C114" t="s">
        <v>178</v>
      </c>
      <c r="D114" t="s">
        <v>179</v>
      </c>
      <c r="E114" s="33" t="s">
        <v>144</v>
      </c>
      <c r="F114" t="s">
        <v>181</v>
      </c>
      <c r="G114" t="s">
        <v>182</v>
      </c>
      <c r="H114" t="s">
        <v>183</v>
      </c>
      <c r="L114" s="240"/>
    </row>
    <row r="115" spans="1:12">
      <c r="A115" s="240"/>
      <c r="B115">
        <v>0.45300000000000001</v>
      </c>
      <c r="D115">
        <v>0.56399999999999995</v>
      </c>
      <c r="E115" s="33">
        <v>0.50849999999999995</v>
      </c>
      <c r="G115" t="s">
        <v>147</v>
      </c>
      <c r="H115" t="s">
        <v>148</v>
      </c>
      <c r="L115" s="240"/>
    </row>
    <row r="116" spans="1:12">
      <c r="A116" s="240"/>
      <c r="B116">
        <v>0.54</v>
      </c>
      <c r="D116">
        <v>0.56999999999999995</v>
      </c>
      <c r="E116" s="33">
        <v>0.55499999999999905</v>
      </c>
      <c r="G116" t="s">
        <v>147</v>
      </c>
      <c r="H116" t="s">
        <v>149</v>
      </c>
      <c r="L116" s="240"/>
    </row>
    <row r="117" spans="1:12">
      <c r="A117" s="240"/>
      <c r="C117">
        <v>0.41</v>
      </c>
      <c r="E117" s="33">
        <v>0.41</v>
      </c>
      <c r="G117" t="s">
        <v>147</v>
      </c>
      <c r="H117" t="s">
        <v>140</v>
      </c>
      <c r="L117" s="240"/>
    </row>
    <row r="118" spans="1:12">
      <c r="A118" s="240"/>
      <c r="C118">
        <v>0.55000000000000004</v>
      </c>
      <c r="E118" s="33">
        <v>0.55000000000000004</v>
      </c>
      <c r="G118" t="s">
        <v>147</v>
      </c>
      <c r="H118" t="s">
        <v>140</v>
      </c>
      <c r="L118" s="240"/>
    </row>
    <row r="119" spans="1:12">
      <c r="A119" s="240"/>
      <c r="L119" s="240"/>
    </row>
    <row r="120" spans="1:12">
      <c r="A120" s="240"/>
      <c r="L120" s="240"/>
    </row>
    <row r="121" spans="1:12">
      <c r="A121" s="240"/>
      <c r="B121" t="s">
        <v>256</v>
      </c>
      <c r="G121" s="33" t="s">
        <v>257</v>
      </c>
      <c r="L121" s="240"/>
    </row>
    <row r="122" spans="1:12" ht="14">
      <c r="A122" s="240"/>
      <c r="B122" s="78"/>
      <c r="C122" s="93" t="s">
        <v>268</v>
      </c>
      <c r="F122" s="255" t="s">
        <v>603</v>
      </c>
      <c r="L122" s="240"/>
    </row>
    <row r="123" spans="1:12" ht="14">
      <c r="A123" s="240"/>
      <c r="B123" s="78"/>
      <c r="F123" s="255" t="s">
        <v>269</v>
      </c>
      <c r="L123" s="240"/>
    </row>
    <row r="124" spans="1:12" ht="14">
      <c r="A124" s="240"/>
      <c r="B124" s="78" t="s">
        <v>111</v>
      </c>
      <c r="C124" s="92" t="s">
        <v>112</v>
      </c>
      <c r="D124" s="33" t="s">
        <v>113</v>
      </c>
      <c r="F124" s="13"/>
      <c r="L124" s="240"/>
    </row>
    <row r="125" spans="1:12">
      <c r="A125" s="240"/>
      <c r="L125" s="240"/>
    </row>
    <row r="126" spans="1:12">
      <c r="A126" s="240"/>
      <c r="L126" s="240"/>
    </row>
    <row r="127" spans="1:12">
      <c r="A127" s="240"/>
      <c r="L127" s="240"/>
    </row>
    <row r="128" spans="1:12">
      <c r="A128" s="240"/>
      <c r="L128" s="240"/>
    </row>
    <row r="129" spans="1:12">
      <c r="A129" s="240"/>
      <c r="B129" t="s">
        <v>100</v>
      </c>
      <c r="L129" s="240"/>
    </row>
    <row r="130" spans="1:12">
      <c r="A130" s="240"/>
      <c r="B130" t="s">
        <v>116</v>
      </c>
      <c r="L130" s="240"/>
    </row>
    <row r="131" spans="1:12">
      <c r="A131" s="240"/>
      <c r="L131" s="240"/>
    </row>
    <row r="132" spans="1:12" ht="129" customHeight="1">
      <c r="A132" s="240"/>
      <c r="B132" s="851" t="s">
        <v>607</v>
      </c>
      <c r="C132" s="851"/>
      <c r="D132" s="851"/>
      <c r="E132" s="851"/>
      <c r="F132" s="851"/>
      <c r="G132" s="851"/>
      <c r="H132" s="851"/>
      <c r="I132" s="851"/>
      <c r="J132" s="851"/>
      <c r="K132" s="851"/>
      <c r="L132" s="240"/>
    </row>
    <row r="133" spans="1:12">
      <c r="A133" s="240"/>
      <c r="L133" s="240"/>
    </row>
    <row r="134" spans="1:12">
      <c r="A134" s="240"/>
      <c r="L134" s="240"/>
    </row>
    <row r="135" spans="1:12">
      <c r="A135" s="240"/>
      <c r="L135" s="240"/>
    </row>
    <row r="136" spans="1:12">
      <c r="A136" s="240"/>
      <c r="L136" s="240"/>
    </row>
    <row r="137" spans="1:12">
      <c r="A137" s="240"/>
      <c r="L137" s="240"/>
    </row>
    <row r="138" spans="1:12">
      <c r="L138" s="240"/>
    </row>
    <row r="139" spans="1:12">
      <c r="L139" s="240"/>
    </row>
  </sheetData>
  <mergeCells count="4">
    <mergeCell ref="AC11:AH13"/>
    <mergeCell ref="F23:K23"/>
    <mergeCell ref="F18:K18"/>
    <mergeCell ref="B132:K132"/>
  </mergeCells>
  <phoneticPr fontId="6" type="noConversion"/>
  <hyperlinks>
    <hyperlink ref="AC6" r:id="rId1" xr:uid="{00000000-0004-0000-0B00-000000000000}"/>
    <hyperlink ref="AC7" r:id="rId2" xr:uid="{00000000-0004-0000-0B00-000001000000}"/>
  </hyperlinks>
  <pageMargins left="0.75" right="0.75" top="1" bottom="1" header="0.5" footer="0.5"/>
  <pageSetup paperSize="9" orientation="portrait" horizontalDpi="4294967292" verticalDpi="429496729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BR105"/>
  <sheetViews>
    <sheetView workbookViewId="0">
      <selection activeCell="I14" sqref="I14"/>
    </sheetView>
  </sheetViews>
  <sheetFormatPr baseColWidth="10" defaultColWidth="11.1640625" defaultRowHeight="13"/>
  <cols>
    <col min="1" max="1" width="4.1640625" style="229" customWidth="1"/>
    <col min="4" max="6" width="10.83203125" style="2"/>
    <col min="23" max="23" width="4.5" style="229" customWidth="1"/>
    <col min="33" max="34" width="11.83203125" bestFit="1" customWidth="1"/>
  </cols>
  <sheetData>
    <row r="1" spans="1:70">
      <c r="A1" s="240"/>
      <c r="B1" s="58" t="s">
        <v>588</v>
      </c>
      <c r="F1" s="2" t="s">
        <v>189</v>
      </c>
      <c r="H1" s="2">
        <v>60</v>
      </c>
      <c r="I1" s="33" t="s">
        <v>190</v>
      </c>
      <c r="J1" s="80" t="s">
        <v>361</v>
      </c>
      <c r="N1" t="s">
        <v>386</v>
      </c>
      <c r="P1" s="2"/>
      <c r="Q1" s="2"/>
      <c r="W1" s="240"/>
      <c r="X1" s="58" t="s">
        <v>589</v>
      </c>
    </row>
    <row r="2" spans="1:70">
      <c r="A2" s="240"/>
      <c r="N2" t="s">
        <v>382</v>
      </c>
      <c r="O2">
        <v>333</v>
      </c>
      <c r="P2" s="2" t="s">
        <v>383</v>
      </c>
      <c r="Q2" s="2" t="s">
        <v>387</v>
      </c>
      <c r="W2" s="240"/>
    </row>
    <row r="3" spans="1:70">
      <c r="A3" s="240"/>
      <c r="B3" t="s">
        <v>388</v>
      </c>
      <c r="N3" t="s">
        <v>384</v>
      </c>
      <c r="O3" t="s">
        <v>385</v>
      </c>
      <c r="P3" s="2" t="s">
        <v>383</v>
      </c>
      <c r="Q3" s="2"/>
      <c r="W3" s="240"/>
      <c r="AT3" s="117"/>
      <c r="AU3" s="33" t="s">
        <v>505</v>
      </c>
      <c r="AV3" s="33"/>
      <c r="AW3" s="33"/>
      <c r="AX3" s="33"/>
      <c r="AY3" s="33"/>
      <c r="AZ3" s="33"/>
      <c r="BH3" s="229"/>
      <c r="BI3" s="229"/>
    </row>
    <row r="4" spans="1:70">
      <c r="A4" s="240"/>
      <c r="B4" s="2" t="s">
        <v>420</v>
      </c>
      <c r="C4" s="2" t="s">
        <v>421</v>
      </c>
      <c r="D4" s="2" t="s">
        <v>427</v>
      </c>
      <c r="E4" s="2" t="s">
        <v>427</v>
      </c>
      <c r="F4" s="2" t="s">
        <v>430</v>
      </c>
      <c r="W4" s="240"/>
      <c r="AT4" s="117"/>
      <c r="AU4" s="33" t="s">
        <v>502</v>
      </c>
      <c r="AV4" s="33"/>
      <c r="AW4" s="33"/>
      <c r="AX4" s="33"/>
      <c r="AY4" s="33"/>
      <c r="AZ4" s="33" t="s">
        <v>506</v>
      </c>
      <c r="BH4" s="229"/>
      <c r="BI4" s="229"/>
    </row>
    <row r="5" spans="1:70">
      <c r="A5" s="240"/>
      <c r="B5" s="2" t="s">
        <v>422</v>
      </c>
      <c r="C5" s="2" t="s">
        <v>423</v>
      </c>
      <c r="D5" s="2" t="s">
        <v>428</v>
      </c>
      <c r="E5" s="2" t="s">
        <v>429</v>
      </c>
      <c r="F5" s="2" t="s">
        <v>411</v>
      </c>
      <c r="G5" s="1" t="s">
        <v>419</v>
      </c>
      <c r="W5" s="240"/>
      <c r="AT5" s="1"/>
      <c r="AU5" s="1"/>
      <c r="AV5" s="1"/>
      <c r="AW5" s="1"/>
      <c r="AX5" s="1"/>
      <c r="AY5" s="1"/>
      <c r="AZ5" s="1"/>
      <c r="BH5" s="229"/>
      <c r="BI5" s="229"/>
    </row>
    <row r="6" spans="1:70">
      <c r="A6" s="240"/>
      <c r="E6" s="2">
        <v>7.97</v>
      </c>
      <c r="F6" s="2">
        <v>3.99</v>
      </c>
      <c r="G6" t="s">
        <v>412</v>
      </c>
      <c r="H6" s="5" t="s">
        <v>413</v>
      </c>
      <c r="N6" s="5" t="s">
        <v>414</v>
      </c>
      <c r="W6" s="240"/>
      <c r="AT6" s="1"/>
      <c r="AU6" s="1"/>
      <c r="AV6" s="1"/>
      <c r="AW6" s="1"/>
      <c r="AX6" s="58" t="s">
        <v>328</v>
      </c>
      <c r="AY6" s="1"/>
      <c r="AZ6" s="1"/>
      <c r="BA6" s="33"/>
      <c r="BB6" s="33"/>
      <c r="BC6" s="33"/>
      <c r="BD6" s="33"/>
      <c r="BE6" s="33"/>
      <c r="BF6" s="33"/>
      <c r="BG6" s="33"/>
      <c r="BH6" s="229"/>
      <c r="BI6" s="229"/>
      <c r="BJ6" s="33"/>
      <c r="BK6" s="33"/>
      <c r="BL6" s="33"/>
      <c r="BM6" s="33"/>
      <c r="BN6" s="33"/>
      <c r="BO6" s="33"/>
      <c r="BP6" s="33"/>
      <c r="BQ6" s="33"/>
      <c r="BR6" s="33"/>
    </row>
    <row r="7" spans="1:70">
      <c r="A7" s="240"/>
      <c r="B7" s="2"/>
      <c r="C7" s="2"/>
      <c r="F7" s="2">
        <v>6.92</v>
      </c>
      <c r="G7" t="s">
        <v>415</v>
      </c>
      <c r="H7" s="4"/>
      <c r="J7" s="6" t="s">
        <v>418</v>
      </c>
      <c r="W7" s="240"/>
      <c r="AT7" s="34"/>
      <c r="AU7" s="34"/>
      <c r="AV7" s="34"/>
      <c r="AW7" s="34"/>
      <c r="AX7" s="34"/>
      <c r="AY7" s="34"/>
      <c r="AZ7" s="34"/>
      <c r="BH7" s="229"/>
      <c r="BI7" s="229"/>
    </row>
    <row r="8" spans="1:70" ht="15">
      <c r="A8" s="240"/>
      <c r="B8" s="2">
        <v>1.25</v>
      </c>
      <c r="C8" s="2">
        <v>1</v>
      </c>
      <c r="G8" s="8" t="s">
        <v>424</v>
      </c>
      <c r="J8" t="s">
        <v>442</v>
      </c>
      <c r="N8" t="s">
        <v>443</v>
      </c>
      <c r="Q8" t="s">
        <v>444</v>
      </c>
      <c r="U8" t="s">
        <v>445</v>
      </c>
      <c r="W8" s="240"/>
      <c r="X8" t="s">
        <v>446</v>
      </c>
      <c r="Y8" t="s">
        <v>447</v>
      </c>
      <c r="AT8" s="117"/>
      <c r="AU8" s="33"/>
      <c r="AV8" s="33"/>
      <c r="AW8" s="33"/>
      <c r="AX8" t="s">
        <v>483</v>
      </c>
      <c r="AY8" s="2">
        <v>660</v>
      </c>
      <c r="AZ8" t="s">
        <v>484</v>
      </c>
      <c r="BB8" s="33"/>
      <c r="BH8" s="229"/>
      <c r="BI8" s="229"/>
    </row>
    <row r="9" spans="1:70" ht="15">
      <c r="A9" s="240"/>
      <c r="B9" s="2"/>
      <c r="C9" s="2"/>
      <c r="D9" s="2">
        <f>AVERAGE(5,7.5)</f>
        <v>6.25</v>
      </c>
      <c r="E9" s="2">
        <f>AVERAGE(4.9,7.3)</f>
        <v>6.1</v>
      </c>
      <c r="G9" t="s">
        <v>462</v>
      </c>
      <c r="H9" s="9" t="s">
        <v>463</v>
      </c>
      <c r="W9" s="240"/>
      <c r="AH9">
        <f>EXP(-2.289)</f>
        <v>0.10136777896585017</v>
      </c>
      <c r="AM9" s="2" t="s">
        <v>416</v>
      </c>
      <c r="AT9" s="117"/>
      <c r="AU9" s="33"/>
      <c r="AV9" s="33"/>
      <c r="AW9" s="33"/>
      <c r="AX9" t="s">
        <v>491</v>
      </c>
      <c r="AY9" s="2">
        <v>150</v>
      </c>
      <c r="AZ9" t="s">
        <v>492</v>
      </c>
      <c r="BA9" t="s">
        <v>431</v>
      </c>
      <c r="BB9" s="33"/>
      <c r="BH9" s="229"/>
      <c r="BI9" s="229"/>
    </row>
    <row r="10" spans="1:70" ht="15">
      <c r="A10" s="240"/>
      <c r="B10" s="2">
        <v>1</v>
      </c>
      <c r="C10" s="2"/>
      <c r="G10" t="s">
        <v>380</v>
      </c>
      <c r="J10" s="10" t="s">
        <v>381</v>
      </c>
      <c r="W10" s="240"/>
      <c r="AM10" s="2"/>
      <c r="AT10" s="117"/>
      <c r="AU10" s="33"/>
      <c r="AV10" s="33"/>
      <c r="AW10" s="33"/>
      <c r="AX10" t="s">
        <v>490</v>
      </c>
      <c r="AY10" s="2">
        <v>333</v>
      </c>
      <c r="AZ10" t="s">
        <v>492</v>
      </c>
      <c r="BA10" t="s">
        <v>431</v>
      </c>
      <c r="BB10" s="33"/>
      <c r="BF10" s="58" t="s">
        <v>329</v>
      </c>
      <c r="BH10" s="229"/>
      <c r="BI10" s="229"/>
    </row>
    <row r="11" spans="1:70" ht="16">
      <c r="A11" s="240"/>
      <c r="D11" s="20">
        <v>38.1</v>
      </c>
      <c r="G11" t="s">
        <v>362</v>
      </c>
      <c r="I11" s="19" t="s">
        <v>361</v>
      </c>
      <c r="W11" s="240"/>
      <c r="AH11" t="s">
        <v>459</v>
      </c>
      <c r="AM11" s="2">
        <v>940</v>
      </c>
      <c r="AT11" s="117"/>
      <c r="AU11" s="33"/>
      <c r="AV11" s="33"/>
      <c r="AW11" s="33"/>
      <c r="AX11" s="33"/>
      <c r="AY11" s="33"/>
      <c r="AZ11" s="33"/>
      <c r="BA11" s="33"/>
      <c r="BB11" s="33"/>
      <c r="BC11" s="33"/>
      <c r="BD11" s="33"/>
      <c r="BE11" s="33"/>
      <c r="BF11" s="33"/>
      <c r="BG11" s="33"/>
      <c r="BH11" s="229"/>
      <c r="BI11" s="229"/>
      <c r="BJ11" s="62"/>
      <c r="BK11" s="33"/>
      <c r="BL11" s="33"/>
      <c r="BM11" s="33"/>
      <c r="BN11" s="33"/>
      <c r="BO11" s="33"/>
      <c r="BP11" s="33"/>
      <c r="BQ11" s="33"/>
      <c r="BR11" s="33"/>
    </row>
    <row r="12" spans="1:70" ht="17">
      <c r="A12" s="240"/>
      <c r="D12" s="2" t="s">
        <v>363</v>
      </c>
      <c r="G12" t="s">
        <v>364</v>
      </c>
      <c r="I12" s="19" t="s">
        <v>361</v>
      </c>
      <c r="Q12" t="s">
        <v>590</v>
      </c>
      <c r="R12" s="12" t="s">
        <v>392</v>
      </c>
      <c r="W12" s="240"/>
      <c r="Y12" s="28" t="s">
        <v>401</v>
      </c>
      <c r="AH12" s="13" t="s">
        <v>394</v>
      </c>
      <c r="AL12" s="21" t="s">
        <v>365</v>
      </c>
      <c r="AT12" s="117"/>
      <c r="AU12" s="33"/>
      <c r="AV12" s="33"/>
      <c r="AW12" s="33"/>
      <c r="AX12" s="33"/>
      <c r="AY12" s="33"/>
      <c r="AZ12" s="33"/>
      <c r="BA12" s="33"/>
      <c r="BB12" s="33"/>
      <c r="BC12" s="33"/>
      <c r="BD12" s="33"/>
      <c r="BE12" s="33"/>
      <c r="BF12" s="33"/>
      <c r="BG12" s="33"/>
      <c r="BH12" s="229"/>
      <c r="BI12" s="229"/>
      <c r="BJ12" s="62" t="s">
        <v>587</v>
      </c>
      <c r="BK12" s="33" t="s">
        <v>330</v>
      </c>
      <c r="BL12" s="33"/>
      <c r="BM12" s="33"/>
      <c r="BN12" s="33"/>
      <c r="BO12" s="33"/>
      <c r="BP12" s="33"/>
      <c r="BQ12" s="33"/>
      <c r="BR12" s="33"/>
    </row>
    <row r="13" spans="1:70" ht="15">
      <c r="A13" s="240"/>
      <c r="D13" s="26" t="s">
        <v>372</v>
      </c>
      <c r="G13" s="27" t="s">
        <v>395</v>
      </c>
      <c r="H13" t="s">
        <v>371</v>
      </c>
      <c r="N13" s="2" t="s">
        <v>405</v>
      </c>
      <c r="O13" s="2" t="s">
        <v>406</v>
      </c>
      <c r="P13" s="2" t="s">
        <v>407</v>
      </c>
      <c r="Q13" s="2" t="s">
        <v>409</v>
      </c>
      <c r="W13" s="240"/>
      <c r="Y13" s="2" t="s">
        <v>405</v>
      </c>
      <c r="Z13" s="2" t="s">
        <v>406</v>
      </c>
      <c r="AA13" s="2" t="s">
        <v>407</v>
      </c>
      <c r="AB13" s="2" t="s">
        <v>409</v>
      </c>
      <c r="AG13" s="2" t="s">
        <v>409</v>
      </c>
      <c r="AL13" s="24" t="s">
        <v>482</v>
      </c>
      <c r="AN13" t="s">
        <v>460</v>
      </c>
      <c r="AO13" t="s">
        <v>461</v>
      </c>
      <c r="AQ13" t="s">
        <v>458</v>
      </c>
      <c r="AT13" s="2"/>
      <c r="AU13" s="3"/>
      <c r="AW13" s="2" t="s">
        <v>494</v>
      </c>
      <c r="AX13" s="2" t="s">
        <v>495</v>
      </c>
      <c r="AZ13" s="2" t="s">
        <v>434</v>
      </c>
      <c r="BA13" s="2" t="s">
        <v>435</v>
      </c>
      <c r="BC13" s="2" t="s">
        <v>436</v>
      </c>
      <c r="BH13" s="233" t="s">
        <v>480</v>
      </c>
      <c r="BI13" s="192" t="s">
        <v>321</v>
      </c>
      <c r="BJ13" s="3" t="s">
        <v>486</v>
      </c>
      <c r="BK13" s="3" t="s">
        <v>437</v>
      </c>
    </row>
    <row r="14" spans="1:70" ht="15">
      <c r="A14" s="240"/>
      <c r="D14" s="2" t="s">
        <v>396</v>
      </c>
      <c r="G14" t="s">
        <v>397</v>
      </c>
      <c r="H14" t="s">
        <v>399</v>
      </c>
      <c r="M14" s="2" t="s">
        <v>404</v>
      </c>
      <c r="N14" s="2" t="s">
        <v>403</v>
      </c>
      <c r="O14" s="2" t="s">
        <v>403</v>
      </c>
      <c r="P14" s="2" t="s">
        <v>403</v>
      </c>
      <c r="Q14" s="2" t="s">
        <v>403</v>
      </c>
      <c r="W14" s="240"/>
      <c r="X14" s="2" t="s">
        <v>404</v>
      </c>
      <c r="Y14" s="2" t="s">
        <v>408</v>
      </c>
      <c r="Z14" s="2" t="s">
        <v>408</v>
      </c>
      <c r="AA14" s="2" t="s">
        <v>408</v>
      </c>
      <c r="AB14" s="2" t="s">
        <v>408</v>
      </c>
      <c r="AF14" s="2" t="s">
        <v>404</v>
      </c>
      <c r="AG14" s="2" t="s">
        <v>403</v>
      </c>
      <c r="AH14" s="2" t="s">
        <v>454</v>
      </c>
      <c r="AI14" s="2" t="s">
        <v>450</v>
      </c>
      <c r="AJ14" s="2" t="s">
        <v>456</v>
      </c>
      <c r="AL14" s="2" t="s">
        <v>454</v>
      </c>
      <c r="AM14" s="2" t="s">
        <v>450</v>
      </c>
      <c r="AN14" s="2" t="s">
        <v>455</v>
      </c>
      <c r="AO14" s="2" t="s">
        <v>455</v>
      </c>
      <c r="AQ14" s="2" t="s">
        <v>454</v>
      </c>
      <c r="AT14" s="2" t="s">
        <v>438</v>
      </c>
      <c r="AU14" s="2" t="s">
        <v>439</v>
      </c>
      <c r="AV14" s="2" t="s">
        <v>489</v>
      </c>
      <c r="AW14" s="2" t="s">
        <v>489</v>
      </c>
      <c r="AX14" s="2" t="s">
        <v>489</v>
      </c>
      <c r="AZ14" s="2" t="s">
        <v>432</v>
      </c>
      <c r="BA14" s="2" t="s">
        <v>432</v>
      </c>
      <c r="BC14" s="2" t="s">
        <v>432</v>
      </c>
      <c r="BG14" s="2" t="str">
        <f>'S. Macro'!A14</f>
        <v>Age</v>
      </c>
      <c r="BH14" s="234" t="s">
        <v>439</v>
      </c>
      <c r="BI14" s="192" t="s">
        <v>320</v>
      </c>
      <c r="BJ14" s="2" t="s">
        <v>327</v>
      </c>
      <c r="BK14" s="2" t="s">
        <v>327</v>
      </c>
    </row>
    <row r="15" spans="1:70" ht="15">
      <c r="A15" s="240"/>
      <c r="D15" s="2" t="s">
        <v>398</v>
      </c>
      <c r="G15" t="s">
        <v>360</v>
      </c>
      <c r="H15" t="s">
        <v>399</v>
      </c>
      <c r="M15" s="2">
        <v>0</v>
      </c>
      <c r="N15" s="2">
        <f>2.443*((1.207)^M15)</f>
        <v>2.4430000000000001</v>
      </c>
      <c r="O15" s="2">
        <f>1.736*((1.184)^M15)</f>
        <v>1.736</v>
      </c>
      <c r="P15" s="2">
        <f>0.919*((1.267)^M15)</f>
        <v>0.91900000000000004</v>
      </c>
      <c r="Q15" s="29">
        <v>0</v>
      </c>
      <c r="W15" s="240"/>
      <c r="X15" s="2">
        <v>0</v>
      </c>
      <c r="Y15" s="2">
        <f>0.0003158*(N15^1.974723)</f>
        <v>1.8426952576399845E-3</v>
      </c>
      <c r="Z15" s="2">
        <f>0.0003158*(O15^1.974723)</f>
        <v>9.3854795782791201E-4</v>
      </c>
      <c r="AA15" s="2">
        <f>0.0003158*(P15^1.974723)</f>
        <v>2.6728243690769295E-4</v>
      </c>
      <c r="AB15" s="2">
        <f>0.0003158*(Q15^1.974723)</f>
        <v>0</v>
      </c>
      <c r="AF15" s="2">
        <v>0</v>
      </c>
      <c r="AG15" s="29">
        <v>0</v>
      </c>
      <c r="AH15" s="32" t="e">
        <f>EXP(-2.289+2.649*LN(AG15)-0.021*(LN(AG15))^2)</f>
        <v>#NUM!</v>
      </c>
      <c r="AI15" s="31" t="e">
        <f>(AH15)/$AM$11</f>
        <v>#NUM!</v>
      </c>
      <c r="AJ15" t="e">
        <f t="shared" ref="AJ15:AJ31" si="0">AI15*$AH$57</f>
        <v>#NUM!</v>
      </c>
      <c r="AL15" s="30">
        <f>0.048*(AG15^2.68)</f>
        <v>0</v>
      </c>
      <c r="AM15" s="31">
        <f>(AL15)/$AM$11</f>
        <v>0</v>
      </c>
      <c r="AN15">
        <f t="shared" ref="AN15:AN31" si="1">AM15*$AH$57</f>
        <v>0</v>
      </c>
      <c r="AO15">
        <f>AM15*$AH$55</f>
        <v>0</v>
      </c>
      <c r="AQ15" s="30">
        <f>0.048*(AG15^2.68)</f>
        <v>0</v>
      </c>
      <c r="AT15" s="29" t="s">
        <v>487</v>
      </c>
      <c r="AU15" s="29" t="s">
        <v>488</v>
      </c>
      <c r="AV15" s="29" t="s">
        <v>325</v>
      </c>
      <c r="AW15" s="29" t="s">
        <v>493</v>
      </c>
      <c r="AX15" s="29" t="s">
        <v>493</v>
      </c>
      <c r="AY15" s="42"/>
      <c r="AZ15" s="29" t="s">
        <v>433</v>
      </c>
      <c r="BA15" s="29" t="s">
        <v>433</v>
      </c>
      <c r="BB15" s="42"/>
      <c r="BC15" s="29" t="s">
        <v>493</v>
      </c>
      <c r="BD15" s="42"/>
      <c r="BE15" s="42"/>
      <c r="BF15" s="42"/>
      <c r="BG15" s="29" t="str">
        <f>'S. Macro'!A15</f>
        <v>(yr)</v>
      </c>
      <c r="BH15" s="235" t="s">
        <v>488</v>
      </c>
      <c r="BI15" s="29" t="s">
        <v>333</v>
      </c>
      <c r="BJ15" s="29" t="s">
        <v>373</v>
      </c>
      <c r="BK15" s="29" t="s">
        <v>373</v>
      </c>
      <c r="BL15" s="42"/>
      <c r="BM15" s="42"/>
      <c r="BN15" s="42"/>
      <c r="BO15" s="42"/>
      <c r="BP15" s="42"/>
      <c r="BQ15" s="42"/>
      <c r="BR15" s="42"/>
    </row>
    <row r="16" spans="1:70">
      <c r="A16" s="240"/>
      <c r="D16" s="2">
        <v>18.5</v>
      </c>
      <c r="G16" t="s">
        <v>402</v>
      </c>
      <c r="L16">
        <f>N16-N15</f>
        <v>0.50570100000000018</v>
      </c>
      <c r="M16" s="2">
        <v>1</v>
      </c>
      <c r="N16" s="2">
        <f t="shared" ref="N16:N31" si="2">2.443*((1.207)^M16)</f>
        <v>2.9487010000000002</v>
      </c>
      <c r="O16" s="2">
        <f t="shared" ref="O16:O31" si="3">1.736*((1.184)^M16)</f>
        <v>2.0554239999999999</v>
      </c>
      <c r="P16" s="2">
        <f t="shared" ref="P16:P31" si="4">0.919*((1.267)^M16)</f>
        <v>1.1643729999999999</v>
      </c>
      <c r="Q16" s="29">
        <f>Q15+1.25</f>
        <v>1.25</v>
      </c>
      <c r="W16" s="240"/>
      <c r="X16" s="2">
        <v>1</v>
      </c>
      <c r="Y16" s="2">
        <f t="shared" ref="Y16:Y31" si="5">0.0003158*(N16^1.974723)</f>
        <v>2.6717926062222001E-3</v>
      </c>
      <c r="Z16" s="2">
        <f t="shared" ref="Z16:Z31" si="6">0.0003158*(O16^1.974723)</f>
        <v>1.3101039705104495E-3</v>
      </c>
      <c r="AA16" s="2">
        <f t="shared" ref="AA16:AA31" si="7">0.0003158*(P16^1.974723)</f>
        <v>4.265066112605012E-4</v>
      </c>
      <c r="AB16" s="2">
        <f t="shared" ref="AB16:AB31" si="8">0.0003158*(Q16^1.974723)</f>
        <v>4.9066214974882575E-4</v>
      </c>
      <c r="AF16" s="2">
        <v>1</v>
      </c>
      <c r="AG16" s="29">
        <f>AG15+1.25</f>
        <v>1.25</v>
      </c>
      <c r="AH16" s="32">
        <f t="shared" ref="AH16:AH45" si="9">EXP(-2.289+2.649*LN(AG16)-0.021*(LN(AG16))^2)</f>
        <v>0.18287756632827115</v>
      </c>
      <c r="AI16" s="31">
        <f t="shared" ref="AI16:AI45" si="10">(AH16)/$AM$11</f>
        <v>1.945506024768842E-4</v>
      </c>
      <c r="AJ16">
        <f t="shared" si="0"/>
        <v>6.4785350624802437E-2</v>
      </c>
      <c r="AL16" s="30">
        <f t="shared" ref="AL16:AL45" si="11">0.048*(AG16^2.68)</f>
        <v>8.728911136462747E-2</v>
      </c>
      <c r="AM16" s="31">
        <f t="shared" ref="AM16:AM45" si="12">(AL16)/$AM$11</f>
        <v>9.2860756770880284E-5</v>
      </c>
      <c r="AN16">
        <f t="shared" si="1"/>
        <v>3.0922632004703136E-2</v>
      </c>
      <c r="AO16">
        <f t="shared" ref="AO16:AO31" si="13">AM16*$AH$55</f>
        <v>1.3929113515632042E-2</v>
      </c>
      <c r="AQ16" s="30">
        <f t="shared" ref="AQ16:AQ31" si="14">0.048*(AG16^2.68)</f>
        <v>8.728911136462747E-2</v>
      </c>
      <c r="AT16" s="2">
        <v>0</v>
      </c>
      <c r="AU16" s="29">
        <v>0</v>
      </c>
      <c r="AV16" s="36">
        <f>'S. Macro'!C16*1000/$AY$8</f>
        <v>0</v>
      </c>
      <c r="AW16" s="35">
        <f t="shared" ref="AW16:AW46" si="15">AV16*$AY$9</f>
        <v>0</v>
      </c>
      <c r="AX16" s="35">
        <f t="shared" ref="AX16:AX46" si="16">AV16*$AY$10</f>
        <v>0</v>
      </c>
      <c r="AZ16" s="35">
        <f>AVERAGE(AW16)</f>
        <v>0</v>
      </c>
      <c r="BA16" s="35">
        <f>AVERAGE(AX16)</f>
        <v>0</v>
      </c>
      <c r="BC16" s="35">
        <f t="shared" ref="BC16:BC46" si="17">AV16*250</f>
        <v>0</v>
      </c>
      <c r="BG16" s="2">
        <f>'S. Macro'!A16</f>
        <v>0</v>
      </c>
      <c r="BH16" s="235">
        <v>0</v>
      </c>
      <c r="BI16" s="111">
        <f>0.048*('S. Macro'!B16^2.68)/1000</f>
        <v>0</v>
      </c>
      <c r="BJ16" s="55">
        <f t="shared" ref="BJ16:BJ46" si="18">BI16*1000</f>
        <v>0</v>
      </c>
      <c r="BK16" s="2">
        <f t="shared" ref="BK16:BK46" si="19">0.022*(BH16^2.92)</f>
        <v>0</v>
      </c>
    </row>
    <row r="17" spans="1:63">
      <c r="A17" s="240"/>
      <c r="L17">
        <f t="shared" ref="L17:L31" si="20">N17-N16</f>
        <v>0.6103811070000007</v>
      </c>
      <c r="M17" s="2">
        <f>M16+1</f>
        <v>2</v>
      </c>
      <c r="N17" s="2">
        <f t="shared" si="2"/>
        <v>3.5590821070000009</v>
      </c>
      <c r="O17" s="2">
        <f t="shared" si="3"/>
        <v>2.4336220159999997</v>
      </c>
      <c r="P17" s="2">
        <f t="shared" si="4"/>
        <v>1.4752605909999998</v>
      </c>
      <c r="Q17" s="29">
        <f t="shared" ref="Q17:Q45" si="21">Q16+1.25</f>
        <v>2.5</v>
      </c>
      <c r="W17" s="240"/>
      <c r="X17" s="2">
        <f>X16+1</f>
        <v>2</v>
      </c>
      <c r="Y17" s="2">
        <f t="shared" si="5"/>
        <v>3.8739317860980202E-3</v>
      </c>
      <c r="Z17" s="2">
        <f t="shared" si="6"/>
        <v>1.8287530213367651E-3</v>
      </c>
      <c r="AA17" s="2">
        <f t="shared" si="7"/>
        <v>6.8058302503332438E-4</v>
      </c>
      <c r="AB17" s="2">
        <f t="shared" si="8"/>
        <v>1.9285611480963046E-3</v>
      </c>
      <c r="AF17" s="2">
        <f>AF16+1</f>
        <v>2</v>
      </c>
      <c r="AG17" s="29">
        <f t="shared" ref="AG17:AG45" si="22">AG16+1.25</f>
        <v>2.5</v>
      </c>
      <c r="AH17" s="32">
        <f t="shared" si="9"/>
        <v>1.1281992594488721</v>
      </c>
      <c r="AI17" s="31">
        <f t="shared" si="10"/>
        <v>1.2002119781370981E-3</v>
      </c>
      <c r="AJ17">
        <f t="shared" si="0"/>
        <v>0.39967058871965366</v>
      </c>
      <c r="AL17" s="30">
        <f t="shared" si="11"/>
        <v>0.55939742204615228</v>
      </c>
      <c r="AM17" s="31">
        <f t="shared" si="12"/>
        <v>5.9510364047463008E-4</v>
      </c>
      <c r="AN17">
        <f t="shared" si="1"/>
        <v>0.19816951227805182</v>
      </c>
      <c r="AO17">
        <f t="shared" si="13"/>
        <v>8.926554607119451E-2</v>
      </c>
      <c r="AQ17" s="30">
        <f t="shared" si="14"/>
        <v>0.55939742204615228</v>
      </c>
      <c r="AT17" s="2">
        <v>1</v>
      </c>
      <c r="AU17" s="29">
        <f>AU16+'S. Macro'!$B$3</f>
        <v>1.25</v>
      </c>
      <c r="AV17" s="36">
        <f>'S. Macro'!C17*1000/$AY$8</f>
        <v>1.3225622934034465E-4</v>
      </c>
      <c r="AW17" s="35">
        <f t="shared" si="15"/>
        <v>1.9838434401051697E-2</v>
      </c>
      <c r="AX17" s="35">
        <f t="shared" si="16"/>
        <v>4.404132437033477E-2</v>
      </c>
      <c r="AZ17" s="35">
        <f>AVERAGE(AW$16:AW17)</f>
        <v>9.9192172005258487E-3</v>
      </c>
      <c r="BA17" s="35">
        <f>AVERAGE(AX$16:AX17)</f>
        <v>2.2020662185167385E-2</v>
      </c>
      <c r="BC17" s="35">
        <f t="shared" si="17"/>
        <v>3.3064057335086161E-2</v>
      </c>
      <c r="BG17" s="2">
        <f>'S. Macro'!A17</f>
        <v>1</v>
      </c>
      <c r="BH17" s="235">
        <f>BH16+'S. Macro'!$B$3</f>
        <v>1.25</v>
      </c>
      <c r="BI17" s="111">
        <f>0.048*('S. Macro'!B17^2.68)/1000</f>
        <v>8.7289111364627464E-5</v>
      </c>
      <c r="BJ17" s="111">
        <f t="shared" si="18"/>
        <v>8.728911136462747E-2</v>
      </c>
      <c r="BK17" s="192">
        <f t="shared" si="19"/>
        <v>4.220850002682526E-2</v>
      </c>
    </row>
    <row r="18" spans="1:63">
      <c r="A18" s="240"/>
      <c r="L18">
        <f t="shared" si="20"/>
        <v>0.73672999614900014</v>
      </c>
      <c r="M18" s="2">
        <f t="shared" ref="M18:M45" si="23">M17+1</f>
        <v>3</v>
      </c>
      <c r="N18" s="2">
        <f t="shared" si="2"/>
        <v>4.2958121031490011</v>
      </c>
      <c r="O18" s="2">
        <f t="shared" si="3"/>
        <v>2.8814084669439994</v>
      </c>
      <c r="P18" s="2">
        <f t="shared" si="4"/>
        <v>1.8691551687969996</v>
      </c>
      <c r="Q18" s="29">
        <f t="shared" si="21"/>
        <v>3.75</v>
      </c>
      <c r="W18" s="240"/>
      <c r="X18" s="2">
        <f t="shared" ref="X18:X45" si="24">X17+1</f>
        <v>3</v>
      </c>
      <c r="Y18" s="2">
        <f t="shared" si="5"/>
        <v>5.6169582356021021E-3</v>
      </c>
      <c r="Z18" s="2">
        <f t="shared" si="6"/>
        <v>2.5527268738413998E-3</v>
      </c>
      <c r="AA18" s="2">
        <f t="shared" si="7"/>
        <v>1.0860165862249715E-3</v>
      </c>
      <c r="AB18" s="2">
        <f t="shared" si="8"/>
        <v>4.2950168579106258E-3</v>
      </c>
      <c r="AF18" s="2">
        <f t="shared" ref="AF18:AF45" si="25">AF17+1</f>
        <v>3</v>
      </c>
      <c r="AG18" s="29">
        <f t="shared" si="22"/>
        <v>3.75</v>
      </c>
      <c r="AH18" s="32">
        <f t="shared" si="9"/>
        <v>3.2402270729817881</v>
      </c>
      <c r="AI18" s="31">
        <f t="shared" si="10"/>
        <v>3.4470500776401999E-3</v>
      </c>
      <c r="AJ18">
        <f t="shared" si="0"/>
        <v>1.1478676758541866</v>
      </c>
      <c r="AL18" s="30">
        <f t="shared" si="11"/>
        <v>1.6582310192067726</v>
      </c>
      <c r="AM18" s="31">
        <f t="shared" si="12"/>
        <v>1.7640755523476305E-3</v>
      </c>
      <c r="AN18">
        <f t="shared" si="1"/>
        <v>0.58743715893176096</v>
      </c>
      <c r="AO18">
        <f t="shared" si="13"/>
        <v>0.26461133285214455</v>
      </c>
      <c r="AQ18" s="30">
        <f t="shared" si="14"/>
        <v>1.6582310192067726</v>
      </c>
      <c r="AT18" s="2">
        <f t="shared" ref="AT18:AT46" si="26">AT17+1</f>
        <v>2</v>
      </c>
      <c r="AU18" s="29">
        <f>AU17+'S. Macro'!$B$3</f>
        <v>2.5</v>
      </c>
      <c r="AV18" s="36">
        <f>'S. Macro'!C18*1000/$AY$8</f>
        <v>8.4757185158507923E-4</v>
      </c>
      <c r="AW18" s="35">
        <f t="shared" si="15"/>
        <v>0.12713577773776188</v>
      </c>
      <c r="AX18" s="35">
        <f t="shared" si="16"/>
        <v>0.28224142657783141</v>
      </c>
      <c r="AZ18" s="35">
        <f>AVERAGE(AW$16:AW18)</f>
        <v>4.8991404046271197E-2</v>
      </c>
      <c r="BA18" s="35">
        <f>AVERAGE(AX$16:AX18)</f>
        <v>0.10876091698272206</v>
      </c>
      <c r="BC18" s="35">
        <f t="shared" si="17"/>
        <v>0.2118929628962698</v>
      </c>
      <c r="BG18" s="2">
        <f>'S. Macro'!A18</f>
        <v>2</v>
      </c>
      <c r="BH18" s="235">
        <f>BH17+'S. Macro'!$B$3</f>
        <v>2.5</v>
      </c>
      <c r="BI18" s="111">
        <f>0.048*('S. Macro'!B18^2.68)/1000</f>
        <v>5.5939742204615226E-4</v>
      </c>
      <c r="BJ18" s="111">
        <f t="shared" si="18"/>
        <v>0.55939742204615228</v>
      </c>
      <c r="BK18" s="192">
        <f t="shared" si="19"/>
        <v>0.31945339365756442</v>
      </c>
    </row>
    <row r="19" spans="1:63">
      <c r="A19" s="240"/>
      <c r="L19">
        <f t="shared" si="20"/>
        <v>0.88923310535184452</v>
      </c>
      <c r="M19" s="2">
        <f t="shared" si="23"/>
        <v>4</v>
      </c>
      <c r="N19" s="2">
        <f t="shared" si="2"/>
        <v>5.1850452085008456</v>
      </c>
      <c r="O19" s="2">
        <f t="shared" si="3"/>
        <v>3.4115876248616948</v>
      </c>
      <c r="P19" s="2">
        <f t="shared" si="4"/>
        <v>2.3682195988657981</v>
      </c>
      <c r="Q19" s="29">
        <f t="shared" si="21"/>
        <v>5</v>
      </c>
      <c r="W19" s="240"/>
      <c r="X19" s="2">
        <f t="shared" si="24"/>
        <v>4</v>
      </c>
      <c r="Y19" s="2">
        <f t="shared" si="5"/>
        <v>8.1442373181993891E-3</v>
      </c>
      <c r="Z19" s="2">
        <f t="shared" si="6"/>
        <v>3.5633103083918785E-3</v>
      </c>
      <c r="AA19" s="2">
        <f t="shared" si="7"/>
        <v>1.7329730277918566E-3</v>
      </c>
      <c r="AB19" s="2">
        <f t="shared" si="8"/>
        <v>7.5802629239905758E-3</v>
      </c>
      <c r="AF19" s="2">
        <f t="shared" si="25"/>
        <v>4</v>
      </c>
      <c r="AG19" s="29">
        <f t="shared" si="22"/>
        <v>5</v>
      </c>
      <c r="AH19" s="32">
        <f t="shared" si="9"/>
        <v>6.8209921087334866</v>
      </c>
      <c r="AI19" s="31">
        <f t="shared" si="10"/>
        <v>7.2563745837590284E-3</v>
      </c>
      <c r="AJ19">
        <f t="shared" si="0"/>
        <v>2.4163727363917564</v>
      </c>
      <c r="AL19" s="30">
        <f t="shared" si="11"/>
        <v>3.5849313952196882</v>
      </c>
      <c r="AM19" s="31">
        <f t="shared" si="12"/>
        <v>3.8137568034252002E-3</v>
      </c>
      <c r="AN19">
        <f t="shared" si="1"/>
        <v>1.2699810155405917</v>
      </c>
      <c r="AO19">
        <f t="shared" si="13"/>
        <v>0.57206352051378007</v>
      </c>
      <c r="AQ19" s="30">
        <f t="shared" si="14"/>
        <v>3.5849313952196882</v>
      </c>
      <c r="AT19" s="2">
        <f t="shared" si="26"/>
        <v>3</v>
      </c>
      <c r="AU19" s="29">
        <f>AU18+'S. Macro'!$B$3</f>
        <v>3.75</v>
      </c>
      <c r="AV19" s="36">
        <f>'S. Macro'!C19*1000/$AY$8</f>
        <v>2.5124712412223828E-3</v>
      </c>
      <c r="AW19" s="35">
        <f t="shared" si="15"/>
        <v>0.37687068618335745</v>
      </c>
      <c r="AX19" s="35">
        <f t="shared" si="16"/>
        <v>0.83665292332705343</v>
      </c>
      <c r="AZ19" s="35">
        <f>AVERAGE(AW$16:AW19)</f>
        <v>0.13096122458054277</v>
      </c>
      <c r="BA19" s="35">
        <f>AVERAGE(AX$16:AX19)</f>
        <v>0.29073391856880493</v>
      </c>
      <c r="BC19" s="35">
        <f t="shared" si="17"/>
        <v>0.62811781030559566</v>
      </c>
      <c r="BG19" s="2">
        <f>'S. Macro'!A19</f>
        <v>3</v>
      </c>
      <c r="BH19" s="235">
        <f>BH18+'S. Macro'!$B$3</f>
        <v>3.75</v>
      </c>
      <c r="BI19" s="111">
        <f>0.048*('S. Macro'!B19^2.68)/1000</f>
        <v>1.6582310192067727E-3</v>
      </c>
      <c r="BJ19" s="111">
        <f t="shared" si="18"/>
        <v>1.6582310192067726</v>
      </c>
      <c r="BK19" s="192">
        <f t="shared" si="19"/>
        <v>1.0437439775189443</v>
      </c>
    </row>
    <row r="20" spans="1:63">
      <c r="A20" s="240"/>
      <c r="L20">
        <f t="shared" si="20"/>
        <v>1.0733043581596746</v>
      </c>
      <c r="M20" s="2">
        <f t="shared" si="23"/>
        <v>5</v>
      </c>
      <c r="N20" s="2">
        <f t="shared" si="2"/>
        <v>6.2583495666605202</v>
      </c>
      <c r="O20" s="2">
        <f t="shared" si="3"/>
        <v>4.039319747836247</v>
      </c>
      <c r="P20" s="2">
        <f t="shared" si="4"/>
        <v>3.0005342317629662</v>
      </c>
      <c r="Q20" s="29">
        <f t="shared" si="21"/>
        <v>6.25</v>
      </c>
      <c r="W20" s="240"/>
      <c r="X20" s="2">
        <f t="shared" si="24"/>
        <v>5</v>
      </c>
      <c r="Y20" s="2">
        <f t="shared" si="5"/>
        <v>1.1808633554499183E-2</v>
      </c>
      <c r="Z20" s="2">
        <f t="shared" si="6"/>
        <v>4.9739674400751032E-3</v>
      </c>
      <c r="AA20" s="2">
        <f t="shared" si="7"/>
        <v>2.7653311681852671E-3</v>
      </c>
      <c r="AB20" s="2">
        <f t="shared" si="8"/>
        <v>1.1777543071394989E-2</v>
      </c>
      <c r="AF20" s="2">
        <f t="shared" si="25"/>
        <v>5</v>
      </c>
      <c r="AG20" s="29">
        <f t="shared" si="22"/>
        <v>6.25</v>
      </c>
      <c r="AH20" s="32">
        <f t="shared" si="9"/>
        <v>12.12152558685343</v>
      </c>
      <c r="AI20" s="31">
        <f t="shared" si="10"/>
        <v>1.2895239986014287E-2</v>
      </c>
      <c r="AJ20">
        <f t="shared" si="0"/>
        <v>4.2941149153427576</v>
      </c>
      <c r="AL20" s="30">
        <f t="shared" si="11"/>
        <v>6.5192807456641875</v>
      </c>
      <c r="AM20" s="31">
        <f t="shared" si="12"/>
        <v>6.9354050485789225E-3</v>
      </c>
      <c r="AN20">
        <f t="shared" si="1"/>
        <v>2.309489881176781</v>
      </c>
      <c r="AO20">
        <f t="shared" si="13"/>
        <v>1.0403107572868384</v>
      </c>
      <c r="AQ20" s="30">
        <f t="shared" si="14"/>
        <v>6.5192807456641875</v>
      </c>
      <c r="AT20" s="2">
        <f t="shared" si="26"/>
        <v>4</v>
      </c>
      <c r="AU20" s="29">
        <f>AU19+'S. Macro'!$B$3</f>
        <v>5</v>
      </c>
      <c r="AV20" s="36">
        <f>'S. Macro'!C20*1000/$AY$8</f>
        <v>5.4317142351813456E-3</v>
      </c>
      <c r="AW20" s="35">
        <f t="shared" si="15"/>
        <v>0.81475713527720184</v>
      </c>
      <c r="AX20" s="35">
        <f t="shared" si="16"/>
        <v>1.8087608403153881</v>
      </c>
      <c r="AZ20" s="35">
        <f>AVERAGE(AW$16:AW20)</f>
        <v>0.26772040671987457</v>
      </c>
      <c r="BA20" s="35">
        <f>AVERAGE(AX$16:AX20)</f>
        <v>0.59433930291812165</v>
      </c>
      <c r="BC20" s="35">
        <f t="shared" si="17"/>
        <v>1.3579285587953365</v>
      </c>
      <c r="BG20" s="2">
        <f>'S. Macro'!A20</f>
        <v>4</v>
      </c>
      <c r="BH20" s="235">
        <f>BH19+'S. Macro'!$B$3</f>
        <v>5</v>
      </c>
      <c r="BI20" s="111">
        <f>0.048*('S. Macro'!B20^2.68)/1000</f>
        <v>3.5849313952196881E-3</v>
      </c>
      <c r="BJ20" s="111">
        <f t="shared" si="18"/>
        <v>3.5849313952196882</v>
      </c>
      <c r="BK20" s="192">
        <f t="shared" si="19"/>
        <v>2.417770606737446</v>
      </c>
    </row>
    <row r="21" spans="1:63" ht="16">
      <c r="A21" s="240"/>
      <c r="B21" s="19" t="s">
        <v>361</v>
      </c>
      <c r="L21">
        <f t="shared" si="20"/>
        <v>1.2954783602987296</v>
      </c>
      <c r="M21" s="2">
        <f t="shared" si="23"/>
        <v>6</v>
      </c>
      <c r="N21" s="2">
        <f t="shared" si="2"/>
        <v>7.5538279269592499</v>
      </c>
      <c r="O21" s="2">
        <f t="shared" si="3"/>
        <v>4.7825545814381147</v>
      </c>
      <c r="P21" s="2">
        <f t="shared" si="4"/>
        <v>3.8016768716436782</v>
      </c>
      <c r="Q21" s="29">
        <f t="shared" si="21"/>
        <v>7.5</v>
      </c>
      <c r="W21" s="240"/>
      <c r="X21" s="2">
        <f t="shared" si="24"/>
        <v>6</v>
      </c>
      <c r="Y21" s="2">
        <f t="shared" si="5"/>
        <v>1.7121778378539902E-2</v>
      </c>
      <c r="Z21" s="2">
        <f t="shared" si="6"/>
        <v>6.9430809987728985E-3</v>
      </c>
      <c r="AA21" s="2">
        <f t="shared" si="7"/>
        <v>4.4126806055837606E-3</v>
      </c>
      <c r="AB21" s="2">
        <f t="shared" si="8"/>
        <v>1.6881682532115715E-2</v>
      </c>
      <c r="AF21" s="2">
        <f t="shared" si="25"/>
        <v>6</v>
      </c>
      <c r="AG21" s="29">
        <f t="shared" si="22"/>
        <v>7.5</v>
      </c>
      <c r="AH21" s="32">
        <f t="shared" si="9"/>
        <v>19.360242035238649</v>
      </c>
      <c r="AI21" s="31">
        <f t="shared" si="10"/>
        <v>2.0596002165147499E-2</v>
      </c>
      <c r="AJ21">
        <f t="shared" si="0"/>
        <v>6.8584687209941171</v>
      </c>
      <c r="AL21" s="30">
        <f t="shared" si="11"/>
        <v>10.626871356570261</v>
      </c>
      <c r="AM21" s="31">
        <f t="shared" si="12"/>
        <v>1.1305182294223682E-2</v>
      </c>
      <c r="AN21">
        <f t="shared" si="1"/>
        <v>3.7646257039764861</v>
      </c>
      <c r="AO21">
        <f t="shared" si="13"/>
        <v>1.6957773441335524</v>
      </c>
      <c r="AQ21" s="30">
        <f t="shared" si="14"/>
        <v>10.626871356570261</v>
      </c>
      <c r="AT21" s="2">
        <f t="shared" si="26"/>
        <v>5</v>
      </c>
      <c r="AU21" s="29">
        <f>AU20+'S. Macro'!$B$3</f>
        <v>6.25</v>
      </c>
      <c r="AV21" s="36">
        <f>'S. Macro'!C21*1000/$AY$8</f>
        <v>9.8776980994911938E-3</v>
      </c>
      <c r="AW21" s="35">
        <f t="shared" si="15"/>
        <v>1.4816547149236792</v>
      </c>
      <c r="AX21" s="35">
        <f t="shared" si="16"/>
        <v>3.2892734671305677</v>
      </c>
      <c r="AZ21" s="35">
        <f>AVERAGE(AW$16:AW21)</f>
        <v>0.4700427914205087</v>
      </c>
      <c r="BA21" s="35">
        <f>AVERAGE(AX$16:AX21)</f>
        <v>1.0434949969535292</v>
      </c>
      <c r="BC21" s="35">
        <f t="shared" si="17"/>
        <v>2.4694245248727986</v>
      </c>
      <c r="BG21" s="2">
        <f>'S. Macro'!A21</f>
        <v>5</v>
      </c>
      <c r="BH21" s="235">
        <f>BH20+'S. Macro'!$B$3</f>
        <v>6.25</v>
      </c>
      <c r="BI21" s="111">
        <f>0.048*('S. Macro'!B21^2.68)/1000</f>
        <v>6.5192807456641872E-3</v>
      </c>
      <c r="BJ21" s="111">
        <f t="shared" si="18"/>
        <v>6.5192807456641875</v>
      </c>
      <c r="BK21" s="192">
        <f t="shared" si="19"/>
        <v>4.6386577599697647</v>
      </c>
    </row>
    <row r="22" spans="1:63">
      <c r="A22" s="240"/>
      <c r="L22">
        <f t="shared" si="20"/>
        <v>1.5636423808805651</v>
      </c>
      <c r="M22" s="2">
        <f t="shared" si="23"/>
        <v>7</v>
      </c>
      <c r="N22" s="2">
        <f t="shared" si="2"/>
        <v>9.1174703078398149</v>
      </c>
      <c r="O22" s="2">
        <f t="shared" si="3"/>
        <v>5.6625446244227282</v>
      </c>
      <c r="P22" s="2">
        <f t="shared" si="4"/>
        <v>4.8167245963725396</v>
      </c>
      <c r="Q22" s="29">
        <f t="shared" si="21"/>
        <v>8.75</v>
      </c>
      <c r="W22" s="240"/>
      <c r="X22" s="2">
        <f t="shared" si="24"/>
        <v>7</v>
      </c>
      <c r="Y22" s="2">
        <f t="shared" si="5"/>
        <v>2.4825505295838553E-2</v>
      </c>
      <c r="Z22" s="2">
        <f t="shared" si="6"/>
        <v>9.6917348849379376E-3</v>
      </c>
      <c r="AA22" s="2">
        <f t="shared" si="7"/>
        <v>7.0413809206342822E-3</v>
      </c>
      <c r="AB22" s="2">
        <f t="shared" si="8"/>
        <v>2.2888487461144056E-2</v>
      </c>
      <c r="AF22" s="2">
        <f t="shared" si="25"/>
        <v>7</v>
      </c>
      <c r="AG22" s="29">
        <f t="shared" si="22"/>
        <v>8.75</v>
      </c>
      <c r="AH22" s="32">
        <f t="shared" si="9"/>
        <v>28.732318783581125</v>
      </c>
      <c r="AI22" s="31">
        <f t="shared" si="10"/>
        <v>3.0566296578277793E-2</v>
      </c>
      <c r="AJ22">
        <f t="shared" si="0"/>
        <v>10.178576760566505</v>
      </c>
      <c r="AL22" s="30">
        <f t="shared" si="11"/>
        <v>16.062857977050463</v>
      </c>
      <c r="AM22" s="31">
        <f t="shared" si="12"/>
        <v>1.7088146784096238E-2</v>
      </c>
      <c r="AN22">
        <f t="shared" si="1"/>
        <v>5.6903528791040472</v>
      </c>
      <c r="AO22">
        <f t="shared" si="13"/>
        <v>2.5632220176144358</v>
      </c>
      <c r="AQ22" s="30">
        <f t="shared" si="14"/>
        <v>16.062857977050463</v>
      </c>
      <c r="AT22" s="2">
        <f t="shared" si="26"/>
        <v>6</v>
      </c>
      <c r="AU22" s="29">
        <f>AU21+'S. Macro'!$B$3</f>
        <v>7.5</v>
      </c>
      <c r="AV22" s="36">
        <f>'S. Macro'!C22*1000/$AY$8</f>
        <v>1.6101320237227667E-2</v>
      </c>
      <c r="AW22" s="35">
        <f t="shared" si="15"/>
        <v>2.41519803558415</v>
      </c>
      <c r="AX22" s="35">
        <f t="shared" si="16"/>
        <v>5.3617396389968128</v>
      </c>
      <c r="AZ22" s="35">
        <f>AVERAGE(AW$16:AW22)</f>
        <v>0.74792211201531456</v>
      </c>
      <c r="BA22" s="35">
        <f>AVERAGE(AX$16:AX22)</f>
        <v>1.6603870886739982</v>
      </c>
      <c r="BC22" s="35">
        <f t="shared" si="17"/>
        <v>4.025330059306917</v>
      </c>
      <c r="BG22" s="2">
        <f>'S. Macro'!A22</f>
        <v>6</v>
      </c>
      <c r="BH22" s="235">
        <f>BH21+'S. Macro'!$B$3</f>
        <v>7.5</v>
      </c>
      <c r="BI22" s="111">
        <f>0.048*('S. Macro'!B22^2.68)/1000</f>
        <v>1.0626871356570261E-2</v>
      </c>
      <c r="BJ22" s="111">
        <f t="shared" si="18"/>
        <v>10.626871356570261</v>
      </c>
      <c r="BK22" s="192">
        <f t="shared" si="19"/>
        <v>7.8995357692446859</v>
      </c>
    </row>
    <row r="23" spans="1:63">
      <c r="A23" s="240"/>
      <c r="B23" s="2" t="s">
        <v>107</v>
      </c>
      <c r="C23" s="2" t="s">
        <v>108</v>
      </c>
      <c r="D23" s="2" t="s">
        <v>109</v>
      </c>
      <c r="L23">
        <f t="shared" si="20"/>
        <v>1.887316353722845</v>
      </c>
      <c r="M23" s="2">
        <f t="shared" si="23"/>
        <v>8</v>
      </c>
      <c r="N23" s="2">
        <f t="shared" si="2"/>
        <v>11.00478666156266</v>
      </c>
      <c r="O23" s="2">
        <f t="shared" si="3"/>
        <v>6.7044528353165092</v>
      </c>
      <c r="P23" s="2">
        <f t="shared" si="4"/>
        <v>6.1027900636040071</v>
      </c>
      <c r="Q23" s="29">
        <f t="shared" si="21"/>
        <v>10</v>
      </c>
      <c r="W23" s="240"/>
      <c r="X23" s="2">
        <f t="shared" si="24"/>
        <v>8</v>
      </c>
      <c r="Y23" s="2">
        <f t="shared" si="5"/>
        <v>3.5995426384339495E-2</v>
      </c>
      <c r="Z23" s="2">
        <f t="shared" si="6"/>
        <v>1.3528536552652031E-2</v>
      </c>
      <c r="AA23" s="2">
        <f t="shared" si="7"/>
        <v>1.1236037615487774E-2</v>
      </c>
      <c r="AB23" s="2">
        <f t="shared" si="8"/>
        <v>2.9794433043279819E-2</v>
      </c>
      <c r="AF23" s="2">
        <f t="shared" si="25"/>
        <v>8</v>
      </c>
      <c r="AG23" s="29">
        <f t="shared" si="22"/>
        <v>10</v>
      </c>
      <c r="AH23" s="32">
        <f t="shared" si="9"/>
        <v>40.415284839270363</v>
      </c>
      <c r="AI23" s="31">
        <f t="shared" si="10"/>
        <v>4.2994983871564217E-2</v>
      </c>
      <c r="AJ23">
        <f t="shared" si="0"/>
        <v>14.317329629230885</v>
      </c>
      <c r="AL23" s="30">
        <f t="shared" si="11"/>
        <v>22.974244431486667</v>
      </c>
      <c r="AM23" s="31">
        <f t="shared" si="12"/>
        <v>2.444068556541135E-2</v>
      </c>
      <c r="AN23">
        <f t="shared" si="1"/>
        <v>8.1387482932819797</v>
      </c>
      <c r="AO23">
        <f t="shared" si="13"/>
        <v>3.6661028348117024</v>
      </c>
      <c r="AQ23" s="30">
        <f t="shared" si="14"/>
        <v>22.974244431486667</v>
      </c>
      <c r="AT23" s="2">
        <f t="shared" si="26"/>
        <v>7</v>
      </c>
      <c r="AU23" s="29">
        <f>AU22+'S. Macro'!$B$3</f>
        <v>8.75</v>
      </c>
      <c r="AV23" s="36">
        <f>'S. Macro'!C23*1000/$AY$8</f>
        <v>2.4337663601591609E-2</v>
      </c>
      <c r="AW23" s="35">
        <f t="shared" si="15"/>
        <v>3.6506495402387413</v>
      </c>
      <c r="AX23" s="35">
        <f t="shared" si="16"/>
        <v>8.1044419793300051</v>
      </c>
      <c r="AZ23" s="35">
        <f>AVERAGE(AW$16:AW23)</f>
        <v>1.1107630405432429</v>
      </c>
      <c r="BA23" s="35">
        <f>AVERAGE(AX$16:AX23)</f>
        <v>2.4658939500059991</v>
      </c>
      <c r="BC23" s="35">
        <f t="shared" si="17"/>
        <v>6.0844159003979019</v>
      </c>
      <c r="BG23" s="2">
        <f>'S. Macro'!A23</f>
        <v>7</v>
      </c>
      <c r="BH23" s="235">
        <f>BH22+'S. Macro'!$B$3</f>
        <v>8.75</v>
      </c>
      <c r="BI23" s="111">
        <f>0.048*('S. Macro'!B23^2.68)/1000</f>
        <v>1.6062857977050461E-2</v>
      </c>
      <c r="BJ23" s="111">
        <f t="shared" si="18"/>
        <v>16.062857977050463</v>
      </c>
      <c r="BK23" s="192">
        <f t="shared" si="19"/>
        <v>12.390424783738695</v>
      </c>
    </row>
    <row r="24" spans="1:63">
      <c r="A24" s="240"/>
      <c r="B24" s="2">
        <v>0</v>
      </c>
      <c r="C24" s="2">
        <v>0</v>
      </c>
      <c r="D24" s="2">
        <v>0</v>
      </c>
      <c r="J24" s="15" t="s">
        <v>351</v>
      </c>
      <c r="L24">
        <f t="shared" si="20"/>
        <v>2.277990838943472</v>
      </c>
      <c r="M24" s="2">
        <f t="shared" si="23"/>
        <v>9</v>
      </c>
      <c r="N24" s="2">
        <f t="shared" si="2"/>
        <v>13.282777500506132</v>
      </c>
      <c r="O24" s="2">
        <f t="shared" si="3"/>
        <v>7.938072157014747</v>
      </c>
      <c r="P24" s="2">
        <f t="shared" si="4"/>
        <v>7.7322350105862769</v>
      </c>
      <c r="Q24" s="29">
        <f t="shared" si="21"/>
        <v>11.25</v>
      </c>
      <c r="W24" s="240"/>
      <c r="X24" s="2">
        <f t="shared" si="24"/>
        <v>9</v>
      </c>
      <c r="Y24" s="2">
        <f t="shared" si="5"/>
        <v>5.2191111727647059E-2</v>
      </c>
      <c r="Z24" s="2">
        <f t="shared" si="6"/>
        <v>1.8884266174147842E-2</v>
      </c>
      <c r="AA24" s="2">
        <f t="shared" si="7"/>
        <v>1.7929514497176769E-2</v>
      </c>
      <c r="AB24" s="2">
        <f t="shared" si="8"/>
        <v>3.7596480224080311E-2</v>
      </c>
      <c r="AF24" s="2">
        <f t="shared" si="25"/>
        <v>9</v>
      </c>
      <c r="AG24" s="29">
        <f t="shared" si="22"/>
        <v>11.25</v>
      </c>
      <c r="AH24" s="32">
        <f t="shared" si="9"/>
        <v>54.572677933199664</v>
      </c>
      <c r="AI24" s="31">
        <f t="shared" si="10"/>
        <v>5.8056040354467729E-2</v>
      </c>
      <c r="AJ24">
        <f t="shared" si="0"/>
        <v>19.332661438037753</v>
      </c>
      <c r="AL24" s="30">
        <f t="shared" si="11"/>
        <v>31.50141031420576</v>
      </c>
      <c r="AM24" s="31">
        <f t="shared" si="12"/>
        <v>3.3512138632133787E-2</v>
      </c>
      <c r="AN24">
        <f t="shared" si="1"/>
        <v>11.15954216450055</v>
      </c>
      <c r="AO24">
        <f t="shared" si="13"/>
        <v>5.0268207948200683</v>
      </c>
      <c r="AQ24" s="30">
        <f t="shared" si="14"/>
        <v>31.50141031420576</v>
      </c>
      <c r="AT24" s="2">
        <f t="shared" si="26"/>
        <v>8</v>
      </c>
      <c r="AU24" s="29">
        <f>AU23+'S. Macro'!$B$3</f>
        <v>10</v>
      </c>
      <c r="AV24" s="36">
        <f>'S. Macro'!C24*1000/$AY$8</f>
        <v>3.4809461259828284E-2</v>
      </c>
      <c r="AW24" s="35">
        <f t="shared" si="15"/>
        <v>5.2214191889742425</v>
      </c>
      <c r="AX24" s="35">
        <f t="shared" si="16"/>
        <v>11.591550599522819</v>
      </c>
      <c r="AZ24" s="35">
        <f>AVERAGE(AW$16:AW24)</f>
        <v>1.5675026125911318</v>
      </c>
      <c r="BA24" s="35">
        <f>AVERAGE(AX$16:AX24)</f>
        <v>3.4798557999523125</v>
      </c>
      <c r="BC24" s="35">
        <f t="shared" si="17"/>
        <v>8.7023653149570706</v>
      </c>
      <c r="BG24" s="2">
        <f>'S. Macro'!A24</f>
        <v>8</v>
      </c>
      <c r="BH24" s="235">
        <f>BH23+'S. Macro'!$B$3</f>
        <v>10</v>
      </c>
      <c r="BI24" s="111">
        <f>0.048*('S. Macro'!B24^2.68)/1000</f>
        <v>2.2974244431486667E-2</v>
      </c>
      <c r="BJ24" s="111">
        <f t="shared" si="18"/>
        <v>22.974244431486667</v>
      </c>
      <c r="BK24" s="192">
        <f t="shared" si="19"/>
        <v>18.298802964258769</v>
      </c>
    </row>
    <row r="25" spans="1:63" ht="16">
      <c r="A25" s="240"/>
      <c r="B25" s="2">
        <v>5</v>
      </c>
      <c r="C25" s="2">
        <v>7</v>
      </c>
      <c r="D25" s="2">
        <f>B25*1.25</f>
        <v>6.25</v>
      </c>
      <c r="J25" s="87" t="s">
        <v>392</v>
      </c>
      <c r="L25">
        <f t="shared" si="20"/>
        <v>2.7495349426047682</v>
      </c>
      <c r="M25" s="2">
        <f t="shared" si="23"/>
        <v>10</v>
      </c>
      <c r="N25" s="2">
        <f t="shared" si="2"/>
        <v>16.0323124431109</v>
      </c>
      <c r="O25" s="2">
        <f t="shared" si="3"/>
        <v>9.3986774339054584</v>
      </c>
      <c r="P25" s="2">
        <f t="shared" si="4"/>
        <v>9.7967417584128107</v>
      </c>
      <c r="Q25" s="29">
        <f t="shared" si="21"/>
        <v>12.5</v>
      </c>
      <c r="W25" s="240"/>
      <c r="X25" s="2">
        <f t="shared" si="24"/>
        <v>10</v>
      </c>
      <c r="Y25" s="2">
        <f t="shared" si="5"/>
        <v>7.5673840178562976E-2</v>
      </c>
      <c r="Z25" s="2">
        <f t="shared" si="6"/>
        <v>2.6360242850225809E-2</v>
      </c>
      <c r="AA25" s="2">
        <f t="shared" si="7"/>
        <v>2.8610396396444981E-2</v>
      </c>
      <c r="AB25" s="2">
        <f t="shared" si="8"/>
        <v>4.6291958731992183E-2</v>
      </c>
      <c r="AF25" s="2">
        <f t="shared" si="25"/>
        <v>10</v>
      </c>
      <c r="AG25" s="29">
        <f t="shared" si="22"/>
        <v>12.5</v>
      </c>
      <c r="AH25" s="32">
        <f t="shared" si="9"/>
        <v>71.356594897828842</v>
      </c>
      <c r="AI25" s="31">
        <f t="shared" si="10"/>
        <v>7.5911271167903027E-2</v>
      </c>
      <c r="AJ25">
        <f t="shared" si="0"/>
        <v>25.278453298911707</v>
      </c>
      <c r="AL25" s="30">
        <f t="shared" si="11"/>
        <v>41.779195431212756</v>
      </c>
      <c r="AM25" s="31">
        <f t="shared" si="12"/>
        <v>4.4445952586396546E-2</v>
      </c>
      <c r="AN25">
        <f t="shared" si="1"/>
        <v>14.80050221127005</v>
      </c>
      <c r="AO25">
        <f t="shared" si="13"/>
        <v>6.6668928879594818</v>
      </c>
      <c r="AQ25" s="30">
        <f t="shared" si="14"/>
        <v>41.779195431212756</v>
      </c>
      <c r="AT25" s="2">
        <f t="shared" si="26"/>
        <v>9</v>
      </c>
      <c r="AU25" s="29">
        <f>AU24+'S. Macro'!$B$3</f>
        <v>11.25</v>
      </c>
      <c r="AV25" s="36">
        <f>'S. Macro'!C25*1000/$AY$8</f>
        <v>4.7729409566978423E-2</v>
      </c>
      <c r="AW25" s="35">
        <f t="shared" si="15"/>
        <v>7.1594114350467635</v>
      </c>
      <c r="AX25" s="35">
        <f t="shared" si="16"/>
        <v>15.893893385803814</v>
      </c>
      <c r="AZ25" s="35">
        <f>AVERAGE(AW$16:AW25)</f>
        <v>2.1266934948366947</v>
      </c>
      <c r="BA25" s="35">
        <f>AVERAGE(AX$16:AX25)</f>
        <v>4.7212595585374633</v>
      </c>
      <c r="BC25" s="35">
        <f t="shared" si="17"/>
        <v>11.932352391744606</v>
      </c>
      <c r="BG25" s="2">
        <f>'S. Macro'!A25</f>
        <v>9</v>
      </c>
      <c r="BH25" s="235">
        <f>BH24+'S. Macro'!$B$3</f>
        <v>11.25</v>
      </c>
      <c r="BI25" s="111">
        <f>0.048*('S. Macro'!B25^2.68)/1000</f>
        <v>3.1501410314205759E-2</v>
      </c>
      <c r="BJ25" s="111">
        <f t="shared" si="18"/>
        <v>31.50141031420576</v>
      </c>
      <c r="BK25" s="192">
        <f t="shared" si="19"/>
        <v>25.810002485629827</v>
      </c>
    </row>
    <row r="26" spans="1:63">
      <c r="A26" s="240"/>
      <c r="B26" s="2">
        <v>10</v>
      </c>
      <c r="C26" s="2">
        <v>12</v>
      </c>
      <c r="D26" s="2">
        <f>1.25*10</f>
        <v>12.5</v>
      </c>
      <c r="J26" t="s">
        <v>393</v>
      </c>
      <c r="L26">
        <f t="shared" si="20"/>
        <v>3.3186886757239584</v>
      </c>
      <c r="M26" s="2">
        <f t="shared" si="23"/>
        <v>11</v>
      </c>
      <c r="N26" s="2">
        <f t="shared" si="2"/>
        <v>19.351001118834859</v>
      </c>
      <c r="O26" s="2">
        <f t="shared" si="3"/>
        <v>11.128034081744062</v>
      </c>
      <c r="P26" s="2">
        <f t="shared" si="4"/>
        <v>12.41247180790903</v>
      </c>
      <c r="Q26" s="29">
        <f t="shared" si="21"/>
        <v>13.75</v>
      </c>
      <c r="W26" s="240"/>
      <c r="X26" s="2">
        <f t="shared" si="24"/>
        <v>11</v>
      </c>
      <c r="Y26" s="2">
        <f t="shared" si="5"/>
        <v>0.10972232431556335</v>
      </c>
      <c r="Z26" s="2">
        <f t="shared" si="6"/>
        <v>3.6795838223999046E-2</v>
      </c>
      <c r="AA26" s="2">
        <f t="shared" si="7"/>
        <v>4.5654040553669423E-2</v>
      </c>
      <c r="AB26" s="2">
        <f t="shared" si="8"/>
        <v>5.5878487813710812E-2</v>
      </c>
      <c r="AF26" s="2">
        <f t="shared" si="25"/>
        <v>11</v>
      </c>
      <c r="AG26" s="29">
        <f t="shared" si="22"/>
        <v>13.75</v>
      </c>
      <c r="AH26" s="32">
        <f t="shared" si="9"/>
        <v>90.90955491235178</v>
      </c>
      <c r="AI26" s="31">
        <f t="shared" si="10"/>
        <v>9.6712292459948695E-2</v>
      </c>
      <c r="AJ26">
        <f t="shared" si="0"/>
        <v>32.205193389162915</v>
      </c>
      <c r="AL26" s="30">
        <f t="shared" si="11"/>
        <v>53.937705594166793</v>
      </c>
      <c r="AM26" s="31">
        <f t="shared" si="12"/>
        <v>5.7380537866134888E-2</v>
      </c>
      <c r="AN26">
        <f t="shared" si="1"/>
        <v>19.107719109422916</v>
      </c>
      <c r="AO26">
        <f t="shared" si="13"/>
        <v>8.6070806799202337</v>
      </c>
      <c r="AQ26" s="30">
        <f t="shared" si="14"/>
        <v>53.937705594166793</v>
      </c>
      <c r="AT26" s="2">
        <f t="shared" si="26"/>
        <v>10</v>
      </c>
      <c r="AU26" s="29">
        <f>AU25+'S. Macro'!$B$3</f>
        <v>12.5</v>
      </c>
      <c r="AV26" s="36">
        <f>'S. Macro'!C26*1000/$AY$8</f>
        <v>6.3301811259413268E-2</v>
      </c>
      <c r="AW26" s="35">
        <f t="shared" si="15"/>
        <v>9.4952716889119895</v>
      </c>
      <c r="AX26" s="35">
        <f t="shared" si="16"/>
        <v>21.079503149384617</v>
      </c>
      <c r="AZ26" s="35">
        <f>AVERAGE(AW$16:AW26)</f>
        <v>2.7965642397526307</v>
      </c>
      <c r="BA26" s="35">
        <f>AVERAGE(AX$16:AX26)</f>
        <v>6.2083726122508409</v>
      </c>
      <c r="BC26" s="35">
        <f t="shared" si="17"/>
        <v>15.825452814853318</v>
      </c>
      <c r="BG26" s="2">
        <f>'S. Macro'!A26</f>
        <v>10</v>
      </c>
      <c r="BH26" s="235">
        <f>BH25+'S. Macro'!$B$3</f>
        <v>12.5</v>
      </c>
      <c r="BI26" s="111">
        <f>0.048*('S. Macro'!B26^2.68)/1000</f>
        <v>4.1779195431212758E-2</v>
      </c>
      <c r="BJ26" s="111">
        <f t="shared" si="18"/>
        <v>41.779195431212756</v>
      </c>
      <c r="BK26" s="192">
        <f t="shared" si="19"/>
        <v>35.107501154899388</v>
      </c>
    </row>
    <row r="27" spans="1:63" ht="15">
      <c r="A27" s="240"/>
      <c r="B27" s="2">
        <v>15</v>
      </c>
      <c r="C27" s="2">
        <v>18</v>
      </c>
      <c r="D27" s="2">
        <f>15*1.25</f>
        <v>18.75</v>
      </c>
      <c r="I27" s="17" t="s">
        <v>405</v>
      </c>
      <c r="J27" s="11" t="s">
        <v>389</v>
      </c>
      <c r="L27">
        <f t="shared" si="20"/>
        <v>4.0056572315988248</v>
      </c>
      <c r="M27" s="2">
        <f t="shared" si="23"/>
        <v>12</v>
      </c>
      <c r="N27" s="2">
        <f t="shared" si="2"/>
        <v>23.356658350433683</v>
      </c>
      <c r="O27" s="2">
        <f t="shared" si="3"/>
        <v>13.175592352784967</v>
      </c>
      <c r="P27" s="2">
        <f t="shared" si="4"/>
        <v>15.726601780620742</v>
      </c>
      <c r="Q27" s="29">
        <f t="shared" si="21"/>
        <v>15</v>
      </c>
      <c r="W27" s="240"/>
      <c r="X27" s="2">
        <f t="shared" si="24"/>
        <v>12</v>
      </c>
      <c r="Y27" s="2">
        <f t="shared" si="5"/>
        <v>0.15909049183709989</v>
      </c>
      <c r="Z27" s="2">
        <f t="shared" si="6"/>
        <v>5.1362717646400977E-2</v>
      </c>
      <c r="AA27" s="2">
        <f t="shared" si="7"/>
        <v>7.2850840302760705E-2</v>
      </c>
      <c r="AB27" s="2">
        <f t="shared" si="8"/>
        <v>6.6353920029496471E-2</v>
      </c>
      <c r="AF27" s="2">
        <f t="shared" si="25"/>
        <v>12</v>
      </c>
      <c r="AG27" s="29">
        <f t="shared" si="22"/>
        <v>15</v>
      </c>
      <c r="AH27" s="32">
        <f t="shared" si="9"/>
        <v>113.3659100202929</v>
      </c>
      <c r="AI27" s="31">
        <f t="shared" si="10"/>
        <v>0.12060203193648181</v>
      </c>
      <c r="AJ27">
        <f t="shared" si="0"/>
        <v>40.160476634848443</v>
      </c>
      <c r="AL27" s="30">
        <f t="shared" si="11"/>
        <v>68.102932294147237</v>
      </c>
      <c r="AM27" s="31">
        <f t="shared" si="12"/>
        <v>7.2449927972497066E-2</v>
      </c>
      <c r="AN27">
        <f t="shared" si="1"/>
        <v>24.125826014841522</v>
      </c>
      <c r="AO27">
        <f t="shared" si="13"/>
        <v>10.86748919587456</v>
      </c>
      <c r="AQ27" s="30">
        <f t="shared" si="14"/>
        <v>68.102932294147237</v>
      </c>
      <c r="AT27" s="2">
        <f t="shared" si="26"/>
        <v>11</v>
      </c>
      <c r="AU27" s="29">
        <f>AU26+'S. Macro'!$B$3</f>
        <v>13.75</v>
      </c>
      <c r="AV27" s="36">
        <f>'S. Macro'!C27*1000/$AY$8</f>
        <v>8.1723796354798178E-2</v>
      </c>
      <c r="AW27" s="35">
        <f t="shared" si="15"/>
        <v>12.258569453219726</v>
      </c>
      <c r="AX27" s="35">
        <f t="shared" si="16"/>
        <v>27.214024186147793</v>
      </c>
      <c r="AZ27" s="35">
        <f>AVERAGE(AW$16:AW27)</f>
        <v>3.5850646742082222</v>
      </c>
      <c r="BA27" s="35">
        <f>AVERAGE(AX$16:AX27)</f>
        <v>7.9588435767422538</v>
      </c>
      <c r="BC27" s="35">
        <f t="shared" si="17"/>
        <v>20.430949088699546</v>
      </c>
      <c r="BG27" s="2">
        <f>'S. Macro'!A27</f>
        <v>11</v>
      </c>
      <c r="BH27" s="235">
        <f>BH26+'S. Macro'!$B$3</f>
        <v>13.75</v>
      </c>
      <c r="BI27" s="111">
        <f>0.048*('S. Macro'!B27^2.68)/1000</f>
        <v>5.3937705594166795E-2</v>
      </c>
      <c r="BJ27" s="111">
        <f t="shared" si="18"/>
        <v>53.937705594166793</v>
      </c>
      <c r="BK27" s="192">
        <f t="shared" si="19"/>
        <v>46.373145957945603</v>
      </c>
    </row>
    <row r="28" spans="1:63" ht="14">
      <c r="A28" s="240"/>
      <c r="B28" s="2">
        <v>20</v>
      </c>
      <c r="C28" s="2">
        <v>24</v>
      </c>
      <c r="D28" s="2">
        <f>D27+5</f>
        <v>23.75</v>
      </c>
      <c r="I28" s="17" t="s">
        <v>406</v>
      </c>
      <c r="J28" s="11" t="s">
        <v>390</v>
      </c>
      <c r="L28">
        <f t="shared" si="20"/>
        <v>4.8348282785397707</v>
      </c>
      <c r="M28" s="2">
        <f t="shared" si="23"/>
        <v>13</v>
      </c>
      <c r="N28" s="2">
        <f t="shared" si="2"/>
        <v>28.191486628973454</v>
      </c>
      <c r="O28" s="2">
        <f t="shared" si="3"/>
        <v>15.599901345697404</v>
      </c>
      <c r="P28" s="2">
        <f t="shared" si="4"/>
        <v>19.925604456046475</v>
      </c>
      <c r="Q28" s="29">
        <f t="shared" si="21"/>
        <v>16.25</v>
      </c>
      <c r="W28" s="240"/>
      <c r="X28" s="2">
        <f t="shared" si="24"/>
        <v>13</v>
      </c>
      <c r="Y28" s="2">
        <f t="shared" si="5"/>
        <v>0.23067123988532118</v>
      </c>
      <c r="Z28" s="2">
        <f t="shared" si="6"/>
        <v>7.1696389900509666E-2</v>
      </c>
      <c r="AA28" s="2">
        <f t="shared" si="7"/>
        <v>0.11624918339000703</v>
      </c>
      <c r="AB28" s="2">
        <f t="shared" si="8"/>
        <v>7.7716299949747922E-2</v>
      </c>
      <c r="AF28" s="2">
        <f t="shared" si="25"/>
        <v>13</v>
      </c>
      <c r="AG28" s="29">
        <f t="shared" si="22"/>
        <v>16.25</v>
      </c>
      <c r="AH28" s="32">
        <f t="shared" si="9"/>
        <v>138.85294339666666</v>
      </c>
      <c r="AI28" s="31">
        <f t="shared" si="10"/>
        <v>0.14771589723049644</v>
      </c>
      <c r="AJ28">
        <f t="shared" si="0"/>
        <v>49.189393777755313</v>
      </c>
      <c r="AL28" s="30">
        <f t="shared" si="11"/>
        <v>84.397242346188236</v>
      </c>
      <c r="AM28" s="31">
        <f t="shared" si="12"/>
        <v>8.9784300368285358E-2</v>
      </c>
      <c r="AN28">
        <f t="shared" si="1"/>
        <v>29.898172022639024</v>
      </c>
      <c r="AO28">
        <f t="shared" si="13"/>
        <v>13.467645055242803</v>
      </c>
      <c r="AQ28" s="30">
        <f t="shared" si="14"/>
        <v>84.397242346188236</v>
      </c>
      <c r="AT28" s="2">
        <f t="shared" si="26"/>
        <v>12</v>
      </c>
      <c r="AU28" s="29">
        <f>AU27+'S. Macro'!$B$3</f>
        <v>15</v>
      </c>
      <c r="AV28" s="36">
        <f>'S. Macro'!C28*1000/$AY$8</f>
        <v>0.10318626105173824</v>
      </c>
      <c r="AW28" s="35">
        <f t="shared" si="15"/>
        <v>15.477939157760735</v>
      </c>
      <c r="AX28" s="35">
        <f t="shared" si="16"/>
        <v>34.361024930228837</v>
      </c>
      <c r="AZ28" s="35">
        <f>AVERAGE(AW$16:AW28)</f>
        <v>4.4999011729430309</v>
      </c>
      <c r="BA28" s="35">
        <f>AVERAGE(AX$16:AX28)</f>
        <v>9.9897806039335286</v>
      </c>
      <c r="BC28" s="35">
        <f t="shared" si="17"/>
        <v>25.796565262934561</v>
      </c>
      <c r="BG28" s="2">
        <f>'S. Macro'!A28</f>
        <v>12</v>
      </c>
      <c r="BH28" s="235">
        <f>BH27+'S. Macro'!$B$3</f>
        <v>15</v>
      </c>
      <c r="BI28" s="111">
        <f>0.048*('S. Macro'!B28^2.68)/1000</f>
        <v>6.8102932294147239E-2</v>
      </c>
      <c r="BJ28" s="111">
        <f t="shared" si="18"/>
        <v>68.102932294147237</v>
      </c>
      <c r="BK28" s="192">
        <f t="shared" si="19"/>
        <v>59.787329760610369</v>
      </c>
    </row>
    <row r="29" spans="1:63" ht="14">
      <c r="A29" s="240"/>
      <c r="B29" s="2">
        <v>25</v>
      </c>
      <c r="C29" s="2">
        <v>30</v>
      </c>
      <c r="D29" s="2">
        <f>D28+5</f>
        <v>28.75</v>
      </c>
      <c r="I29" s="17" t="s">
        <v>407</v>
      </c>
      <c r="J29" s="11" t="s">
        <v>391</v>
      </c>
      <c r="L29">
        <f t="shared" si="20"/>
        <v>5.8356377321975081</v>
      </c>
      <c r="M29" s="2">
        <f t="shared" si="23"/>
        <v>14</v>
      </c>
      <c r="N29" s="2">
        <f t="shared" si="2"/>
        <v>34.027124361170962</v>
      </c>
      <c r="O29" s="2">
        <f t="shared" si="3"/>
        <v>18.470283193305718</v>
      </c>
      <c r="P29" s="2">
        <f t="shared" si="4"/>
        <v>25.245740845810886</v>
      </c>
      <c r="Q29" s="29">
        <f t="shared" si="21"/>
        <v>17.5</v>
      </c>
      <c r="W29" s="240"/>
      <c r="X29" s="2">
        <f t="shared" si="24"/>
        <v>14</v>
      </c>
      <c r="Y29" s="2">
        <f t="shared" si="5"/>
        <v>0.33445883720514752</v>
      </c>
      <c r="Z29" s="2">
        <f t="shared" si="6"/>
        <v>0.10007983534193091</v>
      </c>
      <c r="AA29" s="2">
        <f t="shared" si="7"/>
        <v>0.18550057326286473</v>
      </c>
      <c r="AB29" s="2">
        <f t="shared" si="8"/>
        <v>8.9963832912011793E-2</v>
      </c>
      <c r="AF29" s="2">
        <f t="shared" si="25"/>
        <v>14</v>
      </c>
      <c r="AG29" s="29">
        <f t="shared" si="22"/>
        <v>17.5</v>
      </c>
      <c r="AH29" s="32">
        <f t="shared" si="9"/>
        <v>167.49174425883984</v>
      </c>
      <c r="AI29" s="31">
        <f t="shared" si="10"/>
        <v>0.17818270665834027</v>
      </c>
      <c r="AJ29">
        <f t="shared" si="0"/>
        <v>59.334841317227308</v>
      </c>
      <c r="AL29" s="30">
        <f t="shared" si="11"/>
        <v>102.93977338732246</v>
      </c>
      <c r="AM29" s="31">
        <f t="shared" si="12"/>
        <v>0.10951039722055581</v>
      </c>
      <c r="AN29">
        <f t="shared" si="1"/>
        <v>36.466962274445081</v>
      </c>
      <c r="AO29">
        <f t="shared" si="13"/>
        <v>16.426559583083371</v>
      </c>
      <c r="AQ29" s="30">
        <f t="shared" si="14"/>
        <v>102.93977338732246</v>
      </c>
      <c r="AT29" s="2">
        <f t="shared" si="26"/>
        <v>13</v>
      </c>
      <c r="AU29" s="29">
        <f>AU28+'S. Macro'!$B$3</f>
        <v>16.25</v>
      </c>
      <c r="AV29" s="36">
        <f>'S. Macro'!C29*1000/$AY$8</f>
        <v>0.12787460961543673</v>
      </c>
      <c r="AW29" s="35">
        <f t="shared" si="15"/>
        <v>19.181191442315509</v>
      </c>
      <c r="AX29" s="35">
        <f t="shared" si="16"/>
        <v>42.582245001940429</v>
      </c>
      <c r="AZ29" s="35">
        <f>AVERAGE(AW$16:AW29)</f>
        <v>5.548564763612494</v>
      </c>
      <c r="BA29" s="35">
        <f>AVERAGE(AX$16:AX29)</f>
        <v>12.317813775219737</v>
      </c>
      <c r="BC29" s="35">
        <f t="shared" si="17"/>
        <v>31.968652403859181</v>
      </c>
      <c r="BG29" s="2">
        <f>'S. Macro'!A29</f>
        <v>13</v>
      </c>
      <c r="BH29" s="235">
        <f>BH28+'S. Macro'!$B$3</f>
        <v>16.25</v>
      </c>
      <c r="BI29" s="111">
        <f>0.048*('S. Macro'!B29^2.68)/1000</f>
        <v>8.4397242346188242E-2</v>
      </c>
      <c r="BJ29" s="111">
        <f t="shared" si="18"/>
        <v>84.397242346188236</v>
      </c>
      <c r="BK29" s="192">
        <f t="shared" si="19"/>
        <v>75.529134406688343</v>
      </c>
    </row>
    <row r="30" spans="1:63" ht="16">
      <c r="A30" s="240"/>
      <c r="B30" s="2">
        <v>30</v>
      </c>
      <c r="C30" s="2">
        <v>35</v>
      </c>
      <c r="D30" s="2">
        <f>D29+5</f>
        <v>33.75</v>
      </c>
      <c r="H30" s="11"/>
      <c r="J30" s="12"/>
      <c r="L30">
        <f t="shared" si="20"/>
        <v>7.0436147427623865</v>
      </c>
      <c r="M30" s="2">
        <f t="shared" si="23"/>
        <v>15</v>
      </c>
      <c r="N30" s="2">
        <f t="shared" si="2"/>
        <v>41.070739103933349</v>
      </c>
      <c r="O30" s="2">
        <f t="shared" si="3"/>
        <v>21.868815300873973</v>
      </c>
      <c r="P30" s="2">
        <f t="shared" si="4"/>
        <v>31.986353651642393</v>
      </c>
      <c r="Q30" s="29">
        <f t="shared" si="21"/>
        <v>18.75</v>
      </c>
      <c r="W30" s="240"/>
      <c r="X30" s="2">
        <f t="shared" si="24"/>
        <v>15</v>
      </c>
      <c r="Y30" s="2">
        <f t="shared" si="5"/>
        <v>0.48494434694256683</v>
      </c>
      <c r="Z30" s="2">
        <f t="shared" si="6"/>
        <v>0.13969982946096443</v>
      </c>
      <c r="AA30" s="2">
        <f t="shared" si="7"/>
        <v>0.29600605937511792</v>
      </c>
      <c r="AB30" s="2">
        <f t="shared" si="8"/>
        <v>0.1030948608167651</v>
      </c>
      <c r="AF30" s="2">
        <f t="shared" si="25"/>
        <v>15</v>
      </c>
      <c r="AG30" s="29">
        <f t="shared" si="22"/>
        <v>18.75</v>
      </c>
      <c r="AH30" s="32">
        <f t="shared" si="9"/>
        <v>199.39791818016283</v>
      </c>
      <c r="AI30" s="31">
        <f t="shared" si="10"/>
        <v>0.21212544487251364</v>
      </c>
      <c r="AJ30">
        <f t="shared" si="0"/>
        <v>70.637773142547047</v>
      </c>
      <c r="AL30" s="30">
        <f t="shared" si="11"/>
        <v>123.84675919336465</v>
      </c>
      <c r="AM30" s="31">
        <f t="shared" si="12"/>
        <v>0.13175187148230283</v>
      </c>
      <c r="AN30">
        <f t="shared" si="1"/>
        <v>43.873373203606839</v>
      </c>
      <c r="AO30">
        <f t="shared" si="13"/>
        <v>19.762780722345425</v>
      </c>
      <c r="AQ30" s="30">
        <f t="shared" si="14"/>
        <v>123.84675919336465</v>
      </c>
      <c r="AT30" s="2">
        <f t="shared" si="26"/>
        <v>14</v>
      </c>
      <c r="AU30" s="29">
        <f>AU29+'S. Macro'!$B$3</f>
        <v>17.5</v>
      </c>
      <c r="AV30" s="36">
        <f>'S. Macro'!C30*1000/$AY$8</f>
        <v>0.15596935361715525</v>
      </c>
      <c r="AW30" s="35">
        <f t="shared" si="15"/>
        <v>23.395403042573289</v>
      </c>
      <c r="AX30" s="35">
        <f t="shared" si="16"/>
        <v>51.937794754512694</v>
      </c>
      <c r="AZ30" s="35">
        <f>AVERAGE(AW$16:AW30)</f>
        <v>6.7383539822098806</v>
      </c>
      <c r="BA30" s="35">
        <f>AVERAGE(AX$16:AX30)</f>
        <v>14.959145840505933</v>
      </c>
      <c r="BC30" s="35">
        <f t="shared" si="17"/>
        <v>38.992338404288809</v>
      </c>
      <c r="BG30" s="2">
        <f>'S. Macro'!A30</f>
        <v>14</v>
      </c>
      <c r="BH30" s="235">
        <f>BH29+'S. Macro'!$B$3</f>
        <v>17.5</v>
      </c>
      <c r="BI30" s="111">
        <f>0.048*('S. Macro'!B30^2.68)/1000</f>
        <v>0.10293977338732246</v>
      </c>
      <c r="BJ30" s="111">
        <f t="shared" si="18"/>
        <v>102.93977338732246</v>
      </c>
      <c r="BK30" s="192">
        <f t="shared" si="19"/>
        <v>93.776448902674716</v>
      </c>
    </row>
    <row r="31" spans="1:63" ht="16">
      <c r="A31" s="240"/>
      <c r="B31" s="2">
        <v>35</v>
      </c>
      <c r="C31" s="2">
        <v>38</v>
      </c>
      <c r="D31" s="2">
        <f>D30+5</f>
        <v>38.75</v>
      </c>
      <c r="J31" s="12"/>
      <c r="L31">
        <f t="shared" si="20"/>
        <v>8.5016429945142278</v>
      </c>
      <c r="M31" s="2">
        <f t="shared" si="23"/>
        <v>16</v>
      </c>
      <c r="N31" s="2">
        <f t="shared" si="2"/>
        <v>49.572382098447576</v>
      </c>
      <c r="O31" s="2">
        <f t="shared" si="3"/>
        <v>25.892677316234778</v>
      </c>
      <c r="P31" s="2">
        <f t="shared" si="4"/>
        <v>40.526710076630899</v>
      </c>
      <c r="Q31" s="29">
        <f>Q30+1</f>
        <v>19.75</v>
      </c>
      <c r="W31" s="240"/>
      <c r="X31" s="2">
        <f t="shared" si="24"/>
        <v>16</v>
      </c>
      <c r="Y31" s="2">
        <f t="shared" si="5"/>
        <v>0.70313890222402975</v>
      </c>
      <c r="Z31" s="2">
        <f t="shared" si="6"/>
        <v>0.19500474081261604</v>
      </c>
      <c r="AA31" s="2">
        <f t="shared" si="7"/>
        <v>0.47234132836141668</v>
      </c>
      <c r="AB31" s="2">
        <f t="shared" si="8"/>
        <v>0.11423476063296728</v>
      </c>
      <c r="AF31" s="2">
        <f t="shared" si="25"/>
        <v>16</v>
      </c>
      <c r="AG31" s="29">
        <f t="shared" si="22"/>
        <v>20</v>
      </c>
      <c r="AH31" s="32">
        <f t="shared" si="9"/>
        <v>234.68217306138843</v>
      </c>
      <c r="AI31" s="31">
        <f t="shared" si="10"/>
        <v>0.2496618862355196</v>
      </c>
      <c r="AJ31">
        <f t="shared" si="0"/>
        <v>83.137408116428034</v>
      </c>
      <c r="AL31" s="30">
        <f t="shared" si="11"/>
        <v>147.23180139556047</v>
      </c>
      <c r="AM31" s="31">
        <f t="shared" si="12"/>
        <v>0.15662957595272389</v>
      </c>
      <c r="AN31">
        <f t="shared" si="1"/>
        <v>52.157648792257056</v>
      </c>
      <c r="AO31">
        <f t="shared" si="13"/>
        <v>23.494436392908582</v>
      </c>
      <c r="AQ31" s="30">
        <f t="shared" si="14"/>
        <v>147.23180139556047</v>
      </c>
      <c r="AT31" s="2">
        <f t="shared" si="26"/>
        <v>15</v>
      </c>
      <c r="AU31" s="29">
        <f>AU30+'S. Macro'!$B$3</f>
        <v>18.75</v>
      </c>
      <c r="AV31" s="36">
        <f>'S. Macro'!C31*1000/$AY$8</f>
        <v>0.18764660483843129</v>
      </c>
      <c r="AW31" s="35">
        <f t="shared" si="15"/>
        <v>28.146990725764695</v>
      </c>
      <c r="AX31" s="35">
        <f t="shared" si="16"/>
        <v>62.48631941119762</v>
      </c>
      <c r="AZ31" s="37">
        <f>AVERAGE(AW$16:AW31)</f>
        <v>8.076393778682057</v>
      </c>
      <c r="BA31" s="37">
        <f>AVERAGE(AX$16:AX31)</f>
        <v>17.929594188674162</v>
      </c>
      <c r="BC31" s="35">
        <f t="shared" si="17"/>
        <v>46.911651209607825</v>
      </c>
      <c r="BD31" s="35">
        <f>AVERAGE(BC$16:BC31)</f>
        <v>13.460656297803425</v>
      </c>
      <c r="BE31" s="35"/>
      <c r="BF31" s="35"/>
      <c r="BG31" s="2">
        <f>'S. Macro'!A31</f>
        <v>15</v>
      </c>
      <c r="BH31" s="235">
        <f>BH30+'S. Macro'!$B$3</f>
        <v>18.75</v>
      </c>
      <c r="BI31" s="111">
        <f>0.048*('S. Macro'!B31^2.68)/1000</f>
        <v>0.12384675919336464</v>
      </c>
      <c r="BJ31" s="111">
        <f t="shared" si="18"/>
        <v>123.84675919336465</v>
      </c>
      <c r="BK31" s="192">
        <f t="shared" si="19"/>
        <v>114.7060686274787</v>
      </c>
    </row>
    <row r="32" spans="1:63" ht="16">
      <c r="A32" s="240"/>
      <c r="J32" s="12"/>
      <c r="M32" s="2">
        <f t="shared" si="23"/>
        <v>17</v>
      </c>
      <c r="N32" s="2">
        <f t="shared" ref="N32:N45" si="27">2.443*((1.207)^M32)</f>
        <v>59.833865192826224</v>
      </c>
      <c r="O32" s="2">
        <f t="shared" ref="O32:O45" si="28">1.736*((1.184)^M32)</f>
        <v>30.656929942421979</v>
      </c>
      <c r="P32" s="2">
        <f t="shared" ref="P32:P45" si="29">0.919*((1.267)^M32)</f>
        <v>51.347341667091349</v>
      </c>
      <c r="Q32" s="29">
        <f t="shared" ref="Q32:Q44" si="30">Q31+1</f>
        <v>20.75</v>
      </c>
      <c r="W32" s="240"/>
      <c r="X32" s="2">
        <f t="shared" si="24"/>
        <v>17</v>
      </c>
      <c r="Y32" s="2">
        <f t="shared" ref="Y32:Y45" si="31">0.0003158*(N32^1.974723)</f>
        <v>1.0195073289087473</v>
      </c>
      <c r="Z32" s="2">
        <f t="shared" ref="Z32:Z45" si="32">0.0003158*(O32^1.974723)</f>
        <v>0.27220397538152497</v>
      </c>
      <c r="AA32" s="2">
        <f t="shared" ref="AA32:AA45" si="33">0.0003158*(P32^1.974723)</f>
        <v>0.75372217362447014</v>
      </c>
      <c r="AB32" s="2">
        <f t="shared" ref="AB32:AB45" si="34">0.0003158*(Q32^1.974723)</f>
        <v>0.12593836803660141</v>
      </c>
      <c r="AF32" s="2">
        <f t="shared" si="25"/>
        <v>17</v>
      </c>
      <c r="AG32" s="29">
        <f t="shared" si="22"/>
        <v>21.25</v>
      </c>
      <c r="AH32" s="32">
        <f t="shared" si="9"/>
        <v>273.45080917639825</v>
      </c>
      <c r="AI32" s="31">
        <f t="shared" si="10"/>
        <v>0.2909051161451045</v>
      </c>
      <c r="AJ32">
        <f t="shared" ref="AJ32:AJ45" si="35">AI32*$AH$57</f>
        <v>96.871403676319801</v>
      </c>
      <c r="AL32" s="30">
        <f t="shared" si="11"/>
        <v>173.20609941297172</v>
      </c>
      <c r="AM32" s="31">
        <f t="shared" si="12"/>
        <v>0.18426180788614013</v>
      </c>
      <c r="AN32">
        <f t="shared" ref="AN32:AN45" si="36">AM32*$AH$57</f>
        <v>61.359182026084667</v>
      </c>
      <c r="AO32">
        <f t="shared" ref="AO32:AO45" si="37">AM32*$AH$55</f>
        <v>27.639271182921021</v>
      </c>
      <c r="AQ32" s="30">
        <f t="shared" ref="AQ32:AQ45" si="38">0.048*(AG32^2.68)</f>
        <v>173.20609941297172</v>
      </c>
      <c r="AT32" s="2">
        <f t="shared" si="26"/>
        <v>16</v>
      </c>
      <c r="AU32" s="29">
        <f>AU31+'S. Macro'!$B$4</f>
        <v>19.75</v>
      </c>
      <c r="AV32" s="36">
        <f>'S. Macro'!C32*1000/$AY$8</f>
        <v>0.21568360295884023</v>
      </c>
      <c r="AW32" s="35">
        <f t="shared" si="15"/>
        <v>32.352540443826037</v>
      </c>
      <c r="AX32" s="35">
        <f t="shared" si="16"/>
        <v>71.822639785293802</v>
      </c>
      <c r="AZ32" s="35">
        <f>AVERAGE(AW$16:AW32)</f>
        <v>9.504402406043468</v>
      </c>
      <c r="BA32" s="35">
        <f>AVERAGE(AX$16:AX32)</f>
        <v>21.099773341416494</v>
      </c>
      <c r="BC32" s="35">
        <f t="shared" si="17"/>
        <v>53.920900739710056</v>
      </c>
      <c r="BD32" s="35">
        <f>AVERAGE(BC$16:BC32)</f>
        <v>15.84067067673911</v>
      </c>
      <c r="BE32" s="35"/>
      <c r="BF32" s="35"/>
      <c r="BG32" s="2">
        <f>'S. Macro'!A32</f>
        <v>16</v>
      </c>
      <c r="BH32" s="235">
        <f>BH31+'S. Macro'!$B$4</f>
        <v>19.75</v>
      </c>
      <c r="BI32" s="111">
        <f>0.048*('S. Macro'!B32^2.68)/1000</f>
        <v>0.14235117795283456</v>
      </c>
      <c r="BJ32" s="111">
        <f t="shared" si="18"/>
        <v>142.35117795283455</v>
      </c>
      <c r="BK32" s="192">
        <f t="shared" si="19"/>
        <v>133.49918448696857</v>
      </c>
    </row>
    <row r="33" spans="1:66" ht="16">
      <c r="A33" s="240"/>
      <c r="J33" s="12"/>
      <c r="M33" s="2">
        <f t="shared" si="23"/>
        <v>18</v>
      </c>
      <c r="N33" s="2">
        <f t="shared" si="27"/>
        <v>72.219475287741261</v>
      </c>
      <c r="O33" s="2">
        <f t="shared" si="28"/>
        <v>36.297805051827616</v>
      </c>
      <c r="P33" s="2">
        <f t="shared" si="29"/>
        <v>65.057081892204735</v>
      </c>
      <c r="Q33" s="29">
        <f t="shared" si="30"/>
        <v>21.75</v>
      </c>
      <c r="W33" s="240"/>
      <c r="X33" s="2">
        <f t="shared" si="24"/>
        <v>18</v>
      </c>
      <c r="Y33" s="2">
        <f t="shared" si="31"/>
        <v>1.4782217146726493</v>
      </c>
      <c r="Z33" s="2">
        <f t="shared" si="32"/>
        <v>0.37996514292288486</v>
      </c>
      <c r="AA33" s="2">
        <f t="shared" si="33"/>
        <v>1.202725827494203</v>
      </c>
      <c r="AB33" s="2">
        <f t="shared" si="34"/>
        <v>0.13820497938401757</v>
      </c>
      <c r="AF33" s="2">
        <f t="shared" si="25"/>
        <v>18</v>
      </c>
      <c r="AG33" s="29">
        <f t="shared" si="22"/>
        <v>22.5</v>
      </c>
      <c r="AH33" s="32">
        <f t="shared" si="9"/>
        <v>315.8061338689613</v>
      </c>
      <c r="AI33" s="31">
        <f t="shared" si="10"/>
        <v>0.33596397220102264</v>
      </c>
      <c r="AJ33">
        <f t="shared" si="35"/>
        <v>111.87600274294054</v>
      </c>
      <c r="AL33" s="30">
        <f t="shared" si="11"/>
        <v>201.8786472344099</v>
      </c>
      <c r="AM33" s="31">
        <f t="shared" si="12"/>
        <v>0.21476451833447863</v>
      </c>
      <c r="AN33">
        <f t="shared" si="36"/>
        <v>71.516584605381382</v>
      </c>
      <c r="AO33">
        <f t="shared" si="37"/>
        <v>32.214677750171795</v>
      </c>
      <c r="AQ33" s="30">
        <f t="shared" si="38"/>
        <v>201.8786472344099</v>
      </c>
      <c r="AT33" s="2">
        <f t="shared" si="26"/>
        <v>17</v>
      </c>
      <c r="AU33" s="29">
        <f>AU32+'S. Macro'!$B$4</f>
        <v>20.75</v>
      </c>
      <c r="AV33" s="36">
        <f>'S. Macro'!C33*1000/$AY$8</f>
        <v>0.24621007058134273</v>
      </c>
      <c r="AW33" s="35">
        <f t="shared" si="15"/>
        <v>36.931510587201409</v>
      </c>
      <c r="AX33" s="35">
        <f t="shared" si="16"/>
        <v>81.987953503587121</v>
      </c>
      <c r="AZ33" s="35">
        <f>AVERAGE(AW$16:AW33)</f>
        <v>11.028130638330019</v>
      </c>
      <c r="BA33" s="35">
        <f>AVERAGE(AX$16:AX33)</f>
        <v>24.482450017092638</v>
      </c>
      <c r="BC33" s="35">
        <f t="shared" si="17"/>
        <v>61.552517645335683</v>
      </c>
      <c r="BD33" s="35">
        <f>AVERAGE(BC$16:BC33)</f>
        <v>18.380217730550029</v>
      </c>
      <c r="BE33" s="35"/>
      <c r="BF33" s="35"/>
      <c r="BG33" s="2">
        <f>'S. Macro'!A33</f>
        <v>17</v>
      </c>
      <c r="BH33" s="235">
        <f>BH32+'S. Macro'!$B$4</f>
        <v>20.75</v>
      </c>
      <c r="BI33" s="111">
        <f>0.048*('S. Macro'!B33^2.68)/1000</f>
        <v>0.16249864658368621</v>
      </c>
      <c r="BJ33" s="111">
        <f t="shared" si="18"/>
        <v>162.4986465836862</v>
      </c>
      <c r="BK33" s="192">
        <f t="shared" si="19"/>
        <v>154.211064793285</v>
      </c>
    </row>
    <row r="34" spans="1:66">
      <c r="A34" s="240"/>
      <c r="M34" s="2">
        <f t="shared" si="23"/>
        <v>19</v>
      </c>
      <c r="N34" s="2">
        <f t="shared" si="27"/>
        <v>87.168906672303706</v>
      </c>
      <c r="O34" s="2">
        <f t="shared" si="28"/>
        <v>42.976601181363897</v>
      </c>
      <c r="P34" s="2">
        <f t="shared" si="29"/>
        <v>82.427322757423383</v>
      </c>
      <c r="Q34" s="29">
        <f t="shared" si="30"/>
        <v>22.75</v>
      </c>
      <c r="W34" s="240"/>
      <c r="X34" s="2">
        <f t="shared" si="24"/>
        <v>19</v>
      </c>
      <c r="Y34" s="2">
        <f t="shared" si="31"/>
        <v>2.1433288175266583</v>
      </c>
      <c r="Z34" s="2">
        <f t="shared" si="32"/>
        <v>0.53038722022355655</v>
      </c>
      <c r="AA34" s="2">
        <f t="shared" si="33"/>
        <v>1.9192077223435033</v>
      </c>
      <c r="AB34" s="2">
        <f t="shared" si="34"/>
        <v>0.15103392499974319</v>
      </c>
      <c r="AF34" s="2">
        <f t="shared" si="25"/>
        <v>19</v>
      </c>
      <c r="AG34" s="29">
        <f t="shared" si="22"/>
        <v>23.75</v>
      </c>
      <c r="AH34" s="32">
        <f t="shared" si="9"/>
        <v>361.84681613044165</v>
      </c>
      <c r="AI34" s="31">
        <f t="shared" si="10"/>
        <v>0.38494342141536347</v>
      </c>
      <c r="AJ34">
        <f t="shared" si="35"/>
        <v>128.18615933131605</v>
      </c>
      <c r="AL34" s="30">
        <f t="shared" si="11"/>
        <v>233.35640349609696</v>
      </c>
      <c r="AM34" s="31">
        <f t="shared" si="12"/>
        <v>0.24825149308095421</v>
      </c>
      <c r="AN34">
        <f t="shared" si="36"/>
        <v>82.667747195957745</v>
      </c>
      <c r="AO34">
        <f t="shared" si="37"/>
        <v>37.237723962143129</v>
      </c>
      <c r="AQ34" s="30">
        <f t="shared" si="38"/>
        <v>233.35640349609696</v>
      </c>
      <c r="AT34" s="2">
        <f t="shared" si="26"/>
        <v>18</v>
      </c>
      <c r="AU34" s="29">
        <f>AU33+'S. Macro'!$B$4</f>
        <v>21.75</v>
      </c>
      <c r="AV34" s="36">
        <f>'S. Macro'!C34*1000/$AY$8</f>
        <v>0.27931105299370312</v>
      </c>
      <c r="AW34" s="35">
        <f t="shared" si="15"/>
        <v>41.896657949055466</v>
      </c>
      <c r="AX34" s="35">
        <f t="shared" si="16"/>
        <v>93.010580646903136</v>
      </c>
      <c r="AZ34" s="35">
        <f>AVERAGE(AW$16:AW34)</f>
        <v>12.652789970473464</v>
      </c>
      <c r="BA34" s="35">
        <f>AVERAGE(AX$16:AX34)</f>
        <v>28.08919373445109</v>
      </c>
      <c r="BC34" s="35">
        <f t="shared" si="17"/>
        <v>69.827763248425782</v>
      </c>
      <c r="BD34" s="35">
        <f>AVERAGE(BC$16:BC34)</f>
        <v>21.087983284122437</v>
      </c>
      <c r="BE34" s="35"/>
      <c r="BF34" s="35"/>
      <c r="BG34" s="2">
        <f>'S. Macro'!A34</f>
        <v>18</v>
      </c>
      <c r="BH34" s="235">
        <f>BH33+'S. Macro'!$B$4</f>
        <v>21.75</v>
      </c>
      <c r="BI34" s="111">
        <f>0.048*('S. Macro'!B34^2.68)/1000</f>
        <v>0.18434529497584407</v>
      </c>
      <c r="BJ34" s="111">
        <f t="shared" si="18"/>
        <v>184.34529497584407</v>
      </c>
      <c r="BK34" s="192">
        <f t="shared" si="19"/>
        <v>176.93091512901393</v>
      </c>
    </row>
    <row r="35" spans="1:66">
      <c r="A35" s="240"/>
      <c r="M35" s="2">
        <f t="shared" si="23"/>
        <v>20</v>
      </c>
      <c r="N35" s="2">
        <f t="shared" si="27"/>
        <v>105.21287035347061</v>
      </c>
      <c r="O35" s="2">
        <f t="shared" si="28"/>
        <v>50.88429579873484</v>
      </c>
      <c r="P35" s="2">
        <f t="shared" si="29"/>
        <v>104.43541793365543</v>
      </c>
      <c r="Q35" s="29">
        <f t="shared" si="30"/>
        <v>23.75</v>
      </c>
      <c r="W35" s="240"/>
      <c r="X35" s="2">
        <f t="shared" si="24"/>
        <v>20</v>
      </c>
      <c r="Y35" s="2">
        <f t="shared" si="31"/>
        <v>3.1076924215374016</v>
      </c>
      <c r="Z35" s="2">
        <f t="shared" si="32"/>
        <v>0.74035897401663542</v>
      </c>
      <c r="AA35" s="2">
        <f t="shared" si="33"/>
        <v>3.0625086759606415</v>
      </c>
      <c r="AB35" s="2">
        <f t="shared" si="34"/>
        <v>0.16442456608140776</v>
      </c>
      <c r="AF35" s="2">
        <f t="shared" si="25"/>
        <v>20</v>
      </c>
      <c r="AG35" s="29">
        <f t="shared" si="22"/>
        <v>25</v>
      </c>
      <c r="AH35" s="32">
        <f t="shared" si="9"/>
        <v>411.66819254803812</v>
      </c>
      <c r="AI35" s="31">
        <f t="shared" si="10"/>
        <v>0.43794488568940226</v>
      </c>
      <c r="AJ35">
        <f t="shared" si="35"/>
        <v>145.83564693457095</v>
      </c>
      <c r="AL35" s="30">
        <f t="shared" si="11"/>
        <v>267.74443975899544</v>
      </c>
      <c r="AM35" s="31">
        <f t="shared" si="12"/>
        <v>0.28483451038191004</v>
      </c>
      <c r="AN35">
        <f t="shared" si="36"/>
        <v>94.849891957176041</v>
      </c>
      <c r="AO35">
        <f t="shared" si="37"/>
        <v>42.72517655728651</v>
      </c>
      <c r="AQ35" s="30">
        <f t="shared" si="38"/>
        <v>267.74443975899544</v>
      </c>
      <c r="AT35" s="2">
        <f t="shared" si="26"/>
        <v>19</v>
      </c>
      <c r="AU35" s="29">
        <f>AU34+'S. Macro'!$B$4</f>
        <v>22.75</v>
      </c>
      <c r="AV35" s="36">
        <f>'S. Macro'!C35*1000/$AY$8</f>
        <v>0.3150702927603814</v>
      </c>
      <c r="AW35" s="35">
        <f t="shared" si="15"/>
        <v>47.260543914057209</v>
      </c>
      <c r="AX35" s="35">
        <f t="shared" si="16"/>
        <v>104.918407489207</v>
      </c>
      <c r="AZ35" s="35">
        <f>AVERAGE(AW$16:AW35)</f>
        <v>14.383177667652651</v>
      </c>
      <c r="BA35" s="35">
        <f>AVERAGE(AX$16:AX35)</f>
        <v>31.930654422188884</v>
      </c>
      <c r="BC35" s="35">
        <f t="shared" si="17"/>
        <v>78.767573190095348</v>
      </c>
      <c r="BD35" s="35">
        <f>AVERAGE(BC$16:BC35)</f>
        <v>23.971962779421084</v>
      </c>
      <c r="BE35" s="35"/>
      <c r="BF35" s="35"/>
      <c r="BG35" s="2">
        <f>'S. Macro'!A35</f>
        <v>19</v>
      </c>
      <c r="BH35" s="235">
        <f>BH34+'S. Macro'!$B$4</f>
        <v>22.75</v>
      </c>
      <c r="BI35" s="111">
        <f>0.048*('S. Macro'!B35^2.68)/1000</f>
        <v>0.20794639322185174</v>
      </c>
      <c r="BJ35" s="111">
        <f t="shared" si="18"/>
        <v>207.94639322185174</v>
      </c>
      <c r="BK35" s="192">
        <f t="shared" si="19"/>
        <v>201.74759753197719</v>
      </c>
    </row>
    <row r="36" spans="1:66">
      <c r="A36" s="240"/>
      <c r="M36" s="2">
        <f t="shared" si="23"/>
        <v>21</v>
      </c>
      <c r="N36" s="2">
        <f t="shared" si="27"/>
        <v>126.99193451663902</v>
      </c>
      <c r="O36" s="2">
        <f t="shared" si="28"/>
        <v>60.247006225702059</v>
      </c>
      <c r="P36" s="2">
        <f t="shared" si="29"/>
        <v>132.31967452194141</v>
      </c>
      <c r="Q36" s="29">
        <f t="shared" si="30"/>
        <v>24.75</v>
      </c>
      <c r="W36" s="240"/>
      <c r="X36" s="2">
        <f t="shared" si="24"/>
        <v>21</v>
      </c>
      <c r="Y36" s="2">
        <f t="shared" si="31"/>
        <v>4.5059591920318569</v>
      </c>
      <c r="Z36" s="2">
        <f t="shared" si="32"/>
        <v>1.03345516163819</v>
      </c>
      <c r="AA36" s="2">
        <f t="shared" si="33"/>
        <v>4.886891231805671</v>
      </c>
      <c r="AB36" s="2">
        <f t="shared" si="34"/>
        <v>0.17837629200797808</v>
      </c>
      <c r="AF36" s="2">
        <f t="shared" si="25"/>
        <v>21</v>
      </c>
      <c r="AG36" s="29">
        <f t="shared" si="22"/>
        <v>26.25</v>
      </c>
      <c r="AH36" s="32">
        <f t="shared" si="9"/>
        <v>465.36253343790673</v>
      </c>
      <c r="AI36" s="31">
        <f t="shared" si="10"/>
        <v>0.49506652493394332</v>
      </c>
      <c r="AJ36">
        <f t="shared" si="35"/>
        <v>164.85715280300312</v>
      </c>
      <c r="AL36" s="30">
        <f t="shared" si="11"/>
        <v>305.14607077844329</v>
      </c>
      <c r="AM36" s="31">
        <f t="shared" si="12"/>
        <v>0.32462347955153542</v>
      </c>
      <c r="AN36">
        <f t="shared" si="36"/>
        <v>108.0996186906613</v>
      </c>
      <c r="AO36">
        <f t="shared" si="37"/>
        <v>48.693521932730313</v>
      </c>
      <c r="AQ36" s="30">
        <f t="shared" si="38"/>
        <v>305.14607077844329</v>
      </c>
      <c r="AT36" s="2">
        <f t="shared" si="26"/>
        <v>20</v>
      </c>
      <c r="AU36" s="29">
        <f>AU35+'S. Macro'!$B$4</f>
        <v>23.75</v>
      </c>
      <c r="AV36" s="36">
        <f>'S. Macro'!C36*1000/$AY$8</f>
        <v>0.35357030832741965</v>
      </c>
      <c r="AW36" s="35">
        <f t="shared" si="15"/>
        <v>53.035546249112947</v>
      </c>
      <c r="AX36" s="35">
        <f t="shared" si="16"/>
        <v>117.73891267303074</v>
      </c>
      <c r="AZ36" s="37">
        <f>AVERAGE(AW$16:AW36)</f>
        <v>16.22376664772219</v>
      </c>
      <c r="BA36" s="37">
        <f>AVERAGE(AX$16:AX36)</f>
        <v>36.01676195794326</v>
      </c>
      <c r="BC36" s="35">
        <f t="shared" si="17"/>
        <v>88.39257708185491</v>
      </c>
      <c r="BD36" s="35">
        <f>AVERAGE(BC$16:BC36)</f>
        <v>27.039611079536979</v>
      </c>
      <c r="BE36" s="35"/>
      <c r="BF36" s="35"/>
      <c r="BG36" s="2">
        <f>'S. Macro'!A36</f>
        <v>20</v>
      </c>
      <c r="BH36" s="235">
        <f>BH35+'S. Macro'!$B$4</f>
        <v>23.75</v>
      </c>
      <c r="BI36" s="111">
        <f>0.048*('S. Macro'!B36^2.68)/1000</f>
        <v>0.23335640349609696</v>
      </c>
      <c r="BJ36" s="111">
        <f t="shared" si="18"/>
        <v>233.35640349609696</v>
      </c>
      <c r="BK36" s="192">
        <f t="shared" si="19"/>
        <v>228.74964754777244</v>
      </c>
    </row>
    <row r="37" spans="1:66">
      <c r="A37" s="240"/>
      <c r="M37" s="2">
        <f t="shared" si="23"/>
        <v>22</v>
      </c>
      <c r="N37" s="2">
        <f t="shared" si="27"/>
        <v>153.27926496158332</v>
      </c>
      <c r="O37" s="2">
        <f t="shared" si="28"/>
        <v>71.332455371231219</v>
      </c>
      <c r="P37" s="2">
        <f t="shared" si="29"/>
        <v>167.64902761929977</v>
      </c>
      <c r="Q37" s="29">
        <f t="shared" si="30"/>
        <v>25.75</v>
      </c>
      <c r="W37" s="240"/>
      <c r="X37" s="2">
        <f t="shared" si="24"/>
        <v>22</v>
      </c>
      <c r="Y37" s="2">
        <f t="shared" si="31"/>
        <v>6.5333583528230852</v>
      </c>
      <c r="Z37" s="2">
        <f t="shared" si="32"/>
        <v>1.4425834069684926</v>
      </c>
      <c r="AA37" s="2">
        <f t="shared" si="33"/>
        <v>7.7980859610162536</v>
      </c>
      <c r="AB37" s="2">
        <f t="shared" si="34"/>
        <v>0.19288851798423609</v>
      </c>
      <c r="AF37" s="2">
        <f t="shared" si="25"/>
        <v>22</v>
      </c>
      <c r="AG37" s="29">
        <f t="shared" si="22"/>
        <v>27.5</v>
      </c>
      <c r="AH37" s="32">
        <f t="shared" si="9"/>
        <v>523.01927602631645</v>
      </c>
      <c r="AI37" s="31">
        <f t="shared" si="10"/>
        <v>0.55640348513437921</v>
      </c>
      <c r="AJ37">
        <f t="shared" si="35"/>
        <v>185.28236054974826</v>
      </c>
      <c r="AL37" s="30">
        <f t="shared" si="11"/>
        <v>345.66296974227436</v>
      </c>
      <c r="AM37" s="31">
        <f t="shared" si="12"/>
        <v>0.36772656355561101</v>
      </c>
      <c r="AN37">
        <f t="shared" si="36"/>
        <v>122.45294566401847</v>
      </c>
      <c r="AO37">
        <f t="shared" si="37"/>
        <v>55.158984533341652</v>
      </c>
      <c r="AQ37" s="30">
        <f t="shared" si="38"/>
        <v>345.66296974227436</v>
      </c>
      <c r="AT37" s="2">
        <f t="shared" si="26"/>
        <v>21</v>
      </c>
      <c r="AU37" s="29">
        <f>AU36+'S. Macro'!$B$4</f>
        <v>24.75</v>
      </c>
      <c r="AV37" s="36">
        <f>'S. Macro'!C37*1000/$AY$8</f>
        <v>0.39489246465099265</v>
      </c>
      <c r="AW37" s="35">
        <f t="shared" si="15"/>
        <v>59.233869697648899</v>
      </c>
      <c r="AX37" s="35">
        <f t="shared" si="16"/>
        <v>131.49919072878055</v>
      </c>
      <c r="AZ37" s="35">
        <f>AVERAGE(AW$16:AW37)</f>
        <v>18.178771331809767</v>
      </c>
      <c r="BA37" s="35">
        <f>AVERAGE(AX$16:AX37)</f>
        <v>40.356872356617686</v>
      </c>
      <c r="BC37" s="35">
        <f t="shared" si="17"/>
        <v>98.723116162748155</v>
      </c>
      <c r="BD37" s="35">
        <f>AVERAGE(BC$16:BC37)</f>
        <v>30.297952219682941</v>
      </c>
      <c r="BG37" s="2">
        <f>'S. Macro'!A37</f>
        <v>21</v>
      </c>
      <c r="BH37" s="235">
        <f>BH36+'S. Macro'!$B$4</f>
        <v>24.75</v>
      </c>
      <c r="BI37" s="111">
        <f>0.048*('S. Macro'!B37^2.68)/1000</f>
        <v>0.26062902666965515</v>
      </c>
      <c r="BJ37" s="111">
        <f t="shared" si="18"/>
        <v>260.62902666965516</v>
      </c>
      <c r="BK37" s="192">
        <f t="shared" si="19"/>
        <v>258.02528972278679</v>
      </c>
    </row>
    <row r="38" spans="1:66">
      <c r="A38" s="240"/>
      <c r="M38" s="2">
        <f t="shared" si="23"/>
        <v>23</v>
      </c>
      <c r="N38" s="2">
        <f t="shared" si="27"/>
        <v>185.00807280863108</v>
      </c>
      <c r="O38" s="2">
        <f t="shared" si="28"/>
        <v>84.457627159537765</v>
      </c>
      <c r="P38" s="2">
        <f t="shared" si="29"/>
        <v>212.41131799365277</v>
      </c>
      <c r="Q38" s="29">
        <f t="shared" si="30"/>
        <v>26.75</v>
      </c>
      <c r="W38" s="240"/>
      <c r="X38" s="2">
        <f t="shared" si="24"/>
        <v>23</v>
      </c>
      <c r="Y38" s="2">
        <f t="shared" si="31"/>
        <v>9.4729600396481803</v>
      </c>
      <c r="Z38" s="2">
        <f t="shared" si="32"/>
        <v>2.0136789319064743</v>
      </c>
      <c r="AA38" s="2">
        <f t="shared" si="33"/>
        <v>12.443523248404665</v>
      </c>
      <c r="AB38" s="2">
        <f t="shared" si="34"/>
        <v>0.20796068296780934</v>
      </c>
      <c r="AF38" s="2">
        <f t="shared" si="25"/>
        <v>23</v>
      </c>
      <c r="AG38" s="29">
        <f t="shared" si="22"/>
        <v>28.75</v>
      </c>
      <c r="AH38" s="32">
        <f t="shared" si="9"/>
        <v>584.72523009405688</v>
      </c>
      <c r="AI38" s="31">
        <f t="shared" si="10"/>
        <v>0.62204811712133712</v>
      </c>
      <c r="AJ38">
        <f t="shared" si="35"/>
        <v>207.14202300140525</v>
      </c>
      <c r="AL38" s="30">
        <f t="shared" si="11"/>
        <v>389.39527084354216</v>
      </c>
      <c r="AM38" s="31">
        <f t="shared" si="12"/>
        <v>0.41425028813142784</v>
      </c>
      <c r="AN38">
        <f t="shared" si="36"/>
        <v>137.94534594776547</v>
      </c>
      <c r="AO38">
        <f t="shared" si="37"/>
        <v>62.137543219714175</v>
      </c>
      <c r="AQ38" s="30">
        <f t="shared" si="38"/>
        <v>389.39527084354216</v>
      </c>
      <c r="AT38" s="2">
        <f t="shared" si="26"/>
        <v>22</v>
      </c>
      <c r="AU38" s="29">
        <f>AU37+'S. Macro'!$B$4</f>
        <v>25.75</v>
      </c>
      <c r="AV38" s="36">
        <f>'S. Macro'!C38*1000/$AY$8</f>
        <v>0.4391170369599306</v>
      </c>
      <c r="AW38" s="35">
        <f t="shared" si="15"/>
        <v>65.867555543989596</v>
      </c>
      <c r="AX38" s="35">
        <f t="shared" si="16"/>
        <v>146.22597330765689</v>
      </c>
      <c r="AZ38" s="35">
        <f>AVERAGE(AW$16:AW38)</f>
        <v>20.252196732339325</v>
      </c>
      <c r="BA38" s="35">
        <f>AVERAGE(AX$16:AX38)</f>
        <v>44.959876745793302</v>
      </c>
      <c r="BC38" s="35">
        <f t="shared" si="17"/>
        <v>109.77925923998265</v>
      </c>
      <c r="BD38" s="35">
        <f>AVERAGE(BC$16:BC38)</f>
        <v>33.75366122056554</v>
      </c>
      <c r="BG38" s="2">
        <f>'S. Macro'!A38</f>
        <v>22</v>
      </c>
      <c r="BH38" s="235">
        <f>BH37+'S. Macro'!$B$4</f>
        <v>25.75</v>
      </c>
      <c r="BI38" s="111">
        <f>0.048*('S. Macro'!B38^2.68)/1000</f>
        <v>0.28981724439355416</v>
      </c>
      <c r="BJ38" s="111">
        <f t="shared" si="18"/>
        <v>289.81724439355418</v>
      </c>
      <c r="BK38" s="192">
        <f t="shared" si="19"/>
        <v>289.66245174009799</v>
      </c>
    </row>
    <row r="39" spans="1:66">
      <c r="A39" s="240"/>
      <c r="M39" s="2">
        <f t="shared" si="23"/>
        <v>24</v>
      </c>
      <c r="N39" s="2">
        <f t="shared" si="27"/>
        <v>223.30474388001775</v>
      </c>
      <c r="O39" s="2">
        <f t="shared" si="28"/>
        <v>99.997830556892694</v>
      </c>
      <c r="P39" s="2">
        <f t="shared" si="29"/>
        <v>269.12513989795804</v>
      </c>
      <c r="Q39" s="29">
        <f t="shared" si="30"/>
        <v>27.75</v>
      </c>
      <c r="W39" s="240"/>
      <c r="X39" s="2">
        <f t="shared" si="24"/>
        <v>24</v>
      </c>
      <c r="Y39" s="2">
        <f t="shared" si="31"/>
        <v>13.735198203844957</v>
      </c>
      <c r="Z39" s="2">
        <f t="shared" si="32"/>
        <v>2.8108619724977633</v>
      </c>
      <c r="AA39" s="2">
        <f t="shared" si="33"/>
        <v>19.856317512741082</v>
      </c>
      <c r="AB39" s="2">
        <f t="shared" si="34"/>
        <v>0.22359224783536161</v>
      </c>
      <c r="AF39" s="2">
        <f t="shared" si="25"/>
        <v>24</v>
      </c>
      <c r="AG39" s="29">
        <f t="shared" si="22"/>
        <v>30</v>
      </c>
      <c r="AH39" s="32">
        <f t="shared" si="9"/>
        <v>650.564760407942</v>
      </c>
      <c r="AI39" s="31">
        <f t="shared" si="10"/>
        <v>0.69209017064674683</v>
      </c>
      <c r="AJ39">
        <f t="shared" si="35"/>
        <v>230.4660268253667</v>
      </c>
      <c r="AL39" s="30">
        <f t="shared" si="11"/>
        <v>436.44166109093504</v>
      </c>
      <c r="AM39" s="31">
        <f t="shared" si="12"/>
        <v>0.46429963945844155</v>
      </c>
      <c r="AN39">
        <f t="shared" si="36"/>
        <v>154.61177993966103</v>
      </c>
      <c r="AO39">
        <f t="shared" si="37"/>
        <v>69.644945918766226</v>
      </c>
      <c r="AQ39" s="30">
        <f t="shared" si="38"/>
        <v>436.44166109093504</v>
      </c>
      <c r="AT39" s="2">
        <f t="shared" si="26"/>
        <v>23</v>
      </c>
      <c r="AU39" s="29">
        <f>AU38+'S. Macro'!$B$4</f>
        <v>26.75</v>
      </c>
      <c r="AV39" s="36">
        <f>'S. Macro'!C39*1000/$AY$8</f>
        <v>0.4863232685694327</v>
      </c>
      <c r="AW39" s="35">
        <f t="shared" si="15"/>
        <v>72.948490285414906</v>
      </c>
      <c r="AX39" s="35">
        <f t="shared" si="16"/>
        <v>161.9456484336211</v>
      </c>
      <c r="AZ39" s="35">
        <f>AVERAGE(AW$16:AW39)</f>
        <v>22.447875630384143</v>
      </c>
      <c r="BA39" s="35">
        <f>AVERAGE(AX$16:AX39)</f>
        <v>49.834283899452792</v>
      </c>
      <c r="BC39" s="35">
        <f t="shared" si="17"/>
        <v>121.58081714235817</v>
      </c>
      <c r="BD39" s="35">
        <f>AVERAGE(BC$16:BC39)</f>
        <v>37.413126050640237</v>
      </c>
      <c r="BG39" s="2">
        <f>'S. Macro'!A39</f>
        <v>23</v>
      </c>
      <c r="BH39" s="235">
        <f>BH38+'S. Macro'!$B$4</f>
        <v>26.75</v>
      </c>
      <c r="BI39" s="111">
        <f>0.048*('S. Macro'!B39^2.68)/1000</f>
        <v>0.3209733572558256</v>
      </c>
      <c r="BJ39" s="111">
        <f t="shared" si="18"/>
        <v>320.97335725582559</v>
      </c>
      <c r="BK39" s="192">
        <f t="shared" si="19"/>
        <v>323.74877736726984</v>
      </c>
    </row>
    <row r="40" spans="1:66">
      <c r="A40" s="240"/>
      <c r="M40" s="2">
        <f t="shared" si="23"/>
        <v>25</v>
      </c>
      <c r="N40" s="2">
        <f t="shared" si="27"/>
        <v>269.52882586318151</v>
      </c>
      <c r="O40" s="2">
        <f t="shared" si="28"/>
        <v>118.39743137936097</v>
      </c>
      <c r="P40" s="2">
        <f t="shared" si="29"/>
        <v>340.98155225071281</v>
      </c>
      <c r="Q40" s="29">
        <f t="shared" si="30"/>
        <v>28.75</v>
      </c>
      <c r="W40" s="240"/>
      <c r="X40" s="2">
        <f t="shared" si="24"/>
        <v>25</v>
      </c>
      <c r="Y40" s="2">
        <f t="shared" si="31"/>
        <v>19.915176345018409</v>
      </c>
      <c r="Z40" s="2">
        <f t="shared" si="32"/>
        <v>3.9236369330008904</v>
      </c>
      <c r="AA40" s="2">
        <f t="shared" si="33"/>
        <v>31.685024996223405</v>
      </c>
      <c r="AB40" s="2">
        <f t="shared" si="34"/>
        <v>0.23978269375256742</v>
      </c>
      <c r="AF40" s="2">
        <f t="shared" si="25"/>
        <v>25</v>
      </c>
      <c r="AG40" s="29">
        <f t="shared" si="22"/>
        <v>31.25</v>
      </c>
      <c r="AH40" s="32">
        <f t="shared" si="9"/>
        <v>720.6199494291568</v>
      </c>
      <c r="AI40" s="31">
        <f t="shared" si="10"/>
        <v>0.76661696747782637</v>
      </c>
      <c r="AJ40">
        <f t="shared" si="35"/>
        <v>255.28345017011617</v>
      </c>
      <c r="AL40" s="30">
        <f t="shared" si="11"/>
        <v>486.89946290380857</v>
      </c>
      <c r="AM40" s="31">
        <f t="shared" si="12"/>
        <v>0.51797815202532826</v>
      </c>
      <c r="AN40">
        <f t="shared" si="36"/>
        <v>172.48672462443432</v>
      </c>
      <c r="AO40">
        <f t="shared" si="37"/>
        <v>77.696722803799233</v>
      </c>
      <c r="AQ40" s="30">
        <f t="shared" si="38"/>
        <v>486.89946290380857</v>
      </c>
      <c r="AT40" s="2">
        <f t="shared" si="26"/>
        <v>24</v>
      </c>
      <c r="AU40" s="29">
        <f>AU39+'S. Macro'!$B$4</f>
        <v>27.75</v>
      </c>
      <c r="AV40" s="36">
        <f>'S. Macro'!C40*1000/$AY$8</f>
        <v>0.53658942350984262</v>
      </c>
      <c r="AW40" s="35">
        <f t="shared" si="15"/>
        <v>80.488413526476393</v>
      </c>
      <c r="AX40" s="35">
        <f t="shared" si="16"/>
        <v>178.68427802877758</v>
      </c>
      <c r="AZ40" s="35">
        <f>AVERAGE(AW$16:AW40)</f>
        <v>24.769497146227831</v>
      </c>
      <c r="BA40" s="35">
        <f>AVERAGE(AX$16:AX40)</f>
        <v>54.988283664625776</v>
      </c>
      <c r="BC40" s="35">
        <f t="shared" si="17"/>
        <v>134.14735587746065</v>
      </c>
      <c r="BD40" s="35">
        <f>AVERAGE(BC$16:BC40)</f>
        <v>41.282495243713058</v>
      </c>
      <c r="BG40" s="2">
        <f>'S. Macro'!A40</f>
        <v>24</v>
      </c>
      <c r="BH40" s="235">
        <f>BH39+'S. Macro'!$B$4</f>
        <v>27.75</v>
      </c>
      <c r="BI40" s="111">
        <f>0.048*('S. Macro'!B40^2.68)/1000</f>
        <v>0.35414901951649613</v>
      </c>
      <c r="BJ40" s="111">
        <f t="shared" si="18"/>
        <v>354.14901951649614</v>
      </c>
      <c r="BK40" s="192">
        <f t="shared" si="19"/>
        <v>360.37163835823321</v>
      </c>
    </row>
    <row r="41" spans="1:66">
      <c r="A41" s="240"/>
      <c r="M41" s="2">
        <f t="shared" si="23"/>
        <v>26</v>
      </c>
      <c r="N41" s="2">
        <f t="shared" si="27"/>
        <v>325.32129281686002</v>
      </c>
      <c r="O41" s="2">
        <f t="shared" si="28"/>
        <v>140.18255875316333</v>
      </c>
      <c r="P41" s="2">
        <f t="shared" si="29"/>
        <v>432.02362670165309</v>
      </c>
      <c r="Q41" s="29">
        <f t="shared" si="30"/>
        <v>29.75</v>
      </c>
      <c r="W41" s="240"/>
      <c r="X41" s="2">
        <f t="shared" si="24"/>
        <v>26</v>
      </c>
      <c r="Y41" s="2">
        <f t="shared" si="31"/>
        <v>28.875757230948054</v>
      </c>
      <c r="Z41" s="2">
        <f t="shared" si="32"/>
        <v>5.4769415690406555</v>
      </c>
      <c r="AA41" s="2">
        <f t="shared" si="33"/>
        <v>50.56027173050127</v>
      </c>
      <c r="AB41" s="2">
        <f t="shared" si="34"/>
        <v>0.25653152071879975</v>
      </c>
      <c r="AF41" s="2">
        <f t="shared" si="25"/>
        <v>26</v>
      </c>
      <c r="AG41" s="29">
        <f t="shared" si="22"/>
        <v>32.5</v>
      </c>
      <c r="AH41" s="32">
        <f t="shared" si="9"/>
        <v>794.97074314261988</v>
      </c>
      <c r="AI41" s="31">
        <f t="shared" si="10"/>
        <v>0.84571355653470204</v>
      </c>
      <c r="AJ41">
        <f t="shared" si="35"/>
        <v>281.62261432605578</v>
      </c>
      <c r="AL41" s="30">
        <f t="shared" si="11"/>
        <v>540.86470876130124</v>
      </c>
      <c r="AM41" s="31">
        <f t="shared" si="12"/>
        <v>0.57538798804393754</v>
      </c>
      <c r="AN41">
        <f t="shared" si="36"/>
        <v>191.60420001863119</v>
      </c>
      <c r="AO41">
        <f t="shared" si="37"/>
        <v>86.308198206590632</v>
      </c>
      <c r="AQ41" s="30">
        <f t="shared" si="38"/>
        <v>540.86470876130124</v>
      </c>
      <c r="AT41" s="2">
        <f t="shared" si="26"/>
        <v>25</v>
      </c>
      <c r="AU41" s="29">
        <f>AU40+'S. Macro'!$B$4</f>
        <v>28.75</v>
      </c>
      <c r="AV41" s="36">
        <f>'S. Macro'!C41*1000/$AY$8</f>
        <v>0.58999283461142749</v>
      </c>
      <c r="AW41" s="35">
        <f t="shared" si="15"/>
        <v>88.498925191714122</v>
      </c>
      <c r="AX41" s="35">
        <f t="shared" si="16"/>
        <v>196.46761392560535</v>
      </c>
      <c r="AZ41" s="35">
        <f>AVERAGE(AW$16:AW41)</f>
        <v>27.22062899413115</v>
      </c>
      <c r="BA41" s="35">
        <f>AVERAGE(AX$16:AX41)</f>
        <v>60.429796366971146</v>
      </c>
      <c r="BC41" s="35">
        <f t="shared" si="17"/>
        <v>147.49820865285687</v>
      </c>
      <c r="BD41" s="35">
        <f>AVERAGE(BC$16:BC41)</f>
        <v>45.367714990218587</v>
      </c>
      <c r="BG41" s="2">
        <f>'S. Macro'!A41</f>
        <v>25</v>
      </c>
      <c r="BH41" s="235">
        <f>BH40+'S. Macro'!$B$4</f>
        <v>28.75</v>
      </c>
      <c r="BI41" s="111">
        <f>0.048*('S. Macro'!B41^2.68)/1000</f>
        <v>0.38939527084354214</v>
      </c>
      <c r="BJ41" s="111">
        <f t="shared" si="18"/>
        <v>389.39527084354216</v>
      </c>
      <c r="BK41" s="192">
        <f t="shared" si="19"/>
        <v>399.61814542974531</v>
      </c>
    </row>
    <row r="42" spans="1:66" ht="16">
      <c r="A42" s="240"/>
      <c r="B42" t="s">
        <v>475</v>
      </c>
      <c r="J42" s="12"/>
      <c r="M42" s="2">
        <f t="shared" si="23"/>
        <v>27</v>
      </c>
      <c r="N42" s="2">
        <f t="shared" si="27"/>
        <v>392.66280042995004</v>
      </c>
      <c r="O42" s="2">
        <f t="shared" si="28"/>
        <v>165.97614956374537</v>
      </c>
      <c r="P42" s="2">
        <f t="shared" si="29"/>
        <v>547.3739350309944</v>
      </c>
      <c r="Q42" s="29">
        <f t="shared" si="30"/>
        <v>30.75</v>
      </c>
      <c r="W42" s="240"/>
      <c r="X42" s="2">
        <f t="shared" si="24"/>
        <v>27</v>
      </c>
      <c r="Y42" s="2">
        <f t="shared" si="31"/>
        <v>41.868037782613804</v>
      </c>
      <c r="Z42" s="2">
        <f t="shared" si="32"/>
        <v>7.6451744804387847</v>
      </c>
      <c r="AA42" s="2">
        <f t="shared" si="33"/>
        <v>80.679787305417022</v>
      </c>
      <c r="AB42" s="2">
        <f t="shared" si="34"/>
        <v>0.27383824626245673</v>
      </c>
      <c r="AF42" s="2">
        <f t="shared" si="25"/>
        <v>27</v>
      </c>
      <c r="AG42" s="29">
        <f t="shared" si="22"/>
        <v>33.75</v>
      </c>
      <c r="AH42" s="32">
        <f t="shared" si="9"/>
        <v>873.69508234608884</v>
      </c>
      <c r="AI42" s="31">
        <f t="shared" si="10"/>
        <v>0.92946285355966896</v>
      </c>
      <c r="AJ42">
        <f t="shared" si="35"/>
        <v>309.51113023536976</v>
      </c>
      <c r="AL42" s="30">
        <f t="shared" si="11"/>
        <v>598.43220895641048</v>
      </c>
      <c r="AM42" s="31">
        <f t="shared" si="12"/>
        <v>0.63663000952809623</v>
      </c>
      <c r="AN42">
        <f t="shared" si="36"/>
        <v>211.99779317285603</v>
      </c>
      <c r="AO42">
        <f t="shared" si="37"/>
        <v>95.494501429214438</v>
      </c>
      <c r="AQ42" s="30">
        <f t="shared" si="38"/>
        <v>598.43220895641048</v>
      </c>
      <c r="AT42" s="2">
        <f t="shared" si="26"/>
        <v>26</v>
      </c>
      <c r="AU42" s="29">
        <f>AU41+'S. Macro'!$B$4</f>
        <v>29.75</v>
      </c>
      <c r="AV42" s="36">
        <f>'S. Macro'!C42*1000/$AY$8</f>
        <v>0.646609947586675</v>
      </c>
      <c r="AW42" s="35">
        <f t="shared" si="15"/>
        <v>96.991492138001249</v>
      </c>
      <c r="AX42" s="35">
        <f t="shared" si="16"/>
        <v>215.32111254636277</v>
      </c>
      <c r="AZ42" s="35">
        <f>AVERAGE(AW$16:AW42)</f>
        <v>29.804735036496709</v>
      </c>
      <c r="BA42" s="35">
        <f>AVERAGE(AX$16:AX42)</f>
        <v>66.166511781022677</v>
      </c>
      <c r="BC42" s="35">
        <f t="shared" si="17"/>
        <v>161.65248689666876</v>
      </c>
      <c r="BD42" s="35">
        <f>AVERAGE(BC$16:BC42)</f>
        <v>49.674558394161188</v>
      </c>
      <c r="BG42" s="2">
        <f>'S. Macro'!A42</f>
        <v>26</v>
      </c>
      <c r="BH42" s="235">
        <f>BH41+'S. Macro'!$B$4</f>
        <v>29.75</v>
      </c>
      <c r="BI42" s="111">
        <f>0.048*('S. Macro'!B42^2.68)/1000</f>
        <v>0.42676256540720547</v>
      </c>
      <c r="BJ42" s="111">
        <f t="shared" si="18"/>
        <v>426.7625654072055</v>
      </c>
      <c r="BK42" s="192">
        <f t="shared" si="19"/>
        <v>441.57515841517278</v>
      </c>
    </row>
    <row r="43" spans="1:66">
      <c r="A43" s="240"/>
      <c r="B43" s="849" t="s">
        <v>478</v>
      </c>
      <c r="C43" s="849"/>
      <c r="D43" s="849"/>
      <c r="E43" s="849"/>
      <c r="F43" s="849"/>
      <c r="G43" s="849"/>
      <c r="H43" s="849"/>
      <c r="I43" s="849"/>
      <c r="J43" s="849"/>
      <c r="K43" s="849"/>
      <c r="M43" s="2">
        <f t="shared" si="23"/>
        <v>28</v>
      </c>
      <c r="N43" s="2">
        <f t="shared" si="27"/>
        <v>473.94400011894993</v>
      </c>
      <c r="O43" s="2">
        <f t="shared" si="28"/>
        <v>196.5157610834745</v>
      </c>
      <c r="P43" s="2">
        <f t="shared" si="29"/>
        <v>693.52277568426985</v>
      </c>
      <c r="Q43" s="29">
        <f t="shared" si="30"/>
        <v>31.75</v>
      </c>
      <c r="W43" s="240"/>
      <c r="X43" s="2">
        <f t="shared" si="24"/>
        <v>28</v>
      </c>
      <c r="Y43" s="2">
        <f t="shared" si="31"/>
        <v>60.706030104992244</v>
      </c>
      <c r="Z43" s="2">
        <f t="shared" si="32"/>
        <v>10.671775862416284</v>
      </c>
      <c r="AA43" s="2">
        <f t="shared" si="33"/>
        <v>128.74195206748732</v>
      </c>
      <c r="AB43" s="2">
        <f t="shared" si="34"/>
        <v>0.29170240426686622</v>
      </c>
      <c r="AF43" s="2">
        <f t="shared" si="25"/>
        <v>28</v>
      </c>
      <c r="AG43" s="29">
        <f t="shared" si="22"/>
        <v>35</v>
      </c>
      <c r="AH43" s="32">
        <f t="shared" si="9"/>
        <v>956.86902133779336</v>
      </c>
      <c r="AI43" s="31">
        <f t="shared" si="10"/>
        <v>1.0179457673806311</v>
      </c>
      <c r="AJ43">
        <f t="shared" si="35"/>
        <v>338.97594053775015</v>
      </c>
      <c r="AL43" s="30">
        <f t="shared" si="11"/>
        <v>659.69561333188653</v>
      </c>
      <c r="AM43" s="31">
        <f t="shared" si="12"/>
        <v>0.7018038439700921</v>
      </c>
      <c r="AN43">
        <f t="shared" si="36"/>
        <v>233.70068004204066</v>
      </c>
      <c r="AO43">
        <f t="shared" si="37"/>
        <v>105.27057659551382</v>
      </c>
      <c r="AQ43" s="30">
        <f t="shared" si="38"/>
        <v>659.69561333188653</v>
      </c>
      <c r="AT43" s="2">
        <f t="shared" si="26"/>
        <v>27</v>
      </c>
      <c r="AU43" s="29">
        <f>AU42+'S. Macro'!$B$4</f>
        <v>30.75</v>
      </c>
      <c r="AV43" s="36">
        <f>'S. Macro'!C43*1000/$AY$8</f>
        <v>0.70651636157051723</v>
      </c>
      <c r="AW43" s="35">
        <f t="shared" si="15"/>
        <v>105.97745423557758</v>
      </c>
      <c r="AX43" s="35">
        <f t="shared" si="16"/>
        <v>235.26994840298224</v>
      </c>
      <c r="AZ43" s="35">
        <f>AVERAGE(AW$16:AW43)</f>
        <v>32.525189293606743</v>
      </c>
      <c r="BA43" s="35">
        <f>AVERAGE(AX$16:AX43)</f>
        <v>72.205920231806957</v>
      </c>
      <c r="BC43" s="35">
        <f t="shared" si="17"/>
        <v>176.62909039262931</v>
      </c>
      <c r="BD43" s="35">
        <f>AVERAGE(BC$16:BC43)</f>
        <v>54.208648822677901</v>
      </c>
      <c r="BG43" s="2">
        <f>'S. Macro'!A43</f>
        <v>27</v>
      </c>
      <c r="BH43" s="235">
        <f>BH42+'S. Macro'!$B$4</f>
        <v>30.75</v>
      </c>
      <c r="BI43" s="111">
        <f>0.048*('S. Macro'!B43^2.68)/1000</f>
        <v>0.46630079863654134</v>
      </c>
      <c r="BJ43" s="111">
        <f t="shared" si="18"/>
        <v>466.30079863654134</v>
      </c>
      <c r="BK43" s="192">
        <f t="shared" si="19"/>
        <v>486.32929568376954</v>
      </c>
    </row>
    <row r="44" spans="1:66">
      <c r="A44" s="240"/>
      <c r="B44" s="849"/>
      <c r="C44" s="849"/>
      <c r="D44" s="849"/>
      <c r="E44" s="849"/>
      <c r="F44" s="849"/>
      <c r="G44" s="849"/>
      <c r="H44" s="849"/>
      <c r="I44" s="849"/>
      <c r="J44" s="849"/>
      <c r="K44" s="849"/>
      <c r="M44" s="2">
        <f t="shared" si="23"/>
        <v>29</v>
      </c>
      <c r="N44" s="2">
        <f t="shared" si="27"/>
        <v>572.05040814357255</v>
      </c>
      <c r="O44" s="2">
        <f t="shared" si="28"/>
        <v>232.67466112283384</v>
      </c>
      <c r="P44" s="2">
        <f t="shared" si="29"/>
        <v>878.69335679196979</v>
      </c>
      <c r="Q44" s="29">
        <f t="shared" si="30"/>
        <v>32.75</v>
      </c>
      <c r="W44" s="240"/>
      <c r="X44" s="2">
        <f t="shared" si="24"/>
        <v>29</v>
      </c>
      <c r="Y44" s="2">
        <f t="shared" si="31"/>
        <v>88.019938031071433</v>
      </c>
      <c r="Z44" s="2">
        <f t="shared" si="32"/>
        <v>14.896559960671384</v>
      </c>
      <c r="AA44" s="2">
        <f t="shared" si="33"/>
        <v>205.43547244867807</v>
      </c>
      <c r="AB44" s="2">
        <f t="shared" si="34"/>
        <v>0.31012354390992491</v>
      </c>
      <c r="AF44" s="2">
        <f t="shared" si="25"/>
        <v>29</v>
      </c>
      <c r="AG44" s="29">
        <f t="shared" si="22"/>
        <v>36.25</v>
      </c>
      <c r="AH44" s="32">
        <f t="shared" si="9"/>
        <v>1044.5668356220001</v>
      </c>
      <c r="AI44" s="31">
        <f t="shared" si="10"/>
        <v>1.1112413144914894</v>
      </c>
      <c r="AJ44">
        <f t="shared" si="35"/>
        <v>370.043357725666</v>
      </c>
      <c r="AL44" s="30">
        <f t="shared" si="11"/>
        <v>724.7474677350433</v>
      </c>
      <c r="AM44" s="31">
        <f t="shared" si="12"/>
        <v>0.77100794439898224</v>
      </c>
      <c r="AN44">
        <f t="shared" si="36"/>
        <v>256.74564548486109</v>
      </c>
      <c r="AO44">
        <f t="shared" si="37"/>
        <v>115.65119165984734</v>
      </c>
      <c r="AQ44" s="30">
        <f t="shared" si="38"/>
        <v>724.7474677350433</v>
      </c>
      <c r="AT44" s="2">
        <f t="shared" si="26"/>
        <v>28</v>
      </c>
      <c r="AU44" s="29">
        <f>AU43+'S. Macro'!$B$4</f>
        <v>31.75</v>
      </c>
      <c r="AV44" s="36">
        <f>'S. Macro'!C44*1000/$AY$8</f>
        <v>0.7697868665122759</v>
      </c>
      <c r="AW44" s="35">
        <f t="shared" si="15"/>
        <v>115.46802997684138</v>
      </c>
      <c r="AX44" s="35">
        <f t="shared" si="16"/>
        <v>256.33902654858787</v>
      </c>
      <c r="AZ44" s="35">
        <f>AVERAGE(AW$16:AW44)</f>
        <v>35.385287248201038</v>
      </c>
      <c r="BA44" s="35">
        <f>AVERAGE(AX$16:AX44)</f>
        <v>78.555337691006287</v>
      </c>
      <c r="BC44" s="35">
        <f t="shared" si="17"/>
        <v>192.44671662806897</v>
      </c>
      <c r="BD44" s="35">
        <f>AVERAGE(BC$16:BC44)</f>
        <v>58.975478747001731</v>
      </c>
      <c r="BG44" s="2">
        <f>'S. Macro'!A44</f>
        <v>28</v>
      </c>
      <c r="BH44" s="235">
        <f>BH43+'S. Macro'!$B$4</f>
        <v>31.75</v>
      </c>
      <c r="BI44" s="111">
        <f>0.048*('S. Macro'!B44^2.68)/1000</f>
        <v>0.50805933189810215</v>
      </c>
      <c r="BJ44" s="111">
        <f t="shared" si="18"/>
        <v>508.05933189810213</v>
      </c>
      <c r="BK44" s="192">
        <f t="shared" si="19"/>
        <v>533.96694290150106</v>
      </c>
    </row>
    <row r="45" spans="1:66">
      <c r="A45" s="240"/>
      <c r="B45" s="849"/>
      <c r="C45" s="849"/>
      <c r="D45" s="849"/>
      <c r="E45" s="849"/>
      <c r="F45" s="849"/>
      <c r="G45" s="849"/>
      <c r="H45" s="849"/>
      <c r="I45" s="849"/>
      <c r="J45" s="849"/>
      <c r="K45" s="849"/>
      <c r="M45" s="2">
        <f t="shared" si="23"/>
        <v>30</v>
      </c>
      <c r="N45" s="2">
        <f t="shared" si="27"/>
        <v>690.46484262929221</v>
      </c>
      <c r="O45" s="2">
        <f t="shared" si="28"/>
        <v>275.48679876943515</v>
      </c>
      <c r="P45" s="2">
        <f t="shared" si="29"/>
        <v>1113.3044830554259</v>
      </c>
      <c r="Q45" s="29">
        <f t="shared" si="21"/>
        <v>34</v>
      </c>
      <c r="W45" s="240"/>
      <c r="X45" s="2">
        <f t="shared" si="24"/>
        <v>30</v>
      </c>
      <c r="Y45" s="2">
        <f t="shared" si="31"/>
        <v>127.62339223293287</v>
      </c>
      <c r="Z45" s="2">
        <f t="shared" si="32"/>
        <v>20.793868004985736</v>
      </c>
      <c r="AA45" s="2">
        <f t="shared" si="33"/>
        <v>327.81647833091813</v>
      </c>
      <c r="AB45" s="2">
        <f t="shared" si="34"/>
        <v>0.33393256022366241</v>
      </c>
      <c r="AF45" s="2">
        <f t="shared" si="25"/>
        <v>30</v>
      </c>
      <c r="AG45" s="29">
        <f t="shared" si="22"/>
        <v>37.5</v>
      </c>
      <c r="AH45" s="32">
        <f t="shared" si="9"/>
        <v>1136.861119994451</v>
      </c>
      <c r="AI45" s="31">
        <f t="shared" si="10"/>
        <v>1.209426723398352</v>
      </c>
      <c r="AJ45">
        <f t="shared" si="35"/>
        <v>402.73909889165122</v>
      </c>
      <c r="AL45" s="30">
        <f t="shared" si="11"/>
        <v>793.67926581519998</v>
      </c>
      <c r="AM45" s="31">
        <f t="shared" si="12"/>
        <v>0.84433964448425525</v>
      </c>
      <c r="AN45">
        <f t="shared" si="36"/>
        <v>281.16510161325698</v>
      </c>
      <c r="AO45">
        <f t="shared" si="37"/>
        <v>126.65094667263828</v>
      </c>
      <c r="AQ45" s="30">
        <f t="shared" si="38"/>
        <v>793.67926581519998</v>
      </c>
      <c r="AT45" s="2">
        <f t="shared" si="26"/>
        <v>29</v>
      </c>
      <c r="AU45" s="29">
        <f>AU44+'S. Macro'!$B$4</f>
        <v>32.75</v>
      </c>
      <c r="AV45" s="36">
        <f>'S. Macro'!C45*1000/$AY$8</f>
        <v>0.83649547775797961</v>
      </c>
      <c r="AW45" s="35">
        <f t="shared" si="15"/>
        <v>125.47432166369694</v>
      </c>
      <c r="AX45" s="35">
        <f t="shared" si="16"/>
        <v>278.55299409340722</v>
      </c>
      <c r="AZ45" s="35">
        <f>AVERAGE(AW$16:AW45)</f>
        <v>38.388255062050902</v>
      </c>
      <c r="BA45" s="35">
        <f>AVERAGE(AX$16:AX45)</f>
        <v>85.221926237752982</v>
      </c>
      <c r="BC45" s="35">
        <f t="shared" si="17"/>
        <v>209.12386943949491</v>
      </c>
      <c r="BD45" s="35">
        <f>AVERAGE(BC$16:BC45)</f>
        <v>63.98042510341817</v>
      </c>
      <c r="BG45" s="2">
        <f>'S. Macro'!A45</f>
        <v>29</v>
      </c>
      <c r="BH45" s="235">
        <f>BH44+'S. Macro'!$B$4</f>
        <v>32.75</v>
      </c>
      <c r="BI45" s="111">
        <f>0.048*('S. Macro'!B45^2.68)/1000</f>
        <v>0.55208701532026661</v>
      </c>
      <c r="BJ45" s="111">
        <f t="shared" si="18"/>
        <v>552.08701532026657</v>
      </c>
      <c r="BK45" s="192">
        <f t="shared" si="19"/>
        <v>584.57426119938509</v>
      </c>
    </row>
    <row r="46" spans="1:66">
      <c r="A46" s="240"/>
      <c r="B46" s="849"/>
      <c r="C46" s="849"/>
      <c r="D46" s="849"/>
      <c r="E46" s="849"/>
      <c r="F46" s="849"/>
      <c r="G46" s="849"/>
      <c r="H46" s="849"/>
      <c r="I46" s="849"/>
      <c r="J46" s="849"/>
      <c r="K46" s="849"/>
      <c r="M46" s="2"/>
      <c r="N46" s="2"/>
      <c r="O46" s="2"/>
      <c r="P46" s="2"/>
      <c r="Q46" s="29"/>
      <c r="W46" s="240"/>
      <c r="X46" s="2"/>
      <c r="Y46" s="2"/>
      <c r="Z46" s="2"/>
      <c r="AA46" s="2"/>
      <c r="AB46" s="2"/>
      <c r="AF46" s="2"/>
      <c r="AG46" s="29"/>
      <c r="AH46" s="32"/>
      <c r="AI46" s="31"/>
      <c r="AN46">
        <f>AVERAGE(AN15:AN31)</f>
        <v>14.916439580545731</v>
      </c>
      <c r="AO46">
        <f>AVERAGE(AO15:AO32)</f>
        <v>7.8813477201041575</v>
      </c>
      <c r="AQ46" s="30"/>
      <c r="AT46" s="2">
        <f t="shared" si="26"/>
        <v>30</v>
      </c>
      <c r="AU46" s="29">
        <f>AU45+'S. Macro'!$B$4</f>
        <v>33.75</v>
      </c>
      <c r="AV46" s="36">
        <f>'S. Macro'!C46*1000/$AY$8</f>
        <v>0.90671546811577342</v>
      </c>
      <c r="AW46" s="35">
        <f t="shared" si="15"/>
        <v>136.00732021736601</v>
      </c>
      <c r="AX46" s="35">
        <f t="shared" si="16"/>
        <v>301.93625088255254</v>
      </c>
      <c r="AZ46" s="37">
        <f>AVERAGE(AW$16:AW46)</f>
        <v>41.537257163835257</v>
      </c>
      <c r="BA46" s="37">
        <f>AVERAGE(AX$16:AX46)</f>
        <v>92.212710903714253</v>
      </c>
      <c r="BC46" s="35">
        <f t="shared" si="17"/>
        <v>226.67886702894336</v>
      </c>
      <c r="BD46" s="35">
        <f>AVERAGE(BC$16:BC46)</f>
        <v>69.22876193972543</v>
      </c>
      <c r="BG46" s="2">
        <f>'S. Macro'!A46</f>
        <v>30</v>
      </c>
      <c r="BH46" s="235">
        <f>BH45+'S. Macro'!$B$4</f>
        <v>33.75</v>
      </c>
      <c r="BI46" s="111">
        <f>0.048*(BH46^2.68)/1000</f>
        <v>0.59843220895641047</v>
      </c>
      <c r="BJ46" s="111">
        <f t="shared" si="18"/>
        <v>598.43220895641048</v>
      </c>
      <c r="BK46" s="192">
        <f t="shared" si="19"/>
        <v>638.2371948068336</v>
      </c>
    </row>
    <row r="47" spans="1:66">
      <c r="A47" s="240"/>
      <c r="B47" s="849"/>
      <c r="C47" s="849"/>
      <c r="D47" s="849"/>
      <c r="E47" s="849"/>
      <c r="F47" s="849"/>
      <c r="G47" s="849"/>
      <c r="H47" s="849"/>
      <c r="I47" s="849"/>
      <c r="J47" s="849"/>
      <c r="K47" s="849"/>
      <c r="M47" s="2"/>
      <c r="N47" s="2"/>
      <c r="O47" s="2"/>
      <c r="P47" s="2"/>
      <c r="Q47" s="29"/>
      <c r="W47" s="240"/>
      <c r="X47" s="2"/>
      <c r="Y47" s="2"/>
      <c r="Z47" s="2"/>
      <c r="AA47" s="2"/>
      <c r="AB47" s="2"/>
      <c r="AF47" s="2"/>
      <c r="AG47" s="29"/>
      <c r="AH47" s="32"/>
      <c r="AI47" s="31"/>
      <c r="AL47" s="30"/>
      <c r="AM47" s="31"/>
      <c r="AQ47" s="30"/>
      <c r="AT47" s="33"/>
      <c r="AU47" s="33"/>
      <c r="AV47" s="36"/>
      <c r="AW47" s="36"/>
      <c r="AX47" s="36"/>
      <c r="AY47" s="36"/>
      <c r="AZ47" s="35"/>
      <c r="BA47" s="35"/>
      <c r="BC47" s="35"/>
      <c r="BD47" s="35"/>
      <c r="BF47" s="35"/>
      <c r="BH47" s="229"/>
      <c r="BI47" s="229"/>
      <c r="BL47" s="2"/>
      <c r="BM47" s="2"/>
      <c r="BN47" s="2"/>
    </row>
    <row r="48" spans="1:66" ht="16">
      <c r="A48" s="240"/>
      <c r="J48" s="12"/>
      <c r="M48" t="s">
        <v>448</v>
      </c>
      <c r="N48" s="2"/>
      <c r="O48" s="2"/>
      <c r="P48" s="2"/>
      <c r="Q48" s="29"/>
      <c r="W48" s="240"/>
      <c r="X48" s="2"/>
      <c r="Y48" s="2"/>
      <c r="Z48" s="2"/>
      <c r="AA48" s="2"/>
      <c r="AB48" s="2"/>
      <c r="AF48" s="2"/>
      <c r="AG48" s="29"/>
      <c r="AH48" s="32"/>
      <c r="AI48" s="31"/>
      <c r="AL48" s="30"/>
      <c r="AM48" s="31"/>
      <c r="AQ48" s="30"/>
      <c r="AT48" s="46"/>
      <c r="AU48" s="46"/>
      <c r="AV48" s="36"/>
      <c r="AW48" s="36"/>
      <c r="AX48" s="35"/>
      <c r="AY48" s="35"/>
      <c r="BA48" s="35"/>
      <c r="BB48" s="35"/>
      <c r="BD48" s="35"/>
      <c r="BG48" t="s">
        <v>474</v>
      </c>
      <c r="BK48">
        <v>2005</v>
      </c>
    </row>
    <row r="49" spans="1:69" ht="16">
      <c r="A49" s="240"/>
      <c r="B49" t="s">
        <v>476</v>
      </c>
      <c r="D49" s="1" t="s">
        <v>477</v>
      </c>
      <c r="J49" s="12"/>
      <c r="M49" s="2"/>
      <c r="N49" s="2"/>
      <c r="O49" s="2"/>
      <c r="P49" s="2"/>
      <c r="Q49" s="29"/>
      <c r="W49" s="240"/>
      <c r="X49" s="2"/>
      <c r="Y49" s="2"/>
      <c r="Z49" s="2"/>
      <c r="AA49" s="2"/>
      <c r="AB49" s="2"/>
      <c r="AF49" s="2"/>
      <c r="AG49" s="29"/>
      <c r="AH49" s="32"/>
      <c r="AI49" s="31"/>
      <c r="AL49" s="30"/>
      <c r="AM49" s="31"/>
      <c r="AQ49" s="30"/>
      <c r="AT49" s="36"/>
      <c r="AU49" s="36"/>
      <c r="AV49" s="36"/>
      <c r="AW49" s="36"/>
      <c r="AX49" s="35"/>
      <c r="AY49" s="35"/>
      <c r="BA49" s="35"/>
      <c r="BB49" s="35"/>
      <c r="BD49" s="35"/>
      <c r="BG49" t="s">
        <v>440</v>
      </c>
      <c r="BJ49" t="s">
        <v>472</v>
      </c>
      <c r="BM49" t="s">
        <v>473</v>
      </c>
    </row>
    <row r="50" spans="1:69" ht="16">
      <c r="A50" s="240"/>
      <c r="J50" s="12"/>
      <c r="M50" s="2"/>
      <c r="N50" s="2"/>
      <c r="O50" s="2"/>
      <c r="P50" s="2"/>
      <c r="Q50" s="29"/>
      <c r="W50" s="240"/>
      <c r="X50" s="2"/>
      <c r="Y50" s="2"/>
      <c r="Z50" s="2"/>
      <c r="AA50" s="2"/>
      <c r="AB50" s="2"/>
      <c r="AF50" s="2"/>
      <c r="AG50" s="29"/>
      <c r="AH50" s="32"/>
      <c r="AI50" s="31"/>
      <c r="AL50" s="30"/>
      <c r="AM50" s="31"/>
      <c r="AQ50" s="30"/>
      <c r="AT50" s="111"/>
      <c r="AU50" s="36"/>
      <c r="AV50" s="36"/>
      <c r="AW50" s="36"/>
      <c r="AX50" s="36"/>
      <c r="AY50" s="36"/>
      <c r="AZ50" s="36"/>
      <c r="BA50" s="36"/>
      <c r="BB50" s="35"/>
      <c r="BC50" s="35"/>
      <c r="BE50" s="35"/>
      <c r="BF50" s="35"/>
      <c r="BH50" s="229"/>
      <c r="BI50" s="229"/>
      <c r="BJ50" s="35"/>
      <c r="BN50" s="2"/>
      <c r="BO50" s="2"/>
      <c r="BP50" s="2"/>
    </row>
    <row r="51" spans="1:69" ht="14">
      <c r="A51" s="240"/>
      <c r="H51" s="14" t="s">
        <v>350</v>
      </c>
      <c r="W51" s="240"/>
      <c r="AJ51" t="e">
        <f>AVERAGE(AJ15:AJ31)</f>
        <v>#NUM!</v>
      </c>
      <c r="AN51">
        <f>AVERAGE(AN15:AN31)</f>
        <v>14.916439580545731</v>
      </c>
      <c r="AO51">
        <f>AVERAGE(AO15:AO31)</f>
        <v>6.7191169281737535</v>
      </c>
      <c r="AT51" s="111"/>
      <c r="AU51" s="33"/>
      <c r="AV51" s="33"/>
      <c r="AW51" s="36"/>
      <c r="AX51" s="36"/>
      <c r="AY51" s="36"/>
      <c r="AZ51" s="36"/>
      <c r="BA51" s="36"/>
      <c r="BB51" s="36"/>
      <c r="BC51" s="35"/>
      <c r="BD51" s="35"/>
      <c r="BF51" s="35"/>
      <c r="BG51" s="35"/>
      <c r="BH51" s="106"/>
      <c r="BI51" s="106"/>
      <c r="BK51" s="35"/>
      <c r="BO51" s="2"/>
      <c r="BP51" s="2"/>
      <c r="BQ51" s="2"/>
    </row>
    <row r="52" spans="1:69" ht="14">
      <c r="A52" s="240"/>
      <c r="B52" t="s">
        <v>426</v>
      </c>
      <c r="C52" t="s">
        <v>425</v>
      </c>
      <c r="D52"/>
      <c r="E52"/>
      <c r="H52" s="11" t="s">
        <v>348</v>
      </c>
      <c r="K52" t="s">
        <v>459</v>
      </c>
      <c r="W52" s="240"/>
      <c r="AB52" t="s">
        <v>340</v>
      </c>
      <c r="AC52" t="s">
        <v>342</v>
      </c>
      <c r="AT52" s="111"/>
      <c r="AU52" s="36"/>
      <c r="AV52" s="36"/>
      <c r="AW52" s="36"/>
      <c r="AX52" s="36"/>
      <c r="AY52" s="36"/>
      <c r="AZ52" s="36"/>
      <c r="BA52" s="36"/>
      <c r="BB52" s="36"/>
      <c r="BC52" s="35"/>
      <c r="BD52" s="35"/>
      <c r="BF52" s="35"/>
      <c r="BG52" s="35"/>
      <c r="BH52" s="106"/>
      <c r="BI52" s="106"/>
      <c r="BK52" s="35"/>
      <c r="BO52" s="2"/>
      <c r="BP52" s="2"/>
      <c r="BQ52" s="2"/>
    </row>
    <row r="53" spans="1:69">
      <c r="A53" s="240"/>
      <c r="B53" s="2" t="s">
        <v>417</v>
      </c>
      <c r="C53" s="2" t="s">
        <v>416</v>
      </c>
      <c r="D53"/>
      <c r="E53"/>
      <c r="H53" s="13" t="s">
        <v>394</v>
      </c>
      <c r="L53" t="s">
        <v>346</v>
      </c>
      <c r="M53" s="852" t="s">
        <v>349</v>
      </c>
      <c r="N53" s="853"/>
      <c r="O53" s="853"/>
      <c r="P53" s="853"/>
      <c r="Q53" s="853"/>
      <c r="W53" s="240"/>
      <c r="Z53" s="17" t="s">
        <v>410</v>
      </c>
      <c r="AA53" t="s">
        <v>339</v>
      </c>
      <c r="AB53" t="s">
        <v>341</v>
      </c>
      <c r="AC53" t="s">
        <v>343</v>
      </c>
      <c r="AD53" t="s">
        <v>344</v>
      </c>
    </row>
    <row r="54" spans="1:69">
      <c r="A54" s="240"/>
      <c r="B54" s="2"/>
      <c r="C54" s="2"/>
      <c r="D54"/>
      <c r="E54"/>
      <c r="H54" s="13" t="s">
        <v>345</v>
      </c>
      <c r="L54" t="s">
        <v>347</v>
      </c>
      <c r="M54" s="853"/>
      <c r="N54" s="853"/>
      <c r="O54" s="853"/>
      <c r="P54" s="853"/>
      <c r="Q54" s="853"/>
      <c r="W54" s="240"/>
      <c r="Z54">
        <v>1.25</v>
      </c>
      <c r="AA54">
        <f>0.0003158*(Z54^1.974723)</f>
        <v>4.9066214974882575E-4</v>
      </c>
      <c r="AB54" s="2">
        <v>150</v>
      </c>
      <c r="AC54" s="2">
        <f>AB54*$AA$54</f>
        <v>7.3599322462323868E-2</v>
      </c>
      <c r="AF54" s="17" t="s">
        <v>410</v>
      </c>
      <c r="AG54" t="s">
        <v>449</v>
      </c>
      <c r="AH54" t="s">
        <v>341</v>
      </c>
      <c r="AI54" t="s">
        <v>451</v>
      </c>
      <c r="AJ54" t="s">
        <v>452</v>
      </c>
      <c r="AM54" t="s">
        <v>341</v>
      </c>
    </row>
    <row r="55" spans="1:69">
      <c r="A55" s="240"/>
      <c r="B55" s="2">
        <v>76.16</v>
      </c>
      <c r="C55" s="2">
        <v>940</v>
      </c>
      <c r="D55" t="s">
        <v>415</v>
      </c>
      <c r="E55"/>
      <c r="M55" s="853"/>
      <c r="N55" s="853"/>
      <c r="O55" s="853"/>
      <c r="P55" s="853"/>
      <c r="Q55" s="853"/>
      <c r="W55" s="240"/>
      <c r="AB55" s="2">
        <v>250</v>
      </c>
      <c r="AC55" s="2">
        <f>AB55*$AA$54</f>
        <v>0.12266553743720644</v>
      </c>
      <c r="AF55">
        <v>1.25</v>
      </c>
      <c r="AG55">
        <f>(EXP(-2.289+2.649*LN(AF55)-0.021*(LN(AF55))^2))/AM11</f>
        <v>1.945506024768842E-4</v>
      </c>
      <c r="AH55" s="2">
        <v>150</v>
      </c>
      <c r="AI55" s="2">
        <f>AH55*$AG$55</f>
        <v>2.9182590371532629E-2</v>
      </c>
      <c r="AJ55" s="26" t="s">
        <v>453</v>
      </c>
      <c r="AK55" t="s">
        <v>441</v>
      </c>
      <c r="AM55" s="2">
        <v>150</v>
      </c>
    </row>
    <row r="56" spans="1:69">
      <c r="A56" s="240"/>
      <c r="W56" s="240"/>
      <c r="AB56" s="2">
        <v>333</v>
      </c>
      <c r="AC56" s="2">
        <f>AB56*$AA$54</f>
        <v>0.16339049586635898</v>
      </c>
      <c r="AH56" s="2">
        <v>250</v>
      </c>
      <c r="AI56" s="2">
        <f>AH56*$AG$55</f>
        <v>4.8637650619221054E-2</v>
      </c>
      <c r="AM56" s="2">
        <v>250</v>
      </c>
    </row>
    <row r="57" spans="1:69">
      <c r="A57" s="240"/>
      <c r="W57" s="240"/>
      <c r="AH57" s="2">
        <v>333</v>
      </c>
      <c r="AI57" s="2">
        <f>AH57*$AG$55</f>
        <v>6.4785350624802437E-2</v>
      </c>
      <c r="AM57" s="2">
        <v>333</v>
      </c>
    </row>
    <row r="58" spans="1:69" ht="16">
      <c r="A58" s="240"/>
      <c r="H58" t="s">
        <v>360</v>
      </c>
      <c r="I58" s="19" t="s">
        <v>361</v>
      </c>
      <c r="W58" s="240"/>
      <c r="Y58">
        <v>18.5</v>
      </c>
      <c r="Z58" t="s">
        <v>441</v>
      </c>
    </row>
    <row r="59" spans="1:69" ht="14">
      <c r="A59" s="240"/>
      <c r="G59" t="s">
        <v>356</v>
      </c>
      <c r="H59" s="16" t="s">
        <v>352</v>
      </c>
      <c r="L59" s="18" t="s">
        <v>359</v>
      </c>
      <c r="W59" s="240"/>
    </row>
    <row r="60" spans="1:69">
      <c r="A60" s="240"/>
      <c r="H60" s="16" t="s">
        <v>353</v>
      </c>
      <c r="W60" s="240"/>
    </row>
    <row r="61" spans="1:69">
      <c r="A61" s="240"/>
      <c r="G61" s="17" t="s">
        <v>357</v>
      </c>
      <c r="H61" s="16" t="s">
        <v>354</v>
      </c>
      <c r="W61" s="240"/>
    </row>
    <row r="62" spans="1:69">
      <c r="A62" s="240"/>
      <c r="G62" s="17" t="s">
        <v>358</v>
      </c>
      <c r="H62" s="16" t="s">
        <v>355</v>
      </c>
      <c r="W62" s="240"/>
    </row>
    <row r="63" spans="1:69">
      <c r="W63" s="240"/>
    </row>
    <row r="64" spans="1:69">
      <c r="H64" s="21" t="s">
        <v>365</v>
      </c>
      <c r="K64" s="33" t="s">
        <v>307</v>
      </c>
      <c r="W64" s="240"/>
    </row>
    <row r="65" spans="2:12">
      <c r="H65" s="22" t="s">
        <v>368</v>
      </c>
      <c r="I65" t="s">
        <v>360</v>
      </c>
    </row>
    <row r="66" spans="2:12">
      <c r="H66" s="23"/>
    </row>
    <row r="67" spans="2:12">
      <c r="H67" s="22" t="s">
        <v>366</v>
      </c>
    </row>
    <row r="68" spans="2:12">
      <c r="H68" s="24" t="s">
        <v>367</v>
      </c>
    </row>
    <row r="69" spans="2:12">
      <c r="H69" s="25" t="s">
        <v>369</v>
      </c>
    </row>
    <row r="70" spans="2:12">
      <c r="H70" s="25" t="s">
        <v>370</v>
      </c>
    </row>
    <row r="71" spans="2:12">
      <c r="H71" s="25" t="s">
        <v>457</v>
      </c>
    </row>
    <row r="73" spans="2:12">
      <c r="H73" s="25" t="s">
        <v>400</v>
      </c>
    </row>
    <row r="74" spans="2:12" ht="17">
      <c r="H74" s="28" t="s">
        <v>401</v>
      </c>
    </row>
    <row r="76" spans="2:12" ht="15">
      <c r="H76" s="33" t="s">
        <v>305</v>
      </c>
      <c r="J76" s="33" t="s">
        <v>306</v>
      </c>
    </row>
    <row r="78" spans="2:12" ht="16">
      <c r="B78" s="12" t="s">
        <v>479</v>
      </c>
    </row>
    <row r="79" spans="2:12">
      <c r="B79" s="6" t="s">
        <v>469</v>
      </c>
      <c r="L79">
        <f>AVERAGE(485,840)</f>
        <v>662.5</v>
      </c>
    </row>
    <row r="80" spans="2:12" ht="16">
      <c r="B80" s="12"/>
    </row>
    <row r="81" spans="2:9" ht="16">
      <c r="B81" s="12" t="s">
        <v>470</v>
      </c>
    </row>
    <row r="82" spans="2:9">
      <c r="B82" s="38" t="s">
        <v>471</v>
      </c>
    </row>
    <row r="87" spans="2:9">
      <c r="B87" s="33" t="s">
        <v>132</v>
      </c>
      <c r="G87" s="33" t="s">
        <v>133</v>
      </c>
      <c r="H87">
        <v>0.53339999999999999</v>
      </c>
      <c r="I87" s="33" t="s">
        <v>134</v>
      </c>
    </row>
    <row r="88" spans="2:9">
      <c r="B88" s="33" t="s">
        <v>177</v>
      </c>
      <c r="C88" s="33" t="s">
        <v>178</v>
      </c>
      <c r="D88" s="2" t="s">
        <v>179</v>
      </c>
      <c r="E88" s="2" t="s">
        <v>180</v>
      </c>
      <c r="F88" s="2" t="s">
        <v>181</v>
      </c>
      <c r="G88" s="33" t="s">
        <v>182</v>
      </c>
      <c r="H88" s="33" t="s">
        <v>183</v>
      </c>
      <c r="I88" s="33"/>
    </row>
    <row r="89" spans="2:9">
      <c r="B89" s="33">
        <v>0.48499999999999999</v>
      </c>
      <c r="C89" s="33"/>
      <c r="D89" s="2">
        <v>0.84</v>
      </c>
      <c r="E89" s="2">
        <v>0.66249999999999998</v>
      </c>
      <c r="F89" s="2">
        <v>12</v>
      </c>
      <c r="G89" s="33" t="s">
        <v>184</v>
      </c>
      <c r="H89" s="33"/>
      <c r="I89" s="33"/>
    </row>
    <row r="90" spans="2:9">
      <c r="B90" s="33">
        <v>0.53</v>
      </c>
      <c r="C90" s="33">
        <v>0.61</v>
      </c>
      <c r="D90" s="2">
        <v>0.67</v>
      </c>
      <c r="E90" s="2">
        <v>0.61</v>
      </c>
      <c r="F90" s="2">
        <v>15</v>
      </c>
      <c r="G90" s="33" t="s">
        <v>185</v>
      </c>
      <c r="H90" s="33"/>
      <c r="I90" s="33"/>
    </row>
    <row r="91" spans="2:9">
      <c r="B91" s="33"/>
      <c r="C91" s="33">
        <v>0.5</v>
      </c>
      <c r="E91" s="2">
        <v>0.5</v>
      </c>
      <c r="G91" s="33" t="s">
        <v>186</v>
      </c>
      <c r="H91" s="33"/>
      <c r="I91" s="33"/>
    </row>
    <row r="92" spans="2:9">
      <c r="B92" s="33">
        <v>0.56000000000000005</v>
      </c>
      <c r="C92" s="33"/>
      <c r="D92" s="2">
        <v>0.72</v>
      </c>
      <c r="E92" s="2">
        <v>0.64</v>
      </c>
      <c r="F92" s="2">
        <v>15</v>
      </c>
      <c r="G92" s="33" t="s">
        <v>187</v>
      </c>
      <c r="H92" s="33"/>
      <c r="I92" s="33"/>
    </row>
    <row r="93" spans="2:9">
      <c r="B93" s="33"/>
      <c r="C93" s="33">
        <v>0.43</v>
      </c>
      <c r="E93" s="2">
        <v>0.43</v>
      </c>
      <c r="G93" s="33" t="s">
        <v>157</v>
      </c>
      <c r="H93" s="33" t="s">
        <v>158</v>
      </c>
      <c r="I93" s="33"/>
    </row>
    <row r="94" spans="2:9">
      <c r="B94" s="33"/>
      <c r="C94" s="33">
        <v>0.54</v>
      </c>
      <c r="E94" s="2">
        <v>0.54</v>
      </c>
      <c r="G94" s="33" t="s">
        <v>159</v>
      </c>
      <c r="H94" s="33" t="s">
        <v>158</v>
      </c>
      <c r="I94" s="33"/>
    </row>
    <row r="95" spans="2:9">
      <c r="B95" s="33"/>
      <c r="C95" s="33">
        <v>0.52</v>
      </c>
      <c r="E95" s="2">
        <v>0.52</v>
      </c>
      <c r="G95" s="33" t="s">
        <v>160</v>
      </c>
      <c r="H95" s="33" t="s">
        <v>158</v>
      </c>
      <c r="I95" s="33"/>
    </row>
    <row r="96" spans="2:9">
      <c r="B96" s="33"/>
      <c r="C96" s="33">
        <v>0.57999999999999996</v>
      </c>
      <c r="E96" s="2">
        <v>0.57999999999999996</v>
      </c>
      <c r="G96" s="33" t="s">
        <v>161</v>
      </c>
      <c r="H96" s="33" t="s">
        <v>158</v>
      </c>
      <c r="I96" s="33"/>
    </row>
    <row r="97" spans="2:9">
      <c r="B97" s="33"/>
      <c r="C97" s="33">
        <v>0.43</v>
      </c>
      <c r="E97" s="2">
        <v>0.43</v>
      </c>
      <c r="G97" s="33" t="s">
        <v>162</v>
      </c>
      <c r="H97" s="33" t="s">
        <v>158</v>
      </c>
      <c r="I97" s="33"/>
    </row>
    <row r="98" spans="2:9">
      <c r="B98" s="33"/>
      <c r="C98" s="33">
        <v>0.55000000000000004</v>
      </c>
      <c r="E98" s="2">
        <v>0.55000000000000004</v>
      </c>
      <c r="G98" s="33" t="s">
        <v>163</v>
      </c>
      <c r="H98" s="33" t="s">
        <v>164</v>
      </c>
      <c r="I98" s="33"/>
    </row>
    <row r="99" spans="2:9">
      <c r="B99" s="33"/>
      <c r="C99" s="33">
        <v>0.63</v>
      </c>
      <c r="E99" s="2">
        <v>0.63</v>
      </c>
      <c r="G99" s="33" t="s">
        <v>165</v>
      </c>
      <c r="H99" s="33" t="s">
        <v>166</v>
      </c>
      <c r="I99" s="33"/>
    </row>
    <row r="100" spans="2:9">
      <c r="B100" s="33"/>
      <c r="C100" s="33">
        <v>0.625</v>
      </c>
      <c r="E100" s="2">
        <v>0.625</v>
      </c>
      <c r="G100" s="33" t="s">
        <v>167</v>
      </c>
      <c r="H100" s="33" t="s">
        <v>158</v>
      </c>
      <c r="I100" s="33"/>
    </row>
    <row r="101" spans="2:9">
      <c r="B101" s="33"/>
      <c r="C101" s="33">
        <v>0.45</v>
      </c>
      <c r="E101" s="2">
        <v>0.45</v>
      </c>
      <c r="G101" s="33" t="s">
        <v>168</v>
      </c>
      <c r="H101" s="33" t="s">
        <v>164</v>
      </c>
      <c r="I101" s="33"/>
    </row>
    <row r="102" spans="2:9">
      <c r="B102" s="33"/>
      <c r="C102" s="33">
        <v>0.49</v>
      </c>
      <c r="E102" s="2">
        <v>0.49</v>
      </c>
      <c r="G102" s="33" t="s">
        <v>169</v>
      </c>
      <c r="H102" s="33" t="s">
        <v>170</v>
      </c>
      <c r="I102" s="33"/>
    </row>
    <row r="103" spans="2:9">
      <c r="B103" s="33"/>
      <c r="C103" s="33">
        <v>0.47</v>
      </c>
      <c r="E103" s="2">
        <v>0.47</v>
      </c>
      <c r="G103" s="33" t="s">
        <v>171</v>
      </c>
      <c r="H103" s="33" t="s">
        <v>158</v>
      </c>
      <c r="I103" s="33"/>
    </row>
    <row r="104" spans="2:9">
      <c r="B104" s="33"/>
      <c r="C104" s="33">
        <v>0.43</v>
      </c>
      <c r="E104" s="2">
        <v>0.43</v>
      </c>
      <c r="G104" s="33" t="s">
        <v>172</v>
      </c>
      <c r="H104" s="33" t="s">
        <v>173</v>
      </c>
      <c r="I104" s="33"/>
    </row>
    <row r="105" spans="2:9">
      <c r="B105" s="33">
        <v>0.49</v>
      </c>
      <c r="C105" s="33"/>
      <c r="D105" s="2">
        <v>0.53</v>
      </c>
      <c r="E105" s="2">
        <v>0.51</v>
      </c>
      <c r="G105" s="33" t="s">
        <v>174</v>
      </c>
      <c r="H105" s="33" t="s">
        <v>175</v>
      </c>
      <c r="I105" s="33"/>
    </row>
  </sheetData>
  <mergeCells count="2">
    <mergeCell ref="M53:Q55"/>
    <mergeCell ref="B43:K47"/>
  </mergeCells>
  <phoneticPr fontId="6" type="noConversion"/>
  <pageMargins left="0.75" right="0.75" top="1" bottom="1" header="0.5" footer="0.5"/>
  <pageSetup paperSize="9" orientation="portrait" horizontalDpi="4294967292" verticalDpi="4294967292"/>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AK119"/>
  <sheetViews>
    <sheetView zoomScale="125" workbookViewId="0">
      <selection activeCell="J7" sqref="J7"/>
    </sheetView>
  </sheetViews>
  <sheetFormatPr baseColWidth="10" defaultColWidth="11.1640625" defaultRowHeight="13"/>
  <cols>
    <col min="1" max="1" width="3.83203125" style="229" customWidth="1"/>
    <col min="13" max="13" width="10.83203125" style="229"/>
    <col min="14" max="14" width="2.83203125" style="229" customWidth="1"/>
    <col min="15" max="15" width="10.83203125" style="229"/>
  </cols>
  <sheetData>
    <row r="1" spans="1:37">
      <c r="A1" s="240"/>
      <c r="B1" s="58" t="s">
        <v>624</v>
      </c>
      <c r="N1" s="240"/>
      <c r="O1" s="58" t="s">
        <v>625</v>
      </c>
    </row>
    <row r="2" spans="1:37">
      <c r="A2" s="240"/>
      <c r="B2" s="854" t="s">
        <v>81</v>
      </c>
      <c r="C2" s="849"/>
      <c r="D2" s="849"/>
      <c r="E2" s="849"/>
      <c r="F2" s="849"/>
      <c r="G2" s="849"/>
      <c r="N2" s="240"/>
    </row>
    <row r="3" spans="1:37">
      <c r="A3" s="240"/>
      <c r="B3" s="849"/>
      <c r="C3" s="849"/>
      <c r="D3" s="849"/>
      <c r="E3" s="849"/>
      <c r="F3" s="849"/>
      <c r="G3" s="849"/>
      <c r="N3" s="240"/>
      <c r="W3" s="33" t="s">
        <v>61</v>
      </c>
    </row>
    <row r="4" spans="1:37">
      <c r="A4" s="240"/>
      <c r="B4" s="849"/>
      <c r="C4" s="849"/>
      <c r="D4" s="849"/>
      <c r="E4" s="849"/>
      <c r="F4" s="849"/>
      <c r="G4" s="849"/>
      <c r="K4" s="33"/>
      <c r="N4" s="240"/>
      <c r="W4" s="33" t="s">
        <v>62</v>
      </c>
      <c r="Y4" s="33" t="s">
        <v>73</v>
      </c>
    </row>
    <row r="5" spans="1:37" ht="47.25" customHeight="1">
      <c r="A5" s="240"/>
      <c r="B5" s="849"/>
      <c r="C5" s="849"/>
      <c r="D5" s="849"/>
      <c r="E5" s="849"/>
      <c r="F5" s="849"/>
      <c r="G5" s="849"/>
      <c r="K5" s="33"/>
      <c r="N5" s="240"/>
      <c r="W5" s="33" t="s">
        <v>59</v>
      </c>
    </row>
    <row r="6" spans="1:37">
      <c r="A6" s="240"/>
      <c r="N6" s="240"/>
      <c r="U6" s="33" t="s">
        <v>58</v>
      </c>
      <c r="W6" s="33" t="s">
        <v>60</v>
      </c>
    </row>
    <row r="7" spans="1:37">
      <c r="A7" s="240"/>
      <c r="C7" s="33" t="s">
        <v>229</v>
      </c>
      <c r="E7" s="33" t="s">
        <v>230</v>
      </c>
      <c r="G7" s="33" t="s">
        <v>237</v>
      </c>
      <c r="I7" s="33" t="s">
        <v>240</v>
      </c>
      <c r="K7" s="33" t="s">
        <v>98</v>
      </c>
      <c r="L7" s="33" t="s">
        <v>98</v>
      </c>
      <c r="N7" s="240"/>
      <c r="P7" s="33"/>
    </row>
    <row r="8" spans="1:37">
      <c r="A8" s="240"/>
      <c r="B8" s="2" t="s">
        <v>228</v>
      </c>
      <c r="C8" s="2" t="s">
        <v>235</v>
      </c>
      <c r="D8" s="2" t="s">
        <v>236</v>
      </c>
      <c r="E8" s="2" t="s">
        <v>235</v>
      </c>
      <c r="F8" s="2" t="s">
        <v>236</v>
      </c>
      <c r="G8" s="2" t="s">
        <v>238</v>
      </c>
      <c r="H8" s="2" t="s">
        <v>239</v>
      </c>
      <c r="I8" s="2" t="s">
        <v>235</v>
      </c>
      <c r="J8" s="2" t="s">
        <v>236</v>
      </c>
      <c r="K8" s="2" t="s">
        <v>243</v>
      </c>
      <c r="L8" s="2" t="s">
        <v>99</v>
      </c>
      <c r="M8" s="192"/>
      <c r="N8" s="283"/>
      <c r="O8" s="192"/>
      <c r="P8" s="2"/>
      <c r="T8" s="17" t="s">
        <v>72</v>
      </c>
      <c r="U8" s="33" t="s">
        <v>57</v>
      </c>
    </row>
    <row r="9" spans="1:37">
      <c r="A9" s="240"/>
      <c r="B9" s="2">
        <v>0</v>
      </c>
      <c r="C9" s="2">
        <v>0</v>
      </c>
      <c r="D9" s="2">
        <v>0</v>
      </c>
      <c r="E9" s="2">
        <v>0</v>
      </c>
      <c r="F9" s="2">
        <v>0</v>
      </c>
      <c r="I9" s="2">
        <v>0</v>
      </c>
      <c r="J9" s="2">
        <v>0</v>
      </c>
      <c r="K9" s="90">
        <f>60*((1-EXP(-0.07*B9))^1.165)</f>
        <v>0</v>
      </c>
      <c r="L9" s="106">
        <f>35*((1-EXP(-0.09*B9))^1.1)</f>
        <v>0</v>
      </c>
      <c r="M9" s="106"/>
      <c r="N9" s="284"/>
      <c r="O9" s="106"/>
    </row>
    <row r="10" spans="1:37">
      <c r="A10" s="240"/>
      <c r="B10" s="2">
        <v>5</v>
      </c>
      <c r="C10" s="2">
        <v>10</v>
      </c>
      <c r="D10" s="2">
        <v>13</v>
      </c>
      <c r="E10" s="2">
        <f>$F$15*5</f>
        <v>7.55</v>
      </c>
      <c r="F10" s="2">
        <f>$F$16*5</f>
        <v>6.1</v>
      </c>
      <c r="G10" s="2">
        <f>(C10-C9)/($B10-$B9)</f>
        <v>2</v>
      </c>
      <c r="H10" s="2">
        <f>(D10-D9)/($B10-$B9)</f>
        <v>2.6</v>
      </c>
      <c r="I10" s="2">
        <f>G10*5</f>
        <v>10</v>
      </c>
      <c r="J10" s="2">
        <f>H10*5</f>
        <v>13</v>
      </c>
      <c r="K10" s="90">
        <f>60*((1-EXP(-0.07*B10))^1.165)</f>
        <v>14.488671712665273</v>
      </c>
      <c r="L10" s="106">
        <f>35*((1-EXP(-0.09*B10))^1.1)</f>
        <v>11.458768372960389</v>
      </c>
      <c r="M10" s="106"/>
      <c r="N10" s="284"/>
      <c r="O10" s="106"/>
    </row>
    <row r="11" spans="1:37">
      <c r="A11" s="240"/>
      <c r="B11" s="2">
        <v>10</v>
      </c>
      <c r="C11" s="2">
        <v>15</v>
      </c>
      <c r="D11" s="2">
        <v>16.5</v>
      </c>
      <c r="E11" s="2">
        <f>E10+$F$15*5</f>
        <v>15.1</v>
      </c>
      <c r="F11" s="2">
        <f>F10+$F$16*5</f>
        <v>12.2</v>
      </c>
      <c r="G11" s="2"/>
      <c r="I11" s="2">
        <f>G12*5+I10</f>
        <v>14.5</v>
      </c>
      <c r="J11" s="86">
        <f>H12*5+J10</f>
        <v>15.833333333333332</v>
      </c>
      <c r="K11" s="90">
        <f>60*((1-EXP(-0.07*B11))^1.165)</f>
        <v>26.970867282805209</v>
      </c>
      <c r="L11" s="106">
        <f>35*((1-EXP(-0.09*B11))^1.1)</f>
        <v>19.714000612052121</v>
      </c>
      <c r="M11" s="106"/>
      <c r="N11" s="284"/>
      <c r="O11" s="106"/>
      <c r="AA11" s="33"/>
      <c r="AB11" s="33"/>
      <c r="AC11" s="33"/>
      <c r="AD11" s="33"/>
      <c r="AE11" s="33"/>
      <c r="AF11" s="33"/>
      <c r="AG11" s="33"/>
      <c r="AH11" s="33" t="s">
        <v>279</v>
      </c>
      <c r="AI11" s="33" t="s">
        <v>275</v>
      </c>
      <c r="AJ11" s="33"/>
      <c r="AK11" s="33"/>
    </row>
    <row r="12" spans="1:37" ht="14">
      <c r="A12" s="240"/>
      <c r="B12" s="2">
        <v>20</v>
      </c>
      <c r="C12" s="2">
        <v>23.5</v>
      </c>
      <c r="D12" s="2">
        <v>21.5</v>
      </c>
      <c r="E12" s="2">
        <f>E11+$F$15*10</f>
        <v>30.2</v>
      </c>
      <c r="F12" s="2">
        <f>F11+$F$16*10</f>
        <v>24.4</v>
      </c>
      <c r="G12" s="2">
        <f>(C12-C10)/($B12-$B10)</f>
        <v>0.9</v>
      </c>
      <c r="H12" s="50">
        <f>(D12-D10)/($B12-$B10)</f>
        <v>0.56666666666666665</v>
      </c>
      <c r="I12" s="86">
        <f>I11+G12*10</f>
        <v>23.5</v>
      </c>
      <c r="J12" s="86">
        <f>J11+H12*10</f>
        <v>21.5</v>
      </c>
      <c r="K12" s="90">
        <f>60*((1-EXP(-0.07*B12))^1.165)</f>
        <v>43.140793780752304</v>
      </c>
      <c r="L12" s="106">
        <f>35*((1-EXP(-0.09*B12))^1.1)</f>
        <v>28.691426114981155</v>
      </c>
      <c r="M12" s="106"/>
      <c r="N12" s="284"/>
      <c r="O12" s="106"/>
      <c r="AA12" s="33"/>
      <c r="AB12" s="33"/>
      <c r="AC12" s="33"/>
      <c r="AD12" s="33"/>
      <c r="AE12" s="33"/>
      <c r="AF12" s="33"/>
      <c r="AG12" s="67" t="s">
        <v>270</v>
      </c>
      <c r="AH12" s="33" t="s">
        <v>280</v>
      </c>
      <c r="AI12" s="69" t="s">
        <v>278</v>
      </c>
      <c r="AJ12" s="67" t="s">
        <v>316</v>
      </c>
      <c r="AK12" s="33"/>
    </row>
    <row r="13" spans="1:37" ht="14">
      <c r="A13" s="240"/>
      <c r="B13" s="2">
        <v>80</v>
      </c>
      <c r="C13" s="2">
        <v>75</v>
      </c>
      <c r="D13" s="2">
        <v>45</v>
      </c>
      <c r="E13" s="7">
        <f>E12+F15*60</f>
        <v>120.8</v>
      </c>
      <c r="F13" s="7">
        <f>F12+F16*60</f>
        <v>97.6</v>
      </c>
      <c r="I13" s="2"/>
      <c r="J13" s="2"/>
      <c r="K13" s="90">
        <f>60*((1-EXP(-0.07*B13))^1.165)</f>
        <v>59.741598263187285</v>
      </c>
      <c r="L13" s="106">
        <f>35*((1-EXP(-0.09*B13))^1.1)</f>
        <v>34.971257519594367</v>
      </c>
      <c r="M13" s="106"/>
      <c r="N13" s="284"/>
      <c r="O13" s="106"/>
      <c r="AA13" s="1"/>
      <c r="AB13" s="1"/>
      <c r="AC13" s="1"/>
      <c r="AD13" s="33"/>
      <c r="AE13" s="33"/>
      <c r="AF13" s="33"/>
      <c r="AG13" s="33" t="s">
        <v>272</v>
      </c>
      <c r="AH13" s="69" t="s">
        <v>278</v>
      </c>
      <c r="AI13" s="68" t="s">
        <v>277</v>
      </c>
      <c r="AJ13" s="67" t="s">
        <v>317</v>
      </c>
      <c r="AK13" s="33"/>
    </row>
    <row r="14" spans="1:37">
      <c r="A14" s="240"/>
      <c r="B14" s="2"/>
      <c r="C14" s="2"/>
      <c r="D14" s="2"/>
      <c r="E14" s="2"/>
      <c r="N14" s="240"/>
      <c r="O14" s="192" t="str">
        <f>B49</f>
        <v>Age</v>
      </c>
      <c r="Q14" t="s">
        <v>627</v>
      </c>
      <c r="R14" t="s">
        <v>628</v>
      </c>
      <c r="Z14" s="58" t="s">
        <v>328</v>
      </c>
      <c r="AA14" s="1"/>
      <c r="AB14" s="1"/>
      <c r="AC14" s="33"/>
      <c r="AD14" s="33"/>
      <c r="AE14" s="33"/>
      <c r="AF14" s="33" t="s">
        <v>271</v>
      </c>
      <c r="AG14" s="33">
        <v>21</v>
      </c>
      <c r="AH14" s="33" t="s">
        <v>274</v>
      </c>
      <c r="AI14" s="33" t="s">
        <v>318</v>
      </c>
      <c r="AJ14" s="33"/>
    </row>
    <row r="15" spans="1:37">
      <c r="A15" s="240"/>
      <c r="B15" s="2"/>
      <c r="C15" s="2"/>
      <c r="D15" s="2"/>
      <c r="E15" s="2" t="s">
        <v>231</v>
      </c>
      <c r="F15" s="2">
        <v>1.51</v>
      </c>
      <c r="G15" s="33" t="s">
        <v>233</v>
      </c>
      <c r="H15" s="33" t="s">
        <v>56</v>
      </c>
      <c r="N15" s="240"/>
      <c r="O15" s="192" t="str">
        <f>B50</f>
        <v>(yr)</v>
      </c>
      <c r="P15" t="s">
        <v>626</v>
      </c>
      <c r="Q15" t="s">
        <v>629</v>
      </c>
      <c r="R15" s="229" t="s">
        <v>629</v>
      </c>
      <c r="Z15" s="34"/>
      <c r="AA15" s="34"/>
      <c r="AB15" s="34"/>
      <c r="AC15" s="33"/>
      <c r="AD15" s="33"/>
      <c r="AE15" s="33"/>
      <c r="AF15" s="33" t="s">
        <v>273</v>
      </c>
      <c r="AG15" s="33">
        <v>80</v>
      </c>
      <c r="AH15" s="68" t="s">
        <v>276</v>
      </c>
      <c r="AI15" s="33" t="s">
        <v>319</v>
      </c>
      <c r="AJ15" s="33"/>
    </row>
    <row r="16" spans="1:37" ht="15">
      <c r="A16" s="240"/>
      <c r="B16" s="2"/>
      <c r="C16" s="2"/>
      <c r="D16" s="2"/>
      <c r="E16" s="2" t="s">
        <v>232</v>
      </c>
      <c r="F16" s="2">
        <v>1.22</v>
      </c>
      <c r="G16" s="33" t="s">
        <v>234</v>
      </c>
      <c r="H16" s="33" t="s">
        <v>56</v>
      </c>
      <c r="N16" s="240"/>
      <c r="O16" s="192">
        <v>1</v>
      </c>
      <c r="P16" s="90">
        <f t="shared" ref="P16:P45" si="0">60*((1-EXP(-0.07*O16))^1.165)*(1-0.25)</f>
        <v>1.9505032012297425</v>
      </c>
      <c r="Q16" s="56">
        <f>(0.093*(P16)^2.462)/1000</f>
        <v>4.817525739922706E-4</v>
      </c>
      <c r="R16" s="44">
        <v>0</v>
      </c>
      <c r="S16" s="44"/>
      <c r="Z16" s="33" t="s">
        <v>483</v>
      </c>
      <c r="AA16" s="63">
        <v>660</v>
      </c>
      <c r="AB16" s="33" t="s">
        <v>484</v>
      </c>
      <c r="AC16" s="33"/>
      <c r="AD16" s="33"/>
      <c r="AE16" s="33"/>
      <c r="AF16" s="33"/>
      <c r="AG16" s="33" t="s">
        <v>287</v>
      </c>
      <c r="AH16" s="33" t="s">
        <v>283</v>
      </c>
      <c r="AI16" s="33" t="s">
        <v>284</v>
      </c>
      <c r="AJ16" s="33"/>
    </row>
    <row r="17" spans="1:36" ht="26">
      <c r="A17" s="240"/>
      <c r="B17" s="2"/>
      <c r="C17" s="2"/>
      <c r="D17" s="2"/>
      <c r="E17" s="2"/>
      <c r="N17" s="240"/>
      <c r="O17" s="192">
        <f>O16+1</f>
        <v>2</v>
      </c>
      <c r="P17" s="106">
        <f t="shared" si="0"/>
        <v>4.2019229822062325</v>
      </c>
      <c r="Q17" s="56">
        <f t="shared" ref="Q17:Q46" si="1">(0.093*(P17)^2.462)/1000</f>
        <v>3.1872207261279856E-3</v>
      </c>
      <c r="R17" s="44">
        <f t="shared" ref="R17:R46" si="2">(EXP(-2.289+2.649*LN(P17)-0.021*((LN(P17))^2)))/1000</f>
        <v>4.3513018155740468E-3</v>
      </c>
      <c r="S17" s="44"/>
      <c r="Z17" s="33" t="s">
        <v>491</v>
      </c>
      <c r="AA17" s="63">
        <v>150</v>
      </c>
      <c r="AB17" s="33" t="s">
        <v>492</v>
      </c>
      <c r="AC17" s="33" t="s">
        <v>431</v>
      </c>
      <c r="AD17" s="33"/>
      <c r="AE17" s="33"/>
      <c r="AF17" s="74" t="s">
        <v>285</v>
      </c>
      <c r="AG17" s="75">
        <v>6</v>
      </c>
      <c r="AH17" s="76">
        <v>12</v>
      </c>
      <c r="AI17" s="77">
        <v>18</v>
      </c>
      <c r="AJ17" s="42" t="s">
        <v>286</v>
      </c>
    </row>
    <row r="18" spans="1:36" ht="15">
      <c r="A18" s="240"/>
      <c r="B18" s="2"/>
      <c r="C18" s="2"/>
      <c r="D18" s="2"/>
      <c r="E18" s="2"/>
      <c r="N18" s="240"/>
      <c r="O18" s="192">
        <f t="shared" ref="O18:O45" si="3">O17+1</f>
        <v>3</v>
      </c>
      <c r="P18" s="106">
        <f t="shared" si="0"/>
        <v>6.4774231185905276</v>
      </c>
      <c r="Q18" s="56">
        <f t="shared" si="1"/>
        <v>9.2502896088420411E-3</v>
      </c>
      <c r="R18" s="44">
        <f t="shared" si="2"/>
        <v>1.3288297675347093E-2</v>
      </c>
      <c r="S18" s="44"/>
      <c r="Z18" s="33" t="s">
        <v>490</v>
      </c>
      <c r="AA18" s="63">
        <v>333</v>
      </c>
      <c r="AB18" s="33" t="s">
        <v>492</v>
      </c>
      <c r="AC18" s="33" t="s">
        <v>431</v>
      </c>
      <c r="AD18" s="33"/>
      <c r="AE18" s="33"/>
      <c r="AF18" s="33"/>
      <c r="AG18" s="33"/>
      <c r="AH18" s="33"/>
      <c r="AI18" s="33"/>
      <c r="AJ18" s="33"/>
    </row>
    <row r="19" spans="1:36" ht="14.25" customHeight="1">
      <c r="A19" s="240"/>
      <c r="B19" s="2"/>
      <c r="C19" s="2"/>
      <c r="D19" s="2"/>
      <c r="E19" s="2"/>
      <c r="H19" s="855" t="s">
        <v>82</v>
      </c>
      <c r="I19" s="855"/>
      <c r="J19" s="855"/>
      <c r="K19" s="855"/>
      <c r="L19" s="855"/>
      <c r="M19" s="282"/>
      <c r="N19" s="285"/>
      <c r="O19" s="192">
        <f t="shared" si="3"/>
        <v>4</v>
      </c>
      <c r="P19" s="106">
        <f t="shared" si="0"/>
        <v>8.709032111231588</v>
      </c>
      <c r="Q19" s="56">
        <f t="shared" si="1"/>
        <v>1.9172944816587302E-2</v>
      </c>
      <c r="R19" s="44">
        <f t="shared" si="2"/>
        <v>2.8389455530309599E-2</v>
      </c>
      <c r="S19" s="44"/>
      <c r="Z19" s="33"/>
      <c r="AA19" s="33"/>
      <c r="AB19" s="33"/>
      <c r="AC19" s="33"/>
      <c r="AD19" s="33"/>
      <c r="AE19" s="33"/>
      <c r="AF19" s="33"/>
      <c r="AG19" s="33"/>
      <c r="AH19" s="33"/>
      <c r="AI19" s="33"/>
      <c r="AJ19" s="33"/>
    </row>
    <row r="20" spans="1:36" ht="13" customHeight="1">
      <c r="A20" s="240"/>
      <c r="B20" s="2"/>
      <c r="C20" s="2"/>
      <c r="D20" s="2"/>
      <c r="E20" s="2"/>
      <c r="H20" s="855"/>
      <c r="I20" s="855"/>
      <c r="J20" s="855"/>
      <c r="K20" s="855"/>
      <c r="L20" s="855"/>
      <c r="M20" s="282"/>
      <c r="N20" s="285"/>
      <c r="O20" s="192">
        <f t="shared" si="3"/>
        <v>5</v>
      </c>
      <c r="P20" s="106">
        <f t="shared" si="0"/>
        <v>10.866503784498954</v>
      </c>
      <c r="Q20" s="56">
        <f t="shared" si="1"/>
        <v>3.3062533070624615E-2</v>
      </c>
      <c r="R20" s="44">
        <f t="shared" si="2"/>
        <v>4.9956780433410133E-2</v>
      </c>
      <c r="S20" s="44"/>
      <c r="Z20" s="33"/>
      <c r="AA20" s="33"/>
      <c r="AB20" s="33"/>
      <c r="AC20" s="33"/>
      <c r="AD20" s="33"/>
      <c r="AE20" s="33"/>
      <c r="AF20" s="33"/>
      <c r="AG20" s="33"/>
      <c r="AH20" s="33"/>
      <c r="AI20" s="33"/>
      <c r="AJ20" s="33"/>
    </row>
    <row r="21" spans="1:36" ht="13" customHeight="1">
      <c r="A21" s="240"/>
      <c r="H21" s="855"/>
      <c r="I21" s="855"/>
      <c r="J21" s="855"/>
      <c r="K21" s="855"/>
      <c r="L21" s="855"/>
      <c r="M21" s="282"/>
      <c r="N21" s="285"/>
      <c r="O21" s="192">
        <f t="shared" si="3"/>
        <v>6</v>
      </c>
      <c r="P21" s="106">
        <f t="shared" si="0"/>
        <v>12.934841038130365</v>
      </c>
      <c r="Q21" s="56">
        <f t="shared" si="1"/>
        <v>5.0773694612139306E-2</v>
      </c>
      <c r="R21" s="44">
        <f t="shared" si="2"/>
        <v>7.783744276857868E-2</v>
      </c>
      <c r="S21" s="44"/>
      <c r="Z21" s="2"/>
      <c r="AA21" s="3"/>
      <c r="AB21" s="33"/>
      <c r="AC21" s="2" t="s">
        <v>494</v>
      </c>
      <c r="AD21" s="2" t="s">
        <v>495</v>
      </c>
      <c r="AE21" s="33"/>
      <c r="AF21" s="2" t="s">
        <v>434</v>
      </c>
      <c r="AG21" s="2" t="s">
        <v>435</v>
      </c>
      <c r="AH21" s="33"/>
      <c r="AI21" s="2" t="s">
        <v>436</v>
      </c>
      <c r="AJ21" s="33"/>
    </row>
    <row r="22" spans="1:36" ht="15">
      <c r="A22" s="240"/>
      <c r="H22" s="855"/>
      <c r="I22" s="855"/>
      <c r="J22" s="855"/>
      <c r="K22" s="855"/>
      <c r="L22" s="855"/>
      <c r="M22" s="282"/>
      <c r="N22" s="285"/>
      <c r="O22" s="192">
        <f t="shared" si="3"/>
        <v>7</v>
      </c>
      <c r="P22" s="106">
        <f t="shared" si="0"/>
        <v>14.90678522634305</v>
      </c>
      <c r="Q22" s="56">
        <f t="shared" si="1"/>
        <v>7.2003621866209191E-2</v>
      </c>
      <c r="R22" s="44">
        <f t="shared" si="2"/>
        <v>0.11158825828527383</v>
      </c>
      <c r="S22" s="44"/>
      <c r="Z22" s="2" t="s">
        <v>438</v>
      </c>
      <c r="AA22" s="2" t="s">
        <v>439</v>
      </c>
      <c r="AB22" s="2" t="s">
        <v>489</v>
      </c>
      <c r="AC22" s="2" t="s">
        <v>489</v>
      </c>
      <c r="AD22" s="2" t="s">
        <v>489</v>
      </c>
      <c r="AE22" s="33"/>
      <c r="AF22" s="2" t="s">
        <v>432</v>
      </c>
      <c r="AG22" s="2" t="s">
        <v>432</v>
      </c>
      <c r="AH22" s="33"/>
      <c r="AI22" s="2" t="s">
        <v>432</v>
      </c>
      <c r="AJ22" s="33"/>
    </row>
    <row r="23" spans="1:36" ht="28" customHeight="1">
      <c r="A23" s="240"/>
      <c r="H23" s="855"/>
      <c r="I23" s="855"/>
      <c r="J23" s="855"/>
      <c r="K23" s="855"/>
      <c r="L23" s="855"/>
      <c r="M23" s="282"/>
      <c r="N23" s="285"/>
      <c r="O23" s="192">
        <f t="shared" si="3"/>
        <v>8</v>
      </c>
      <c r="P23" s="106">
        <f t="shared" si="0"/>
        <v>16.779485254453967</v>
      </c>
      <c r="Q23" s="56">
        <f t="shared" si="1"/>
        <v>9.6358037222651433E-2</v>
      </c>
      <c r="R23" s="44">
        <f t="shared" si="2"/>
        <v>0.15059241655728409</v>
      </c>
      <c r="S23" s="44"/>
      <c r="Z23" s="29" t="s">
        <v>487</v>
      </c>
      <c r="AA23" s="29" t="s">
        <v>488</v>
      </c>
      <c r="AB23" s="29" t="s">
        <v>325</v>
      </c>
      <c r="AC23" s="29" t="s">
        <v>493</v>
      </c>
      <c r="AD23" s="29" t="s">
        <v>493</v>
      </c>
      <c r="AE23" s="42"/>
      <c r="AF23" s="29" t="s">
        <v>433</v>
      </c>
      <c r="AG23" s="29" t="s">
        <v>433</v>
      </c>
      <c r="AH23" s="42"/>
      <c r="AI23" s="29" t="s">
        <v>493</v>
      </c>
      <c r="AJ23" s="42"/>
    </row>
    <row r="24" spans="1:36">
      <c r="A24" s="240"/>
      <c r="N24" s="240"/>
      <c r="O24" s="192">
        <f t="shared" si="3"/>
        <v>9</v>
      </c>
      <c r="P24" s="106">
        <f t="shared" si="0"/>
        <v>18.552768856495668</v>
      </c>
      <c r="Q24" s="56">
        <f t="shared" si="1"/>
        <v>0.12339718467682916</v>
      </c>
      <c r="R24" s="44">
        <f t="shared" si="2"/>
        <v>0.19414193513228611</v>
      </c>
      <c r="S24" s="44"/>
      <c r="Z24" s="2">
        <v>0</v>
      </c>
      <c r="AA24" s="29">
        <v>0</v>
      </c>
      <c r="AB24" s="36">
        <f>'T. Grandis'!C15*1000/$AA$16</f>
        <v>0</v>
      </c>
      <c r="AC24" s="35">
        <f t="shared" ref="AC24:AC54" si="4">AB24*$AA$17</f>
        <v>0</v>
      </c>
      <c r="AD24" s="35">
        <f t="shared" ref="AD24:AD54" si="5">AB24*$AA$18</f>
        <v>0</v>
      </c>
      <c r="AE24" s="33"/>
      <c r="AF24" s="35">
        <f>AVERAGE(AC24)</f>
        <v>0</v>
      </c>
      <c r="AG24" s="35">
        <f>AVERAGE(AD24)</f>
        <v>0</v>
      </c>
      <c r="AH24" s="33"/>
      <c r="AI24" s="35">
        <f t="shared" ref="AI24:AI54" si="6">AB24*250</f>
        <v>0</v>
      </c>
      <c r="AJ24" s="33"/>
    </row>
    <row r="25" spans="1:36">
      <c r="A25" s="240"/>
      <c r="N25" s="240"/>
      <c r="O25" s="192">
        <f t="shared" si="3"/>
        <v>10</v>
      </c>
      <c r="P25" s="106">
        <f t="shared" si="0"/>
        <v>20.228150462103905</v>
      </c>
      <c r="Q25" s="56">
        <f t="shared" si="1"/>
        <v>0.15266766114888916</v>
      </c>
      <c r="R25" s="44">
        <f t="shared" si="2"/>
        <v>0.24149523271975096</v>
      </c>
      <c r="S25" s="44"/>
      <c r="Z25" s="2">
        <v>1</v>
      </c>
      <c r="AA25" s="286">
        <f>P16</f>
        <v>1.9505032012297425</v>
      </c>
      <c r="AB25" s="36">
        <f>'T. Grandis'!C16*1000/$AA$16</f>
        <v>7.2992814241253123E-4</v>
      </c>
      <c r="AC25" s="35">
        <f t="shared" si="4"/>
        <v>0.10948922136187969</v>
      </c>
      <c r="AD25" s="35">
        <f t="shared" si="5"/>
        <v>0.24306607142337289</v>
      </c>
      <c r="AE25" s="33"/>
      <c r="AF25" s="35">
        <f>AVERAGE(AC$24:AC25)</f>
        <v>5.4744610680939845E-2</v>
      </c>
      <c r="AG25" s="35">
        <f>AVERAGE(AD$24:AD25)</f>
        <v>0.12153303571168644</v>
      </c>
      <c r="AH25" s="33"/>
      <c r="AI25" s="35">
        <f t="shared" si="6"/>
        <v>0.18248203560313281</v>
      </c>
      <c r="AJ25" s="33"/>
    </row>
    <row r="26" spans="1:36">
      <c r="A26" s="240"/>
      <c r="N26" s="240"/>
      <c r="O26" s="192">
        <f t="shared" si="3"/>
        <v>11</v>
      </c>
      <c r="P26" s="106">
        <f t="shared" si="0"/>
        <v>21.808221207992425</v>
      </c>
      <c r="Q26" s="56">
        <f t="shared" si="1"/>
        <v>0.18372404075579374</v>
      </c>
      <c r="R26" s="44">
        <f t="shared" si="2"/>
        <v>0.29191654395400157</v>
      </c>
      <c r="S26" s="44"/>
      <c r="Z26" s="2">
        <f t="shared" ref="Z26:Z54" si="7">Z25+1</f>
        <v>2</v>
      </c>
      <c r="AA26" s="286">
        <f t="shared" ref="AA26:AA54" si="8">P17</f>
        <v>4.2019229822062325</v>
      </c>
      <c r="AB26" s="36">
        <f>'T. Grandis'!C17*1000/$AA$16</f>
        <v>4.8291223123151294E-3</v>
      </c>
      <c r="AC26" s="35">
        <f t="shared" si="4"/>
        <v>0.72436834684726936</v>
      </c>
      <c r="AD26" s="35">
        <f t="shared" si="5"/>
        <v>1.608097730000938</v>
      </c>
      <c r="AE26" s="33"/>
      <c r="AF26" s="35">
        <f>AVERAGE(AC$24:AC26)</f>
        <v>0.27795252273638299</v>
      </c>
      <c r="AG26" s="35">
        <f>AVERAGE(AD$24:AD26)</f>
        <v>0.61705460047477034</v>
      </c>
      <c r="AH26" s="33"/>
      <c r="AI26" s="35">
        <f t="shared" si="6"/>
        <v>1.2072805780787823</v>
      </c>
      <c r="AJ26" s="33"/>
    </row>
    <row r="27" spans="1:36">
      <c r="A27" s="240"/>
      <c r="N27" s="240"/>
      <c r="O27" s="192">
        <f t="shared" si="3"/>
        <v>12</v>
      </c>
      <c r="P27" s="106">
        <f t="shared" si="0"/>
        <v>23.296255140664901</v>
      </c>
      <c r="Q27" s="56">
        <f t="shared" si="1"/>
        <v>0.21614309272079993</v>
      </c>
      <c r="R27" s="44">
        <f t="shared" si="2"/>
        <v>0.34470207243761286</v>
      </c>
      <c r="S27" s="44"/>
      <c r="Z27" s="2">
        <f t="shared" si="7"/>
        <v>3</v>
      </c>
      <c r="AA27" s="286">
        <f t="shared" si="8"/>
        <v>6.4774231185905276</v>
      </c>
      <c r="AB27" s="36">
        <f>'T. Grandis'!C18*1000/$AA$16</f>
        <v>1.4015590316427334E-2</v>
      </c>
      <c r="AC27" s="35">
        <f t="shared" si="4"/>
        <v>2.1023385474640999</v>
      </c>
      <c r="AD27" s="35">
        <f t="shared" si="5"/>
        <v>4.6671915753703024</v>
      </c>
      <c r="AE27" s="33"/>
      <c r="AF27" s="35">
        <f>AVERAGE(AC$24:AC27)</f>
        <v>0.73404902891831225</v>
      </c>
      <c r="AG27" s="35">
        <f>AVERAGE(AD$24:AD27)</f>
        <v>1.6295888441986532</v>
      </c>
      <c r="AH27" s="33"/>
      <c r="AI27" s="35">
        <f t="shared" si="6"/>
        <v>3.5038975791068334</v>
      </c>
      <c r="AJ27" s="33"/>
    </row>
    <row r="28" spans="1:36">
      <c r="A28" s="240"/>
      <c r="N28" s="240"/>
      <c r="O28" s="192">
        <f t="shared" si="3"/>
        <v>13</v>
      </c>
      <c r="P28" s="106">
        <f t="shared" si="0"/>
        <v>24.695945926552145</v>
      </c>
      <c r="Q28" s="56">
        <f t="shared" si="1"/>
        <v>0.24953262609322374</v>
      </c>
      <c r="R28" s="44">
        <f t="shared" si="2"/>
        <v>0.39919648898930138</v>
      </c>
      <c r="S28" s="44"/>
      <c r="Z28" s="2">
        <f t="shared" si="7"/>
        <v>4</v>
      </c>
      <c r="AA28" s="286">
        <f t="shared" si="8"/>
        <v>8.709032111231588</v>
      </c>
      <c r="AB28" s="36">
        <f>'T. Grandis'!C19*1000/$AA$16</f>
        <v>2.9049916388768641E-2</v>
      </c>
      <c r="AC28" s="35">
        <f t="shared" si="4"/>
        <v>4.3574874583152958</v>
      </c>
      <c r="AD28" s="35">
        <f t="shared" si="5"/>
        <v>9.6736221574599579</v>
      </c>
      <c r="AE28" s="33"/>
      <c r="AF28" s="35">
        <f>AVERAGE(AC$24:AC28)</f>
        <v>1.4587367147977091</v>
      </c>
      <c r="AG28" s="35">
        <f>AVERAGE(AD$24:AD28)</f>
        <v>3.2383955068509138</v>
      </c>
      <c r="AH28" s="33"/>
      <c r="AI28" s="35">
        <f t="shared" si="6"/>
        <v>7.26247909719216</v>
      </c>
      <c r="AJ28" s="33"/>
    </row>
    <row r="29" spans="1:36">
      <c r="A29" s="240"/>
      <c r="N29" s="240"/>
      <c r="O29" s="192">
        <f t="shared" si="3"/>
        <v>14</v>
      </c>
      <c r="P29" s="106">
        <f t="shared" si="0"/>
        <v>26.011226390254841</v>
      </c>
      <c r="Q29" s="56">
        <f t="shared" si="1"/>
        <v>0.28353645788510168</v>
      </c>
      <c r="R29" s="44">
        <f t="shared" si="2"/>
        <v>0.45480244970385936</v>
      </c>
      <c r="S29" s="44"/>
      <c r="Z29" s="2">
        <f t="shared" si="7"/>
        <v>5</v>
      </c>
      <c r="AA29" s="286">
        <f t="shared" si="8"/>
        <v>10.866503784498954</v>
      </c>
      <c r="AB29" s="36">
        <f>'T. Grandis'!C20*1000/$AA$16</f>
        <v>5.0094747076703965E-2</v>
      </c>
      <c r="AC29" s="35">
        <f t="shared" si="4"/>
        <v>7.514212061505595</v>
      </c>
      <c r="AD29" s="35">
        <f t="shared" si="5"/>
        <v>16.681550776542419</v>
      </c>
      <c r="AE29" s="33"/>
      <c r="AF29" s="35">
        <f>AVERAGE(AC$24:AC29)</f>
        <v>2.4679826059156902</v>
      </c>
      <c r="AG29" s="35">
        <f>AVERAGE(AD$24:AD29)</f>
        <v>5.4789213851328311</v>
      </c>
      <c r="AH29" s="33"/>
      <c r="AI29" s="35">
        <f t="shared" si="6"/>
        <v>12.523686769175992</v>
      </c>
      <c r="AJ29" s="33"/>
    </row>
    <row r="30" spans="1:36">
      <c r="A30" s="240"/>
      <c r="N30" s="240"/>
      <c r="O30" s="192">
        <f t="shared" si="3"/>
        <v>15</v>
      </c>
      <c r="P30" s="106">
        <f t="shared" si="0"/>
        <v>27.246142730814924</v>
      </c>
      <c r="Q30" s="56">
        <f t="shared" si="1"/>
        <v>0.31783661438810273</v>
      </c>
      <c r="R30" s="44">
        <f t="shared" si="2"/>
        <v>0.51098512363867532</v>
      </c>
      <c r="S30" s="44"/>
      <c r="Z30" s="2">
        <f t="shared" si="7"/>
        <v>6</v>
      </c>
      <c r="AA30" s="286">
        <f t="shared" si="8"/>
        <v>12.934841038130365</v>
      </c>
      <c r="AB30" s="36">
        <f>'T. Grandis'!C21*1000/$AA$16</f>
        <v>7.6929840321423193E-2</v>
      </c>
      <c r="AC30" s="35">
        <f t="shared" si="4"/>
        <v>11.539476048213478</v>
      </c>
      <c r="AD30" s="35">
        <f t="shared" si="5"/>
        <v>25.617636827033923</v>
      </c>
      <c r="AE30" s="33"/>
      <c r="AF30" s="35">
        <f>AVERAGE(AC$24:AC30)</f>
        <v>3.7639102405296603</v>
      </c>
      <c r="AG30" s="35">
        <f>AVERAGE(AD$24:AD30)</f>
        <v>8.3558807339758427</v>
      </c>
      <c r="AH30" s="33"/>
      <c r="AI30" s="35">
        <f t="shared" si="6"/>
        <v>19.2324600803558</v>
      </c>
      <c r="AJ30" s="33"/>
    </row>
    <row r="31" spans="1:36">
      <c r="A31" s="240"/>
      <c r="N31" s="240"/>
      <c r="O31" s="192">
        <f t="shared" si="3"/>
        <v>16</v>
      </c>
      <c r="P31" s="106">
        <f t="shared" si="0"/>
        <v>28.404765980137206</v>
      </c>
      <c r="Q31" s="56">
        <f t="shared" si="1"/>
        <v>0.35215359096465587</v>
      </c>
      <c r="R31" s="44">
        <f t="shared" si="2"/>
        <v>0.56727321136905728</v>
      </c>
      <c r="S31" s="44"/>
      <c r="Z31" s="2">
        <f t="shared" si="7"/>
        <v>7</v>
      </c>
      <c r="AA31" s="286">
        <f t="shared" si="8"/>
        <v>14.90678522634305</v>
      </c>
      <c r="AB31" s="36">
        <f>'T. Grandis'!C22*1000/$AA$16</f>
        <v>0.10909639676698361</v>
      </c>
      <c r="AC31" s="35">
        <f t="shared" si="4"/>
        <v>16.364459515047542</v>
      </c>
      <c r="AD31" s="35">
        <f t="shared" si="5"/>
        <v>36.329100123405546</v>
      </c>
      <c r="AE31" s="33"/>
      <c r="AF31" s="35">
        <f>AVERAGE(AC$24:AC31)</f>
        <v>5.3389788998443954</v>
      </c>
      <c r="AG31" s="35">
        <f>AVERAGE(AD$24:AD31)</f>
        <v>11.852533157654555</v>
      </c>
      <c r="AH31" s="33"/>
      <c r="AI31" s="35">
        <f t="shared" si="6"/>
        <v>27.274099191745904</v>
      </c>
      <c r="AJ31" s="33"/>
    </row>
    <row r="32" spans="1:36">
      <c r="A32" s="240"/>
      <c r="N32" s="240"/>
      <c r="O32" s="192">
        <f t="shared" si="3"/>
        <v>17</v>
      </c>
      <c r="P32" s="106">
        <f t="shared" si="0"/>
        <v>29.491129469464585</v>
      </c>
      <c r="Q32" s="56">
        <f t="shared" si="1"/>
        <v>0.3862452837462465</v>
      </c>
      <c r="R32" s="44">
        <f t="shared" si="2"/>
        <v>0.62325755512452197</v>
      </c>
      <c r="S32" s="44"/>
      <c r="Z32" s="2">
        <f t="shared" si="7"/>
        <v>8</v>
      </c>
      <c r="AA32" s="286">
        <f t="shared" si="8"/>
        <v>16.779485254453967</v>
      </c>
      <c r="AB32" s="36">
        <f>'T. Grandis'!C23*1000/$AA$16</f>
        <v>0.1459970260949264</v>
      </c>
      <c r="AC32" s="35">
        <f t="shared" si="4"/>
        <v>21.899553914238961</v>
      </c>
      <c r="AD32" s="35">
        <f t="shared" si="5"/>
        <v>48.617009689610491</v>
      </c>
      <c r="AE32" s="33"/>
      <c r="AF32" s="35">
        <f>AVERAGE(AC$24:AC32)</f>
        <v>7.179042790332681</v>
      </c>
      <c r="AG32" s="35">
        <f>AVERAGE(AD$24:AD32)</f>
        <v>15.937474994538547</v>
      </c>
      <c r="AH32" s="33"/>
      <c r="AI32" s="35">
        <f t="shared" si="6"/>
        <v>36.499256523731603</v>
      </c>
      <c r="AJ32" s="33"/>
    </row>
    <row r="33" spans="1:36">
      <c r="A33" s="240"/>
      <c r="N33" s="240"/>
      <c r="O33" s="192">
        <f t="shared" si="3"/>
        <v>18</v>
      </c>
      <c r="P33" s="106">
        <f t="shared" si="0"/>
        <v>30.509184823901808</v>
      </c>
      <c r="Q33" s="56">
        <f t="shared" si="1"/>
        <v>0.41990504762959363</v>
      </c>
      <c r="R33" s="44">
        <f t="shared" si="2"/>
        <v>0.67858815512994752</v>
      </c>
      <c r="S33" s="44"/>
      <c r="Z33" s="2">
        <f t="shared" si="7"/>
        <v>9</v>
      </c>
      <c r="AA33" s="286">
        <f t="shared" si="8"/>
        <v>18.552768856495668</v>
      </c>
      <c r="AB33" s="36">
        <f>'T. Grandis'!C24*1000/$AA$16</f>
        <v>0.18696543132852902</v>
      </c>
      <c r="AC33" s="35">
        <f t="shared" si="4"/>
        <v>28.044814699279353</v>
      </c>
      <c r="AD33" s="35">
        <f t="shared" si="5"/>
        <v>62.259488632400164</v>
      </c>
      <c r="AE33" s="33"/>
      <c r="AF33" s="35">
        <f>AVERAGE(AC$24:AC33)</f>
        <v>9.2656199812273492</v>
      </c>
      <c r="AG33" s="35">
        <f>AVERAGE(AD$24:AD33)</f>
        <v>20.56967635832471</v>
      </c>
      <c r="AH33" s="33"/>
      <c r="AI33" s="35">
        <f t="shared" si="6"/>
        <v>46.741357832132259</v>
      </c>
      <c r="AJ33" s="33"/>
    </row>
    <row r="34" spans="1:36">
      <c r="A34" s="240"/>
      <c r="N34" s="240"/>
      <c r="O34" s="192">
        <f t="shared" si="3"/>
        <v>19</v>
      </c>
      <c r="P34" s="106">
        <f t="shared" si="0"/>
        <v>31.462771365171765</v>
      </c>
      <c r="Q34" s="56">
        <f t="shared" si="1"/>
        <v>0.45295921502498976</v>
      </c>
      <c r="R34" s="44">
        <f t="shared" si="2"/>
        <v>0.73297019111842365</v>
      </c>
      <c r="S34" s="44"/>
      <c r="Z34" s="2">
        <f t="shared" si="7"/>
        <v>10</v>
      </c>
      <c r="AA34" s="286">
        <f t="shared" si="8"/>
        <v>20.228150462103905</v>
      </c>
      <c r="AB34" s="36">
        <f>'T. Grandis'!C25*1000/$AA$16</f>
        <v>0.2313146381043775</v>
      </c>
      <c r="AC34" s="35">
        <f t="shared" si="4"/>
        <v>34.697195715656626</v>
      </c>
      <c r="AD34" s="35">
        <f t="shared" si="5"/>
        <v>77.0277744887577</v>
      </c>
      <c r="AE34" s="33"/>
      <c r="AF34" s="35">
        <f>AVERAGE(AC$24:AC34)</f>
        <v>11.577581411630009</v>
      </c>
      <c r="AG34" s="35">
        <f>AVERAGE(AD$24:AD34)</f>
        <v>25.70223073381862</v>
      </c>
      <c r="AH34" s="33"/>
      <c r="AI34" s="35">
        <f t="shared" si="6"/>
        <v>57.828659526094377</v>
      </c>
      <c r="AJ34" s="33"/>
    </row>
    <row r="35" spans="1:36">
      <c r="A35" s="240"/>
      <c r="N35" s="240"/>
      <c r="O35" s="192">
        <f t="shared" si="3"/>
        <v>20</v>
      </c>
      <c r="P35" s="106">
        <f t="shared" si="0"/>
        <v>32.355595335564232</v>
      </c>
      <c r="Q35" s="56">
        <f t="shared" si="1"/>
        <v>0.48526431918477142</v>
      </c>
      <c r="R35" s="44">
        <f t="shared" si="2"/>
        <v>0.78615948527487667</v>
      </c>
      <c r="S35" s="44"/>
      <c r="Z35" s="2">
        <f t="shared" si="7"/>
        <v>11</v>
      </c>
      <c r="AA35" s="286">
        <f t="shared" si="8"/>
        <v>21.808221207992425</v>
      </c>
      <c r="AB35" s="36">
        <f>'T. Grandis'!C26*1000/$AA$16</f>
        <v>0.27836975872089958</v>
      </c>
      <c r="AC35" s="35">
        <f t="shared" si="4"/>
        <v>41.755463808134941</v>
      </c>
      <c r="AD35" s="35">
        <f t="shared" si="5"/>
        <v>92.697129654059566</v>
      </c>
      <c r="AE35" s="33"/>
      <c r="AF35" s="35">
        <f>AVERAGE(AC$24:AC35)</f>
        <v>14.092404944672088</v>
      </c>
      <c r="AG35" s="35">
        <f>AVERAGE(AD$24:AD35)</f>
        <v>31.285138977172029</v>
      </c>
      <c r="AH35" s="33"/>
      <c r="AI35" s="35">
        <f t="shared" si="6"/>
        <v>69.592439680224899</v>
      </c>
      <c r="AJ35" s="33"/>
    </row>
    <row r="36" spans="1:36">
      <c r="A36" s="240"/>
      <c r="N36" s="240"/>
      <c r="O36" s="192">
        <f t="shared" si="3"/>
        <v>21</v>
      </c>
      <c r="P36" s="106">
        <f t="shared" si="0"/>
        <v>33.191216379761066</v>
      </c>
      <c r="Q36" s="56">
        <f t="shared" si="1"/>
        <v>0.51670419746762286</v>
      </c>
      <c r="R36" s="44">
        <f t="shared" si="2"/>
        <v>0.83795772019849879</v>
      </c>
      <c r="S36" s="44"/>
      <c r="Z36" s="2">
        <f t="shared" si="7"/>
        <v>12</v>
      </c>
      <c r="AA36" s="286">
        <f t="shared" si="8"/>
        <v>23.296255140664901</v>
      </c>
      <c r="AB36" s="36">
        <f>'T. Grandis'!C27*1000/$AA$16</f>
        <v>0.32748953442545442</v>
      </c>
      <c r="AC36" s="35">
        <f t="shared" si="4"/>
        <v>49.123430163818163</v>
      </c>
      <c r="AD36" s="35">
        <f t="shared" si="5"/>
        <v>109.05401496367632</v>
      </c>
      <c r="AE36" s="33"/>
      <c r="AF36" s="35">
        <f>AVERAGE(AC$24:AC36)</f>
        <v>16.787099192298708</v>
      </c>
      <c r="AG36" s="35">
        <f>AVERAGE(AD$24:AD36)</f>
        <v>37.267360206903128</v>
      </c>
      <c r="AH36" s="33"/>
      <c r="AI36" s="35">
        <f t="shared" si="6"/>
        <v>81.872383606363599</v>
      </c>
      <c r="AJ36" s="33"/>
    </row>
    <row r="37" spans="1:36">
      <c r="A37" s="240"/>
      <c r="N37" s="240"/>
      <c r="O37" s="192">
        <f t="shared" si="3"/>
        <v>22</v>
      </c>
      <c r="P37" s="106">
        <f t="shared" si="0"/>
        <v>33.973039421828602</v>
      </c>
      <c r="Q37" s="56">
        <f t="shared" si="1"/>
        <v>0.54718709826173584</v>
      </c>
      <c r="R37" s="44">
        <f t="shared" si="2"/>
        <v>0.88820763319388374</v>
      </c>
      <c r="S37" s="44"/>
      <c r="Z37" s="2">
        <f t="shared" si="7"/>
        <v>13</v>
      </c>
      <c r="AA37" s="286">
        <f t="shared" si="8"/>
        <v>24.695945926552145</v>
      </c>
      <c r="AB37" s="36">
        <f>'T. Grandis'!C28*1000/$AA$16</f>
        <v>0.37807973650488447</v>
      </c>
      <c r="AC37" s="35">
        <f t="shared" si="4"/>
        <v>56.711960475732667</v>
      </c>
      <c r="AD37" s="35">
        <f t="shared" si="5"/>
        <v>125.90055225612653</v>
      </c>
      <c r="AE37" s="33"/>
      <c r="AF37" s="35">
        <f>AVERAGE(AC$24:AC37)</f>
        <v>19.638874998258277</v>
      </c>
      <c r="AG37" s="35">
        <f>AVERAGE(AD$24:AD37)</f>
        <v>43.598302496133371</v>
      </c>
      <c r="AH37" s="33"/>
      <c r="AI37" s="35">
        <f t="shared" si="6"/>
        <v>94.519934126221116</v>
      </c>
      <c r="AJ37" s="33"/>
    </row>
    <row r="38" spans="1:36">
      <c r="A38" s="240"/>
      <c r="N38" s="240"/>
      <c r="O38" s="192">
        <f t="shared" si="3"/>
        <v>23</v>
      </c>
      <c r="P38" s="106">
        <f t="shared" si="0"/>
        <v>34.704310564469083</v>
      </c>
      <c r="Q38" s="56">
        <f t="shared" si="1"/>
        <v>0.57664287650159241</v>
      </c>
      <c r="R38" s="44">
        <f t="shared" si="2"/>
        <v>0.93678833905128445</v>
      </c>
      <c r="S38" s="44"/>
      <c r="Z38" s="2">
        <f t="shared" si="7"/>
        <v>14</v>
      </c>
      <c r="AA38" s="286">
        <f t="shared" si="8"/>
        <v>26.011226390254841</v>
      </c>
      <c r="AB38" s="36">
        <f>'T. Grandis'!C29*1000/$AA$16</f>
        <v>0.42960069376530557</v>
      </c>
      <c r="AC38" s="35">
        <f t="shared" si="4"/>
        <v>64.440104064795833</v>
      </c>
      <c r="AD38" s="35">
        <f t="shared" si="5"/>
        <v>143.05703102384675</v>
      </c>
      <c r="AE38" s="33"/>
      <c r="AF38" s="35">
        <f>AVERAGE(AC$24:AC38)</f>
        <v>22.625623602694116</v>
      </c>
      <c r="AG38" s="35">
        <f>AVERAGE(AD$24:AD38)</f>
        <v>50.228884397980927</v>
      </c>
      <c r="AH38" s="33"/>
      <c r="AI38" s="35">
        <f t="shared" si="6"/>
        <v>107.40017344132639</v>
      </c>
      <c r="AJ38" s="33"/>
    </row>
    <row r="39" spans="1:36">
      <c r="A39" s="240"/>
      <c r="N39" s="240"/>
      <c r="O39" s="192">
        <f t="shared" si="3"/>
        <v>24</v>
      </c>
      <c r="P39" s="106">
        <f t="shared" si="0"/>
        <v>35.38811598651025</v>
      </c>
      <c r="Q39" s="56">
        <f t="shared" si="1"/>
        <v>0.60502033373957542</v>
      </c>
      <c r="R39" s="44">
        <f t="shared" si="2"/>
        <v>0.98361088194840407</v>
      </c>
      <c r="S39" s="44"/>
      <c r="Z39" s="2">
        <f t="shared" si="7"/>
        <v>15</v>
      </c>
      <c r="AA39" s="286">
        <f t="shared" si="8"/>
        <v>27.246142730814924</v>
      </c>
      <c r="AB39" s="36">
        <f>'T. Grandis'!C30*1000/$AA$16</f>
        <v>0.48157062786076177</v>
      </c>
      <c r="AC39" s="35">
        <f t="shared" si="4"/>
        <v>72.235594179114258</v>
      </c>
      <c r="AD39" s="35">
        <f t="shared" si="5"/>
        <v>160.36301907763368</v>
      </c>
      <c r="AE39" s="33"/>
      <c r="AF39" s="37">
        <f>AVERAGE(AC$24:AC39)</f>
        <v>25.726246763720376</v>
      </c>
      <c r="AG39" s="37">
        <f>AVERAGE(AD$24:AD39)</f>
        <v>57.112267815459226</v>
      </c>
      <c r="AH39" s="33"/>
      <c r="AI39" s="35">
        <f t="shared" si="6"/>
        <v>120.39265696519044</v>
      </c>
      <c r="AJ39" s="35">
        <f>AVERAGE(AI$24:AI39)</f>
        <v>42.877077939533955</v>
      </c>
    </row>
    <row r="40" spans="1:36">
      <c r="A40" s="240"/>
      <c r="N40" s="240"/>
      <c r="O40" s="192">
        <f t="shared" si="3"/>
        <v>25</v>
      </c>
      <c r="P40" s="106">
        <f t="shared" si="0"/>
        <v>36.027383067244656</v>
      </c>
      <c r="Q40" s="56">
        <f t="shared" si="1"/>
        <v>0.63228473726184864</v>
      </c>
      <c r="R40" s="44">
        <f t="shared" si="2"/>
        <v>1.0286140790040661</v>
      </c>
      <c r="S40" s="44"/>
      <c r="Z40" s="2">
        <f t="shared" si="7"/>
        <v>16</v>
      </c>
      <c r="AA40" s="286">
        <f t="shared" si="8"/>
        <v>28.404765980137206</v>
      </c>
      <c r="AB40" s="36">
        <f>'T. Grandis'!C31*1000/$AA$16</f>
        <v>0.53356604691614518</v>
      </c>
      <c r="AC40" s="35">
        <f t="shared" si="4"/>
        <v>80.034907037421775</v>
      </c>
      <c r="AD40" s="35">
        <f t="shared" si="5"/>
        <v>177.67749362307634</v>
      </c>
      <c r="AE40" s="33"/>
      <c r="AF40" s="35">
        <f>AVERAGE(AC$24:AC40)</f>
        <v>28.920873838643985</v>
      </c>
      <c r="AG40" s="35">
        <f>AVERAGE(AD$24:AD40)</f>
        <v>64.204339921789654</v>
      </c>
      <c r="AH40" s="33"/>
      <c r="AI40" s="35">
        <f t="shared" si="6"/>
        <v>133.3915117290363</v>
      </c>
      <c r="AJ40" s="35">
        <f>AVERAGE(AI$24:AI40)</f>
        <v>48.201456397739975</v>
      </c>
    </row>
    <row r="41" spans="1:36">
      <c r="A41" s="240"/>
      <c r="N41" s="240"/>
      <c r="O41" s="192">
        <f t="shared" si="3"/>
        <v>26</v>
      </c>
      <c r="P41" s="106">
        <f t="shared" si="0"/>
        <v>36.624883151828648</v>
      </c>
      <c r="Q41" s="56">
        <f t="shared" si="1"/>
        <v>0.65841553699496147</v>
      </c>
      <c r="R41" s="44">
        <f t="shared" si="2"/>
        <v>1.0717606901301358</v>
      </c>
      <c r="S41" s="44"/>
      <c r="Z41" s="2">
        <f t="shared" si="7"/>
        <v>17</v>
      </c>
      <c r="AA41" s="286">
        <f t="shared" si="8"/>
        <v>29.491129469464585</v>
      </c>
      <c r="AB41" s="36">
        <f>'T. Grandis'!C32*1000/$AA$16</f>
        <v>0.58522012688825231</v>
      </c>
      <c r="AC41" s="35">
        <f t="shared" si="4"/>
        <v>87.783019033237849</v>
      </c>
      <c r="AD41" s="35">
        <f t="shared" si="5"/>
        <v>194.87830225378801</v>
      </c>
      <c r="AE41" s="33"/>
      <c r="AF41" s="35">
        <f>AVERAGE(AC$24:AC41)</f>
        <v>32.190993016121425</v>
      </c>
      <c r="AG41" s="35">
        <f>AVERAGE(AD$24:AD41)</f>
        <v>71.464004495789553</v>
      </c>
      <c r="AH41" s="33"/>
      <c r="AI41" s="35">
        <f t="shared" si="6"/>
        <v>146.30503172206309</v>
      </c>
      <c r="AJ41" s="35">
        <f>AVERAGE(AI$24:AI41)</f>
        <v>53.651655026869037</v>
      </c>
    </row>
    <row r="42" spans="1:36">
      <c r="A42" s="240"/>
      <c r="N42" s="240"/>
      <c r="O42" s="192">
        <f t="shared" si="3"/>
        <v>27</v>
      </c>
      <c r="P42" s="106">
        <f t="shared" si="0"/>
        <v>37.183235510050736</v>
      </c>
      <c r="Q42" s="56">
        <f t="shared" si="1"/>
        <v>0.68340428757158067</v>
      </c>
      <c r="R42" s="44">
        <f t="shared" si="2"/>
        <v>1.1130339287043316</v>
      </c>
      <c r="S42" s="44"/>
      <c r="Z42" s="2">
        <f t="shared" si="7"/>
        <v>18</v>
      </c>
      <c r="AA42" s="286">
        <f t="shared" si="8"/>
        <v>30.509184823901808</v>
      </c>
      <c r="AB42" s="36">
        <f>'T. Grandis'!C33*1000/$AA$16</f>
        <v>0.63621976913574796</v>
      </c>
      <c r="AC42" s="35">
        <f t="shared" si="4"/>
        <v>95.432965370362197</v>
      </c>
      <c r="AD42" s="35">
        <f t="shared" si="5"/>
        <v>211.86118312220407</v>
      </c>
      <c r="AE42" s="33"/>
      <c r="AF42" s="35">
        <f>AVERAGE(AC$24:AC42)</f>
        <v>35.519517876870943</v>
      </c>
      <c r="AG42" s="35">
        <f>AVERAGE(AD$24:AD42)</f>
        <v>78.853329686653481</v>
      </c>
      <c r="AH42" s="33"/>
      <c r="AI42" s="35">
        <f t="shared" si="6"/>
        <v>159.05494228393698</v>
      </c>
      <c r="AJ42" s="35">
        <f>AVERAGE(AI$24:AI42)</f>
        <v>59.199196461451564</v>
      </c>
    </row>
    <row r="43" spans="1:36">
      <c r="A43" s="240"/>
      <c r="N43" s="240"/>
      <c r="O43" s="192">
        <f t="shared" si="3"/>
        <v>28</v>
      </c>
      <c r="P43" s="106">
        <f t="shared" si="0"/>
        <v>37.704912144689018</v>
      </c>
      <c r="Q43" s="56">
        <f t="shared" si="1"/>
        <v>0.70725277486026372</v>
      </c>
      <c r="R43" s="44">
        <f t="shared" si="2"/>
        <v>1.1524343133359898</v>
      </c>
      <c r="S43" s="44"/>
      <c r="Z43" s="2">
        <f t="shared" si="7"/>
        <v>19</v>
      </c>
      <c r="AA43" s="286">
        <f t="shared" si="8"/>
        <v>31.462771365171765</v>
      </c>
      <c r="AB43" s="36">
        <f>'T. Grandis'!C34*1000/$AA$16</f>
        <v>0.68630184094695423</v>
      </c>
      <c r="AC43" s="35">
        <f t="shared" si="4"/>
        <v>102.94527614204314</v>
      </c>
      <c r="AD43" s="35">
        <f t="shared" si="5"/>
        <v>228.53851303533577</v>
      </c>
      <c r="AE43" s="33"/>
      <c r="AF43" s="35">
        <f>AVERAGE(AC$24:AC43)</f>
        <v>38.890805790129548</v>
      </c>
      <c r="AG43" s="35">
        <f>AVERAGE(AD$24:AD43)</f>
        <v>86.337588854087585</v>
      </c>
      <c r="AH43" s="33"/>
      <c r="AI43" s="35">
        <f t="shared" si="6"/>
        <v>171.57546023673856</v>
      </c>
      <c r="AJ43" s="35">
        <f>AVERAGE(AI$24:AI43)</f>
        <v>64.818009650215913</v>
      </c>
    </row>
    <row r="44" spans="1:36">
      <c r="A44" s="240"/>
      <c r="N44" s="240"/>
      <c r="O44" s="192">
        <f t="shared" si="3"/>
        <v>29</v>
      </c>
      <c r="P44" s="106">
        <f t="shared" si="0"/>
        <v>38.192243184632318</v>
      </c>
      <c r="Q44" s="56">
        <f t="shared" si="1"/>
        <v>0.72997134070532854</v>
      </c>
      <c r="R44" s="44">
        <f t="shared" si="2"/>
        <v>1.1899768511712403</v>
      </c>
      <c r="S44" s="44"/>
      <c r="Z44" s="2">
        <f t="shared" si="7"/>
        <v>20</v>
      </c>
      <c r="AA44" s="286">
        <f t="shared" si="8"/>
        <v>32.355595335564232</v>
      </c>
      <c r="AB44" s="36">
        <f>'T. Grandis'!C35*1000/$AA$16</f>
        <v>0.7352489684617749</v>
      </c>
      <c r="AC44" s="35">
        <f t="shared" si="4"/>
        <v>110.28734526926624</v>
      </c>
      <c r="AD44" s="35">
        <f t="shared" si="5"/>
        <v>244.83790649777103</v>
      </c>
      <c r="AE44" s="33"/>
      <c r="AF44" s="37">
        <f>AVERAGE(AC$24:AC44)</f>
        <v>42.290641003421769</v>
      </c>
      <c r="AG44" s="37">
        <f>AVERAGE(AD$24:AD44)</f>
        <v>93.885223027596311</v>
      </c>
      <c r="AH44" s="33"/>
      <c r="AI44" s="35">
        <f t="shared" si="6"/>
        <v>183.81224211544372</v>
      </c>
      <c r="AJ44" s="35">
        <f>AVERAGE(AI$24:AI44)</f>
        <v>70.484401672369614</v>
      </c>
    </row>
    <row r="45" spans="1:36">
      <c r="A45" s="240"/>
      <c r="N45" s="240"/>
      <c r="O45" s="192">
        <f t="shared" si="3"/>
        <v>30</v>
      </c>
      <c r="P45" s="106">
        <f t="shared" si="0"/>
        <v>38.647422658444889</v>
      </c>
      <c r="Q45" s="56">
        <f t="shared" si="1"/>
        <v>0.7515773959445482</v>
      </c>
      <c r="R45" s="44">
        <f t="shared" si="2"/>
        <v>1.225688536670841</v>
      </c>
      <c r="S45" s="44"/>
      <c r="Z45" s="2">
        <f t="shared" si="7"/>
        <v>21</v>
      </c>
      <c r="AA45" s="286">
        <f t="shared" si="8"/>
        <v>33.191216379761066</v>
      </c>
      <c r="AB45" s="36">
        <f>'T. Grandis'!C36*1000/$AA$16</f>
        <v>0.78288514767821649</v>
      </c>
      <c r="AC45" s="35">
        <f t="shared" si="4"/>
        <v>117.43277215173248</v>
      </c>
      <c r="AD45" s="35">
        <f t="shared" si="5"/>
        <v>260.70075417684609</v>
      </c>
      <c r="AE45" s="33"/>
      <c r="AF45" s="35">
        <f>AVERAGE(AC$24:AC45)</f>
        <v>45.706192419254073</v>
      </c>
      <c r="AG45" s="35">
        <f>AVERAGE(AD$24:AD45)</f>
        <v>101.46774717074403</v>
      </c>
      <c r="AH45" s="33"/>
      <c r="AI45" s="35">
        <f t="shared" si="6"/>
        <v>195.72128691955413</v>
      </c>
      <c r="AJ45" s="35">
        <f>AVERAGE(AI$24:AI45)</f>
        <v>76.176987365423457</v>
      </c>
    </row>
    <row r="46" spans="1:36">
      <c r="A46" s="240"/>
      <c r="N46" s="240"/>
      <c r="O46" s="192"/>
      <c r="P46" s="106"/>
      <c r="Q46" s="56">
        <f t="shared" si="1"/>
        <v>0</v>
      </c>
      <c r="R46" s="44" t="e">
        <f t="shared" si="2"/>
        <v>#NUM!</v>
      </c>
      <c r="Z46" s="2">
        <f t="shared" si="7"/>
        <v>22</v>
      </c>
      <c r="AA46" s="286">
        <f t="shared" si="8"/>
        <v>33.973039421828602</v>
      </c>
      <c r="AB46" s="36">
        <f>'T. Grandis'!C37*1000/$AA$16</f>
        <v>0.82907136100263013</v>
      </c>
      <c r="AC46" s="35">
        <f t="shared" si="4"/>
        <v>124.36070415039453</v>
      </c>
      <c r="AD46" s="35">
        <f t="shared" si="5"/>
        <v>276.08076321387585</v>
      </c>
      <c r="AE46" s="33"/>
      <c r="AF46" s="35">
        <f>AVERAGE(AC$24:AC46)</f>
        <v>49.125953798868878</v>
      </c>
      <c r="AG46" s="35">
        <f>AVERAGE(AD$24:AD46)</f>
        <v>109.0596174334889</v>
      </c>
      <c r="AH46" s="33"/>
      <c r="AI46" s="35">
        <f t="shared" si="6"/>
        <v>207.26784025065754</v>
      </c>
      <c r="AJ46" s="35">
        <f>AVERAGE(AI$24:AI46)</f>
        <v>81.876589664781463</v>
      </c>
    </row>
    <row r="47" spans="1:36">
      <c r="A47" s="240"/>
      <c r="F47" s="107">
        <v>0.25</v>
      </c>
      <c r="N47" s="240"/>
      <c r="Z47" s="2">
        <f t="shared" si="7"/>
        <v>23</v>
      </c>
      <c r="AA47" s="286">
        <f t="shared" si="8"/>
        <v>34.704310564469083</v>
      </c>
      <c r="AB47" s="36">
        <f>'T. Grandis'!C38*1000/$AA$16</f>
        <v>0.87370132803271572</v>
      </c>
      <c r="AC47" s="35">
        <f t="shared" si="4"/>
        <v>131.05519920490735</v>
      </c>
      <c r="AD47" s="35">
        <f t="shared" si="5"/>
        <v>290.94254223489435</v>
      </c>
      <c r="AE47" s="33"/>
      <c r="AF47" s="35">
        <f>AVERAGE(AC$24:AC47)</f>
        <v>52.53967235745381</v>
      </c>
      <c r="AG47" s="35">
        <f>AVERAGE(AD$24:AD47)</f>
        <v>116.63807263354745</v>
      </c>
      <c r="AH47" s="33"/>
      <c r="AI47" s="35">
        <f t="shared" si="6"/>
        <v>218.42533200817894</v>
      </c>
      <c r="AJ47" s="35">
        <f>AVERAGE(AI$24:AI47)</f>
        <v>87.566120595756374</v>
      </c>
    </row>
    <row r="48" spans="1:36" ht="15">
      <c r="A48" s="240"/>
      <c r="C48" s="33" t="s">
        <v>50</v>
      </c>
      <c r="D48" s="33" t="s">
        <v>76</v>
      </c>
      <c r="E48" s="33" t="s">
        <v>49</v>
      </c>
      <c r="F48" s="33" t="s">
        <v>51</v>
      </c>
      <c r="N48" s="240"/>
      <c r="Z48" s="2">
        <f t="shared" si="7"/>
        <v>24</v>
      </c>
      <c r="AA48" s="286">
        <f t="shared" si="8"/>
        <v>35.38811598651025</v>
      </c>
      <c r="AB48" s="36">
        <f>'T. Grandis'!C39*1000/$AA$16</f>
        <v>0.91669747536299306</v>
      </c>
      <c r="AC48" s="35">
        <f t="shared" si="4"/>
        <v>137.50462130444896</v>
      </c>
      <c r="AD48" s="35">
        <f t="shared" si="5"/>
        <v>305.26025929587666</v>
      </c>
      <c r="AE48" s="33"/>
      <c r="AF48" s="35">
        <f>AVERAGE(AC$24:AC48)</f>
        <v>55.938270315333611</v>
      </c>
      <c r="AG48" s="35">
        <f>AVERAGE(AD$24:AD48)</f>
        <v>124.18296010004062</v>
      </c>
      <c r="AH48" s="33"/>
      <c r="AI48" s="35">
        <f t="shared" si="6"/>
        <v>229.17436884074826</v>
      </c>
      <c r="AJ48" s="35">
        <f>AVERAGE(AI$24:AI48)</f>
        <v>93.230450525556037</v>
      </c>
    </row>
    <row r="49" spans="1:36">
      <c r="A49" s="240"/>
      <c r="B49" s="2" t="s">
        <v>279</v>
      </c>
      <c r="C49" s="2" t="s">
        <v>74</v>
      </c>
      <c r="D49" s="2" t="s">
        <v>74</v>
      </c>
      <c r="E49" s="2" t="s">
        <v>74</v>
      </c>
      <c r="F49" s="2" t="s">
        <v>74</v>
      </c>
      <c r="N49" s="240"/>
      <c r="Z49" s="2">
        <f t="shared" si="7"/>
        <v>25</v>
      </c>
      <c r="AA49" s="286">
        <f t="shared" si="8"/>
        <v>36.027383067244656</v>
      </c>
      <c r="AB49" s="36">
        <f>'T. Grandis'!C40*1000/$AA$16</f>
        <v>0.95800717766946752</v>
      </c>
      <c r="AC49" s="35">
        <f t="shared" si="4"/>
        <v>143.70107665042013</v>
      </c>
      <c r="AD49" s="35">
        <f t="shared" si="5"/>
        <v>319.01639016393267</v>
      </c>
      <c r="AE49" s="33"/>
      <c r="AF49" s="35">
        <f>AVERAGE(AC$24:AC49)</f>
        <v>59.313762866683092</v>
      </c>
      <c r="AG49" s="35">
        <f>AVERAGE(AD$24:AD49)</f>
        <v>131.67655356403645</v>
      </c>
      <c r="AH49" s="33"/>
      <c r="AI49" s="35">
        <f t="shared" si="6"/>
        <v>239.50179441736688</v>
      </c>
      <c r="AJ49" s="35">
        <f>AVERAGE(AI$24:AI49)</f>
        <v>98.856271444471844</v>
      </c>
    </row>
    <row r="50" spans="1:36">
      <c r="A50" s="240"/>
      <c r="B50" s="2" t="s">
        <v>487</v>
      </c>
      <c r="C50" s="2" t="s">
        <v>488</v>
      </c>
      <c r="D50" s="2" t="s">
        <v>488</v>
      </c>
      <c r="E50" s="2" t="s">
        <v>488</v>
      </c>
      <c r="F50" s="2" t="s">
        <v>488</v>
      </c>
      <c r="N50" s="240"/>
      <c r="Z50" s="2">
        <f t="shared" si="7"/>
        <v>26</v>
      </c>
      <c r="AA50" s="286">
        <f t="shared" si="8"/>
        <v>36.624883151828648</v>
      </c>
      <c r="AB50" s="36">
        <f>'T. Grandis'!C41*1000/$AA$16</f>
        <v>0.9975992984772144</v>
      </c>
      <c r="AC50" s="35">
        <f t="shared" si="4"/>
        <v>149.63989477158216</v>
      </c>
      <c r="AD50" s="35">
        <f t="shared" si="5"/>
        <v>332.20056639291238</v>
      </c>
      <c r="AE50" s="33"/>
      <c r="AF50" s="35">
        <f>AVERAGE(AD$24:AD50)</f>
        <v>139.10336885399482</v>
      </c>
      <c r="AG50" s="35" t="e">
        <f>AVERAGE(AE$24:AE50)</f>
        <v>#DIV/0!</v>
      </c>
      <c r="AH50" s="33"/>
      <c r="AI50" s="35">
        <f t="shared" si="6"/>
        <v>249.39982461930359</v>
      </c>
      <c r="AJ50" s="35">
        <f ca="1">AVERAGE(AJ$24:AJ50)</f>
        <v>85.52817011362275</v>
      </c>
    </row>
    <row r="51" spans="1:36">
      <c r="A51" s="240"/>
      <c r="B51" s="2">
        <v>1</v>
      </c>
      <c r="C51" s="2">
        <f>AVERAGE(4.8,5.5,6,6.5,7,7.7)</f>
        <v>6.25</v>
      </c>
      <c r="D51" s="90">
        <f>60*((1-EXP(-0.07*B51))^1.165)</f>
        <v>2.6006709349729902</v>
      </c>
      <c r="E51" s="2">
        <f>B51*2</f>
        <v>2</v>
      </c>
      <c r="F51">
        <f>D51*(1-$F$47)</f>
        <v>1.9505032012297425</v>
      </c>
      <c r="N51" s="240"/>
      <c r="Z51" s="2">
        <f t="shared" si="7"/>
        <v>27</v>
      </c>
      <c r="AA51" s="286">
        <f t="shared" si="8"/>
        <v>37.183235510050736</v>
      </c>
      <c r="AB51" s="36">
        <f>'T. Grandis'!C42*1000/$AA$16</f>
        <v>1.0354610417751222</v>
      </c>
      <c r="AC51" s="35">
        <f t="shared" si="4"/>
        <v>155.31915626626832</v>
      </c>
      <c r="AD51" s="35">
        <f t="shared" si="5"/>
        <v>344.80852691111568</v>
      </c>
      <c r="AE51" s="33"/>
      <c r="AF51" s="35">
        <f>AVERAGE(AD$24:AD51)</f>
        <v>146.44998164174916</v>
      </c>
      <c r="AG51" s="35" t="e">
        <f>AVERAGE(AE$24:AE51)</f>
        <v>#DIV/0!</v>
      </c>
      <c r="AH51" s="33"/>
      <c r="AI51" s="35">
        <f t="shared" si="6"/>
        <v>258.86526044378053</v>
      </c>
      <c r="AJ51" s="35">
        <f ca="1">AVERAGE(AJ$24:AJ51)</f>
        <v>98.861792446711803</v>
      </c>
    </row>
    <row r="52" spans="1:36">
      <c r="A52" s="240"/>
      <c r="B52" s="2">
        <f>B51+1</f>
        <v>2</v>
      </c>
      <c r="C52" s="2">
        <f>AVERAGE(5,6,7.6,9,10.5,13)</f>
        <v>8.5166666666666675</v>
      </c>
      <c r="D52" s="90">
        <f t="shared" ref="D52:D74" si="9">60*((1-EXP(-0.07*B52))^1.165)</f>
        <v>5.6025639762749773</v>
      </c>
      <c r="E52" s="2">
        <f t="shared" ref="E52:E57" si="10">B52*2</f>
        <v>4</v>
      </c>
      <c r="F52" s="33">
        <f t="shared" ref="F52:F74" si="11">D52*(1-$F$47)</f>
        <v>4.2019229822062325</v>
      </c>
      <c r="N52" s="240"/>
      <c r="Z52" s="2">
        <f t="shared" si="7"/>
        <v>28</v>
      </c>
      <c r="AA52" s="286">
        <f t="shared" si="8"/>
        <v>37.704912144689018</v>
      </c>
      <c r="AB52" s="36">
        <f>'T. Grandis'!C43*1000/$AA$16</f>
        <v>1.071595113424642</v>
      </c>
      <c r="AC52" s="35">
        <f t="shared" si="4"/>
        <v>160.73926701369629</v>
      </c>
      <c r="AD52" s="35">
        <f t="shared" si="5"/>
        <v>356.84117277040576</v>
      </c>
      <c r="AE52" s="33"/>
      <c r="AF52" s="35">
        <f>AVERAGE(AD$24:AD52)</f>
        <v>153.70485030135802</v>
      </c>
      <c r="AG52" s="35" t="e">
        <f>AVERAGE(AE$24:AE52)</f>
        <v>#DIV/0!</v>
      </c>
      <c r="AH52" s="33"/>
      <c r="AI52" s="35">
        <f t="shared" si="6"/>
        <v>267.89877835616051</v>
      </c>
      <c r="AJ52" s="35">
        <f ca="1">AVERAGE(AJ$24:AJ52)</f>
        <v>110.93586286881529</v>
      </c>
    </row>
    <row r="53" spans="1:36">
      <c r="A53" s="240"/>
      <c r="B53" s="2">
        <f>B52+1</f>
        <v>3</v>
      </c>
      <c r="C53" s="2">
        <f>AVERAGE(11.2,11.9,9,7.4,14.5,8)</f>
        <v>10.333333333333334</v>
      </c>
      <c r="D53" s="90">
        <f t="shared" si="9"/>
        <v>8.636564158120704</v>
      </c>
      <c r="E53" s="2">
        <f t="shared" si="10"/>
        <v>6</v>
      </c>
      <c r="F53" s="33">
        <f t="shared" si="11"/>
        <v>6.4774231185905276</v>
      </c>
      <c r="N53" s="240"/>
      <c r="Z53" s="2">
        <f t="shared" si="7"/>
        <v>29</v>
      </c>
      <c r="AA53" s="286">
        <f t="shared" si="8"/>
        <v>38.192243184632318</v>
      </c>
      <c r="AB53" s="36">
        <f>'T. Grandis'!C44*1000/$AA$16</f>
        <v>1.1060171828868615</v>
      </c>
      <c r="AC53" s="35">
        <f t="shared" si="4"/>
        <v>165.90257743302922</v>
      </c>
      <c r="AD53" s="35">
        <f t="shared" si="5"/>
        <v>368.30372190132488</v>
      </c>
      <c r="AE53" s="33"/>
      <c r="AF53" s="35">
        <f>AVERAGE(AD$24:AD53)</f>
        <v>160.8581460213569</v>
      </c>
      <c r="AG53" s="35" t="e">
        <f>AVERAGE(AE$24:AE53)</f>
        <v>#DIV/0!</v>
      </c>
      <c r="AH53" s="33"/>
      <c r="AI53" s="35">
        <f t="shared" si="6"/>
        <v>276.50429572171538</v>
      </c>
      <c r="AJ53" s="35">
        <f ca="1">AVERAGE(AJ$24:AJ53)</f>
        <v>121.97375839234196</v>
      </c>
    </row>
    <row r="54" spans="1:36">
      <c r="A54" s="240"/>
      <c r="B54" s="2">
        <f>B53+1</f>
        <v>4</v>
      </c>
      <c r="C54" s="2">
        <f>AVERAGE(10,12.2,13,14,16.2,19)</f>
        <v>14.066666666666668</v>
      </c>
      <c r="D54" s="90">
        <f t="shared" si="9"/>
        <v>11.612042814975451</v>
      </c>
      <c r="E54" s="2">
        <f t="shared" si="10"/>
        <v>8</v>
      </c>
      <c r="F54" s="33">
        <f t="shared" si="11"/>
        <v>8.709032111231588</v>
      </c>
      <c r="N54" s="240"/>
      <c r="Z54" s="2">
        <f t="shared" si="7"/>
        <v>30</v>
      </c>
      <c r="AA54" s="286">
        <f t="shared" si="8"/>
        <v>38.647422658444889</v>
      </c>
      <c r="AB54" s="36">
        <f>'T. Grandis'!C45*1000/$AA$16</f>
        <v>1.1387536302190124</v>
      </c>
      <c r="AC54" s="35">
        <f t="shared" si="4"/>
        <v>170.81304453285188</v>
      </c>
      <c r="AD54" s="35">
        <f t="shared" si="5"/>
        <v>379.20495886293116</v>
      </c>
      <c r="AE54" s="33"/>
      <c r="AF54" s="37">
        <f>AVERAGE(AD$24:AD54)</f>
        <v>167.90159159689156</v>
      </c>
      <c r="AG54" s="37" t="e">
        <f>AVERAGE(AE$24:AE54)</f>
        <v>#DIV/0!</v>
      </c>
      <c r="AH54" s="33"/>
      <c r="AI54" s="35">
        <f t="shared" si="6"/>
        <v>284.6884075547531</v>
      </c>
      <c r="AJ54" s="35">
        <f ca="1">AVERAGE(AJ$24:AJ54)</f>
        <v>132.14342396499265</v>
      </c>
    </row>
    <row r="55" spans="1:36">
      <c r="A55" s="240"/>
      <c r="B55" s="2">
        <v>6</v>
      </c>
      <c r="C55" s="2">
        <f>AVERAGE(15,17.8)</f>
        <v>16.399999999999999</v>
      </c>
      <c r="D55" s="90">
        <f t="shared" si="9"/>
        <v>17.246454717507152</v>
      </c>
      <c r="E55" s="2">
        <f t="shared" si="10"/>
        <v>12</v>
      </c>
      <c r="F55" s="33">
        <f t="shared" si="11"/>
        <v>12.934841038130365</v>
      </c>
      <c r="N55" s="240"/>
    </row>
    <row r="56" spans="1:36">
      <c r="A56" s="240"/>
      <c r="B56" s="2">
        <v>7</v>
      </c>
      <c r="C56" s="2">
        <f>AVERAGE(20.2,15.5)</f>
        <v>17.850000000000001</v>
      </c>
      <c r="D56" s="90">
        <f t="shared" si="9"/>
        <v>19.875713635124068</v>
      </c>
      <c r="E56" s="2">
        <f t="shared" si="10"/>
        <v>14</v>
      </c>
      <c r="F56" s="33">
        <f t="shared" si="11"/>
        <v>14.90678522634305</v>
      </c>
      <c r="N56" s="240"/>
    </row>
    <row r="57" spans="1:36">
      <c r="A57" s="240"/>
      <c r="B57" s="2">
        <v>9</v>
      </c>
      <c r="C57" s="2">
        <v>17</v>
      </c>
      <c r="D57" s="90">
        <f t="shared" si="9"/>
        <v>24.737025141994224</v>
      </c>
      <c r="E57" s="2">
        <f t="shared" si="10"/>
        <v>18</v>
      </c>
      <c r="F57" s="33">
        <f t="shared" si="11"/>
        <v>18.552768856495668</v>
      </c>
      <c r="N57" s="240"/>
    </row>
    <row r="58" spans="1:36">
      <c r="A58" s="240"/>
      <c r="B58" s="2">
        <v>12</v>
      </c>
      <c r="C58" s="2">
        <f>AVERAGE(22.5,25)</f>
        <v>23.75</v>
      </c>
      <c r="D58" s="90">
        <f t="shared" si="9"/>
        <v>31.061673520886533</v>
      </c>
      <c r="E58" s="2">
        <f>E57+0.9*(B58-B57)</f>
        <v>20.7</v>
      </c>
      <c r="F58" s="33">
        <f t="shared" si="11"/>
        <v>23.296255140664901</v>
      </c>
      <c r="N58" s="240"/>
    </row>
    <row r="59" spans="1:36">
      <c r="A59" s="240"/>
      <c r="B59" s="2">
        <v>15</v>
      </c>
      <c r="C59" s="2">
        <v>26.2</v>
      </c>
      <c r="D59" s="90">
        <f t="shared" si="9"/>
        <v>36.328190307753232</v>
      </c>
      <c r="E59" s="2">
        <f>E58+0.9*(B59-B58)</f>
        <v>23.4</v>
      </c>
      <c r="F59" s="33">
        <f t="shared" si="11"/>
        <v>27.246142730814924</v>
      </c>
      <c r="N59" s="240"/>
    </row>
    <row r="60" spans="1:36">
      <c r="A60" s="240"/>
      <c r="B60" s="2">
        <f>B59+1</f>
        <v>16</v>
      </c>
      <c r="D60" s="90">
        <f t="shared" si="9"/>
        <v>37.873021306849608</v>
      </c>
      <c r="E60" s="2">
        <f>E59+0.9</f>
        <v>24.299999999999997</v>
      </c>
      <c r="F60" s="33">
        <f t="shared" si="11"/>
        <v>28.404765980137206</v>
      </c>
      <c r="N60" s="240"/>
    </row>
    <row r="61" spans="1:36">
      <c r="A61" s="240"/>
      <c r="B61" s="2">
        <f t="shared" ref="B61:B74" si="12">B60+1</f>
        <v>17</v>
      </c>
      <c r="D61" s="90">
        <f t="shared" si="9"/>
        <v>39.321505959286114</v>
      </c>
      <c r="E61" s="2">
        <f t="shared" ref="E61:E74" si="13">E60+0.9</f>
        <v>25.199999999999996</v>
      </c>
      <c r="F61" s="33">
        <f t="shared" si="11"/>
        <v>29.491129469464585</v>
      </c>
      <c r="N61" s="240"/>
    </row>
    <row r="62" spans="1:36">
      <c r="A62" s="240"/>
      <c r="B62" s="2">
        <f t="shared" si="12"/>
        <v>18</v>
      </c>
      <c r="D62" s="90">
        <f t="shared" si="9"/>
        <v>40.678913098535745</v>
      </c>
      <c r="E62" s="2">
        <f t="shared" si="13"/>
        <v>26.099999999999994</v>
      </c>
      <c r="F62" s="33">
        <f t="shared" si="11"/>
        <v>30.509184823901808</v>
      </c>
      <c r="N62" s="240"/>
    </row>
    <row r="63" spans="1:36">
      <c r="A63" s="240"/>
      <c r="B63" s="2">
        <f t="shared" si="12"/>
        <v>19</v>
      </c>
      <c r="D63" s="90">
        <f t="shared" si="9"/>
        <v>41.95036182022902</v>
      </c>
      <c r="E63" s="2">
        <f t="shared" si="13"/>
        <v>26.999999999999993</v>
      </c>
      <c r="F63" s="33">
        <f t="shared" si="11"/>
        <v>31.462771365171765</v>
      </c>
      <c r="N63" s="240"/>
    </row>
    <row r="64" spans="1:36">
      <c r="A64" s="240"/>
      <c r="B64" s="2">
        <f t="shared" si="12"/>
        <v>20</v>
      </c>
      <c r="D64" s="90">
        <f t="shared" si="9"/>
        <v>43.140793780752304</v>
      </c>
      <c r="E64" s="2">
        <f t="shared" si="13"/>
        <v>27.899999999999991</v>
      </c>
      <c r="F64" s="33">
        <f t="shared" si="11"/>
        <v>32.355595335564232</v>
      </c>
      <c r="N64" s="240"/>
    </row>
    <row r="65" spans="1:14">
      <c r="A65" s="240"/>
      <c r="B65" s="2">
        <f t="shared" si="12"/>
        <v>21</v>
      </c>
      <c r="D65" s="90">
        <f t="shared" si="9"/>
        <v>44.254955173014757</v>
      </c>
      <c r="E65" s="2">
        <f t="shared" si="13"/>
        <v>28.79999999999999</v>
      </c>
      <c r="F65" s="33">
        <f t="shared" si="11"/>
        <v>33.191216379761066</v>
      </c>
      <c r="N65" s="240"/>
    </row>
    <row r="66" spans="1:14">
      <c r="A66" s="240"/>
      <c r="B66" s="2">
        <f t="shared" si="12"/>
        <v>22</v>
      </c>
      <c r="D66" s="90">
        <f t="shared" si="9"/>
        <v>45.29738589577147</v>
      </c>
      <c r="E66" s="2">
        <f t="shared" si="13"/>
        <v>29.699999999999989</v>
      </c>
      <c r="F66" s="33">
        <f t="shared" si="11"/>
        <v>33.973039421828602</v>
      </c>
      <c r="N66" s="240"/>
    </row>
    <row r="67" spans="1:14">
      <c r="A67" s="240"/>
      <c r="B67" s="2">
        <f t="shared" si="12"/>
        <v>23</v>
      </c>
      <c r="D67" s="90">
        <f t="shared" si="9"/>
        <v>46.272414085958772</v>
      </c>
      <c r="E67" s="2">
        <f t="shared" si="13"/>
        <v>30.599999999999987</v>
      </c>
      <c r="F67" s="33">
        <f t="shared" si="11"/>
        <v>34.704310564469083</v>
      </c>
      <c r="N67" s="240"/>
    </row>
    <row r="68" spans="1:14">
      <c r="A68" s="240"/>
      <c r="B68" s="2">
        <f>B67+1</f>
        <v>24</v>
      </c>
      <c r="D68" s="90">
        <f t="shared" si="9"/>
        <v>47.184154648680334</v>
      </c>
      <c r="E68" s="2">
        <f t="shared" si="13"/>
        <v>31.499999999999986</v>
      </c>
      <c r="F68" s="33">
        <f t="shared" si="11"/>
        <v>35.38811598651025</v>
      </c>
      <c r="N68" s="240"/>
    </row>
    <row r="69" spans="1:14">
      <c r="A69" s="240"/>
      <c r="B69" s="2">
        <f t="shared" si="12"/>
        <v>25</v>
      </c>
      <c r="D69" s="90">
        <f t="shared" si="9"/>
        <v>48.036510756326209</v>
      </c>
      <c r="E69" s="2">
        <f t="shared" si="13"/>
        <v>32.399999999999984</v>
      </c>
      <c r="F69" s="33">
        <f t="shared" si="11"/>
        <v>36.027383067244656</v>
      </c>
      <c r="N69" s="240"/>
    </row>
    <row r="70" spans="1:14">
      <c r="A70" s="240"/>
      <c r="B70" s="2">
        <f t="shared" si="12"/>
        <v>26</v>
      </c>
      <c r="D70" s="90">
        <f t="shared" si="9"/>
        <v>48.833177535771533</v>
      </c>
      <c r="E70" s="2">
        <f t="shared" si="13"/>
        <v>33.299999999999983</v>
      </c>
      <c r="F70" s="33">
        <f t="shared" si="11"/>
        <v>36.624883151828648</v>
      </c>
      <c r="N70" s="240"/>
    </row>
    <row r="71" spans="1:14">
      <c r="A71" s="240"/>
      <c r="B71" s="2">
        <f t="shared" si="12"/>
        <v>27</v>
      </c>
      <c r="D71" s="90">
        <f t="shared" si="9"/>
        <v>49.577647346734317</v>
      </c>
      <c r="E71" s="2">
        <f t="shared" si="13"/>
        <v>34.199999999999982</v>
      </c>
      <c r="F71" s="33">
        <f t="shared" si="11"/>
        <v>37.183235510050736</v>
      </c>
      <c r="N71" s="240"/>
    </row>
    <row r="72" spans="1:14">
      <c r="A72" s="240"/>
      <c r="B72" s="2">
        <f t="shared" si="12"/>
        <v>28</v>
      </c>
      <c r="D72" s="90">
        <f t="shared" si="9"/>
        <v>50.273216192918696</v>
      </c>
      <c r="E72" s="2">
        <f t="shared" si="13"/>
        <v>35.09999999999998</v>
      </c>
      <c r="F72" s="33">
        <f t="shared" si="11"/>
        <v>37.704912144689018</v>
      </c>
      <c r="N72" s="240"/>
    </row>
    <row r="73" spans="1:14">
      <c r="A73" s="240"/>
      <c r="B73" s="2">
        <f t="shared" si="12"/>
        <v>29</v>
      </c>
      <c r="D73" s="90">
        <f t="shared" si="9"/>
        <v>50.92299091284309</v>
      </c>
      <c r="E73" s="2">
        <f t="shared" si="13"/>
        <v>35.999999999999979</v>
      </c>
      <c r="F73" s="33">
        <f t="shared" si="11"/>
        <v>38.192243184632318</v>
      </c>
      <c r="N73" s="240"/>
    </row>
    <row r="74" spans="1:14">
      <c r="A74" s="240"/>
      <c r="B74" s="2">
        <f t="shared" si="12"/>
        <v>30</v>
      </c>
      <c r="D74" s="90">
        <f t="shared" si="9"/>
        <v>51.529896877926518</v>
      </c>
      <c r="E74" s="2">
        <f t="shared" si="13"/>
        <v>36.899999999999977</v>
      </c>
      <c r="F74" s="33">
        <f t="shared" si="11"/>
        <v>38.647422658444889</v>
      </c>
      <c r="N74" s="240"/>
    </row>
    <row r="75" spans="1:14">
      <c r="A75" s="240"/>
      <c r="N75" s="240"/>
    </row>
    <row r="76" spans="1:14">
      <c r="A76" s="240"/>
      <c r="B76" s="229"/>
      <c r="C76" s="229"/>
      <c r="D76" s="229"/>
      <c r="E76" s="229"/>
      <c r="F76" s="229"/>
      <c r="G76" s="229"/>
      <c r="H76" s="229"/>
      <c r="I76" s="229"/>
      <c r="J76" s="229"/>
      <c r="K76" s="229"/>
      <c r="L76" s="229"/>
      <c r="N76" s="240"/>
    </row>
    <row r="77" spans="1:14">
      <c r="A77" s="240"/>
      <c r="B77" s="229"/>
      <c r="C77" s="229"/>
      <c r="D77" s="229"/>
      <c r="E77" s="229"/>
      <c r="F77" s="229"/>
      <c r="G77" s="229"/>
      <c r="H77" s="229"/>
      <c r="I77" s="229"/>
      <c r="J77" s="229"/>
      <c r="K77" s="229"/>
      <c r="L77" s="229"/>
      <c r="N77" s="240"/>
    </row>
    <row r="78" spans="1:14">
      <c r="A78" s="240"/>
      <c r="B78" s="229"/>
      <c r="C78" s="229"/>
      <c r="D78" s="229"/>
      <c r="E78" s="229"/>
      <c r="F78" s="229"/>
      <c r="G78" s="229"/>
      <c r="H78" s="229"/>
      <c r="I78" s="229"/>
      <c r="J78" s="229"/>
      <c r="K78" s="229"/>
      <c r="L78" s="229"/>
      <c r="N78" s="240"/>
    </row>
    <row r="79" spans="1:14">
      <c r="A79" s="240"/>
      <c r="B79" s="229"/>
      <c r="C79" s="229"/>
      <c r="D79" s="229"/>
      <c r="E79" s="229"/>
      <c r="F79" s="229"/>
      <c r="G79" s="229"/>
      <c r="H79" s="229"/>
      <c r="I79" s="229"/>
      <c r="J79" s="229"/>
      <c r="K79" s="229"/>
      <c r="L79" s="229"/>
      <c r="N79" s="240"/>
    </row>
    <row r="80" spans="1:14">
      <c r="A80" s="240"/>
      <c r="B80" s="229"/>
      <c r="C80" s="229"/>
      <c r="D80" s="229"/>
      <c r="E80" s="229"/>
      <c r="F80" s="229"/>
      <c r="G80" s="229"/>
      <c r="H80" s="229"/>
      <c r="I80" s="229"/>
      <c r="J80" s="229"/>
      <c r="K80" s="229"/>
      <c r="L80" s="229"/>
      <c r="N80" s="240"/>
    </row>
    <row r="81" spans="1:14">
      <c r="A81" s="240"/>
      <c r="B81" s="229"/>
      <c r="C81" s="229"/>
      <c r="D81" s="229"/>
      <c r="E81" s="229"/>
      <c r="F81" s="229"/>
      <c r="G81" s="229"/>
      <c r="H81" s="229"/>
      <c r="I81" s="229"/>
      <c r="J81" s="229"/>
      <c r="K81" s="229"/>
      <c r="L81" s="229"/>
      <c r="N81" s="240"/>
    </row>
    <row r="82" spans="1:14">
      <c r="A82" s="240"/>
      <c r="B82" s="229"/>
      <c r="C82" s="229"/>
      <c r="D82" s="229"/>
      <c r="E82" s="229"/>
      <c r="F82" s="229"/>
      <c r="G82" s="229"/>
      <c r="H82" s="229"/>
      <c r="I82" s="229"/>
      <c r="J82" s="229"/>
      <c r="K82" s="229"/>
      <c r="L82" s="229"/>
      <c r="N82" s="240"/>
    </row>
    <row r="83" spans="1:14">
      <c r="A83" s="240"/>
      <c r="B83" s="229"/>
      <c r="C83" s="229"/>
      <c r="D83" s="229"/>
      <c r="E83" s="229"/>
      <c r="F83" s="229"/>
      <c r="G83" s="229"/>
      <c r="H83" s="229"/>
      <c r="I83" s="229"/>
      <c r="J83" s="229"/>
      <c r="K83" s="229"/>
      <c r="L83" s="229"/>
      <c r="N83" s="240"/>
    </row>
    <row r="84" spans="1:14">
      <c r="A84" s="240"/>
      <c r="B84" s="229"/>
      <c r="C84" s="229"/>
      <c r="D84" s="229"/>
      <c r="E84" s="229"/>
      <c r="F84" s="229"/>
      <c r="G84" s="229"/>
      <c r="H84" s="229"/>
      <c r="I84" s="229"/>
      <c r="J84" s="229"/>
      <c r="K84" s="229"/>
      <c r="L84" s="229"/>
      <c r="N84" s="240"/>
    </row>
    <row r="85" spans="1:14">
      <c r="A85" s="240"/>
      <c r="B85" s="229"/>
      <c r="C85" s="229"/>
      <c r="D85" s="229"/>
      <c r="E85" s="229"/>
      <c r="F85" s="229"/>
      <c r="G85" s="229"/>
      <c r="H85" s="229"/>
      <c r="I85" s="229"/>
      <c r="J85" s="229"/>
      <c r="K85" s="229"/>
      <c r="L85" s="229"/>
      <c r="N85" s="240"/>
    </row>
    <row r="86" spans="1:14">
      <c r="A86" s="240"/>
      <c r="B86" s="229"/>
      <c r="C86" s="229"/>
      <c r="D86" s="229"/>
      <c r="E86" s="229"/>
      <c r="F86" s="229"/>
      <c r="G86" s="229"/>
      <c r="H86" s="229"/>
      <c r="I86" s="229"/>
      <c r="J86" s="229"/>
      <c r="K86" s="229"/>
      <c r="L86" s="229"/>
      <c r="N86" s="240"/>
    </row>
    <row r="87" spans="1:14">
      <c r="A87" s="240"/>
      <c r="B87" s="229"/>
      <c r="C87" s="229"/>
      <c r="D87" s="229"/>
      <c r="E87" s="229"/>
      <c r="F87" s="229"/>
      <c r="G87" s="229"/>
      <c r="H87" s="229"/>
      <c r="I87" s="229"/>
      <c r="J87" s="229"/>
      <c r="K87" s="229"/>
      <c r="L87" s="229"/>
      <c r="N87" s="240"/>
    </row>
    <row r="88" spans="1:14">
      <c r="A88" s="240"/>
      <c r="B88" s="229"/>
      <c r="C88" s="229"/>
      <c r="D88" s="229"/>
      <c r="E88" s="229"/>
      <c r="F88" s="229"/>
      <c r="G88" s="229"/>
      <c r="H88" s="229"/>
      <c r="I88" s="229"/>
      <c r="J88" s="229"/>
      <c r="K88" s="229"/>
      <c r="L88" s="229"/>
      <c r="N88" s="240"/>
    </row>
    <row r="89" spans="1:14">
      <c r="A89" s="240"/>
      <c r="B89" s="229"/>
      <c r="C89" s="229"/>
      <c r="D89" s="229"/>
      <c r="E89" s="229"/>
      <c r="F89" s="229"/>
      <c r="G89" s="229"/>
      <c r="H89" s="229"/>
      <c r="I89" s="229"/>
      <c r="J89" s="229"/>
      <c r="K89" s="229"/>
      <c r="L89" s="229"/>
      <c r="N89" s="240"/>
    </row>
    <row r="90" spans="1:14">
      <c r="A90" s="240"/>
      <c r="B90" s="229"/>
      <c r="C90" s="229"/>
      <c r="D90" s="229"/>
      <c r="E90" s="229"/>
      <c r="F90" s="229"/>
      <c r="G90" s="229"/>
      <c r="H90" s="229"/>
      <c r="I90" s="229"/>
      <c r="J90" s="229"/>
      <c r="K90" s="229"/>
      <c r="L90" s="229"/>
      <c r="N90" s="240"/>
    </row>
    <row r="91" spans="1:14">
      <c r="A91" s="240"/>
      <c r="B91" s="229"/>
      <c r="C91" s="229"/>
      <c r="D91" s="229"/>
      <c r="E91" s="229"/>
      <c r="F91" s="229"/>
      <c r="G91" s="229"/>
      <c r="H91" s="229"/>
      <c r="I91" s="229"/>
      <c r="J91" s="229"/>
      <c r="K91" s="229"/>
      <c r="L91" s="229"/>
      <c r="N91" s="240"/>
    </row>
    <row r="92" spans="1:14">
      <c r="A92" s="240"/>
      <c r="B92" s="229"/>
      <c r="C92" s="229"/>
      <c r="D92" s="229"/>
      <c r="E92" s="229"/>
      <c r="F92" s="229"/>
      <c r="G92" s="229"/>
      <c r="H92" s="229"/>
      <c r="I92" s="229"/>
      <c r="J92" s="229"/>
      <c r="K92" s="229"/>
      <c r="L92" s="229"/>
      <c r="N92" s="240"/>
    </row>
    <row r="93" spans="1:14">
      <c r="A93" s="240"/>
      <c r="B93" s="229"/>
      <c r="C93" s="229"/>
      <c r="D93" s="229"/>
      <c r="E93" s="229"/>
      <c r="F93" s="229"/>
      <c r="G93" s="229"/>
      <c r="H93" s="229"/>
      <c r="I93" s="229"/>
      <c r="J93" s="229"/>
      <c r="K93" s="229"/>
      <c r="L93" s="229"/>
      <c r="N93" s="240"/>
    </row>
    <row r="94" spans="1:14">
      <c r="B94" s="229"/>
      <c r="C94" s="229"/>
      <c r="D94" s="229"/>
      <c r="E94" s="229"/>
      <c r="F94" s="229"/>
      <c r="G94" s="229"/>
      <c r="H94" s="229"/>
      <c r="I94" s="229"/>
      <c r="J94" s="229"/>
      <c r="K94" s="229"/>
      <c r="L94" s="229"/>
      <c r="N94" s="240"/>
    </row>
    <row r="95" spans="1:14">
      <c r="B95" s="229"/>
      <c r="C95" s="229"/>
      <c r="D95" s="229"/>
      <c r="E95" s="229"/>
      <c r="F95" s="229"/>
      <c r="G95" s="229"/>
      <c r="H95" s="229"/>
      <c r="I95" s="229"/>
      <c r="J95" s="229"/>
      <c r="K95" s="229"/>
      <c r="L95" s="229"/>
      <c r="N95" s="240"/>
    </row>
    <row r="96" spans="1:14">
      <c r="B96" s="229"/>
      <c r="C96" s="229"/>
      <c r="D96" s="229"/>
      <c r="E96" s="229"/>
      <c r="F96" s="229"/>
      <c r="G96" s="229"/>
      <c r="H96" s="229"/>
      <c r="I96" s="229"/>
      <c r="J96" s="229"/>
      <c r="K96" s="229"/>
      <c r="L96" s="229"/>
      <c r="N96" s="240"/>
    </row>
    <row r="97" spans="2:14">
      <c r="B97" s="229"/>
      <c r="C97" s="229"/>
      <c r="D97" s="229"/>
      <c r="E97" s="229"/>
      <c r="F97" s="229"/>
      <c r="G97" s="229"/>
      <c r="H97" s="229"/>
      <c r="I97" s="229"/>
      <c r="J97" s="229"/>
      <c r="K97" s="229"/>
      <c r="L97" s="229"/>
      <c r="N97" s="240"/>
    </row>
    <row r="98" spans="2:14">
      <c r="B98" s="229"/>
      <c r="C98" s="229"/>
      <c r="D98" s="229"/>
      <c r="E98" s="229"/>
      <c r="F98" s="229"/>
      <c r="G98" s="229"/>
      <c r="H98" s="229"/>
      <c r="I98" s="229"/>
      <c r="J98" s="229"/>
      <c r="K98" s="229"/>
      <c r="L98" s="229"/>
      <c r="N98" s="240"/>
    </row>
    <row r="99" spans="2:14">
      <c r="B99" s="229"/>
      <c r="C99" s="229"/>
      <c r="D99" s="229"/>
      <c r="E99" s="229"/>
      <c r="F99" s="229"/>
      <c r="G99" s="229"/>
      <c r="H99" s="229"/>
      <c r="I99" s="229"/>
      <c r="J99" s="229"/>
      <c r="K99" s="229"/>
      <c r="L99" s="229"/>
      <c r="N99" s="240"/>
    </row>
    <row r="100" spans="2:14">
      <c r="B100" s="229"/>
      <c r="C100" s="229"/>
      <c r="D100" s="229"/>
      <c r="E100" s="229"/>
      <c r="F100" s="229"/>
      <c r="G100" s="229"/>
      <c r="H100" s="229"/>
      <c r="I100" s="229"/>
      <c r="J100" s="229"/>
      <c r="K100" s="229"/>
      <c r="L100" s="229"/>
      <c r="N100" s="240"/>
    </row>
    <row r="101" spans="2:14">
      <c r="B101" s="229"/>
      <c r="C101" s="229"/>
      <c r="D101" s="229"/>
      <c r="E101" s="229"/>
      <c r="F101" s="229"/>
      <c r="G101" s="229"/>
      <c r="H101" s="229"/>
      <c r="I101" s="229"/>
      <c r="J101" s="229"/>
      <c r="K101" s="229"/>
      <c r="L101" s="229"/>
      <c r="N101" s="240"/>
    </row>
    <row r="102" spans="2:14">
      <c r="B102" s="58" t="s">
        <v>602</v>
      </c>
      <c r="N102" s="240"/>
    </row>
    <row r="103" spans="2:14">
      <c r="B103" s="33" t="s">
        <v>119</v>
      </c>
      <c r="G103" s="33" t="s">
        <v>145</v>
      </c>
      <c r="H103">
        <v>0.61270000000000002</v>
      </c>
      <c r="I103" s="33" t="s">
        <v>146</v>
      </c>
      <c r="N103" s="240"/>
    </row>
    <row r="104" spans="2:14">
      <c r="B104" s="33" t="s">
        <v>177</v>
      </c>
      <c r="C104" s="33" t="s">
        <v>178</v>
      </c>
      <c r="D104" s="33" t="s">
        <v>179</v>
      </c>
      <c r="E104" s="33" t="s">
        <v>180</v>
      </c>
      <c r="F104" s="33" t="s">
        <v>181</v>
      </c>
      <c r="G104" s="33" t="s">
        <v>182</v>
      </c>
      <c r="H104" s="33" t="s">
        <v>183</v>
      </c>
      <c r="I104" s="33"/>
      <c r="N104" s="240"/>
    </row>
    <row r="105" spans="2:14">
      <c r="B105" s="33">
        <v>0.61</v>
      </c>
      <c r="C105" s="33">
        <v>0.7</v>
      </c>
      <c r="D105" s="33">
        <v>0.69</v>
      </c>
      <c r="E105" s="33">
        <v>0.7</v>
      </c>
      <c r="F105" s="33">
        <v>12</v>
      </c>
      <c r="G105" s="33" t="s">
        <v>187</v>
      </c>
      <c r="H105" s="33" t="s">
        <v>152</v>
      </c>
      <c r="I105" s="33"/>
      <c r="N105" s="240"/>
    </row>
    <row r="106" spans="2:14">
      <c r="B106" s="33">
        <v>0.59</v>
      </c>
      <c r="C106" s="33">
        <v>0.7</v>
      </c>
      <c r="D106" s="33">
        <v>0.82</v>
      </c>
      <c r="E106" s="33">
        <v>0.7</v>
      </c>
      <c r="F106" s="33">
        <v>15</v>
      </c>
      <c r="G106" s="33" t="s">
        <v>136</v>
      </c>
      <c r="H106" s="33"/>
      <c r="I106" s="33"/>
    </row>
    <row r="107" spans="2:14">
      <c r="B107" s="33">
        <v>0.62</v>
      </c>
      <c r="C107" s="33">
        <v>0.67</v>
      </c>
      <c r="D107" s="33">
        <v>0.75</v>
      </c>
      <c r="E107" s="33">
        <v>0.67</v>
      </c>
      <c r="F107" s="33">
        <v>15</v>
      </c>
      <c r="G107" s="33" t="s">
        <v>185</v>
      </c>
      <c r="H107" s="33"/>
      <c r="I107" s="33"/>
    </row>
    <row r="108" spans="2:14">
      <c r="B108" s="33">
        <v>0.48</v>
      </c>
      <c r="C108" s="33"/>
      <c r="D108" s="33">
        <v>0.85</v>
      </c>
      <c r="E108" s="33">
        <v>0.66500000000000004</v>
      </c>
      <c r="F108" s="33">
        <v>12</v>
      </c>
      <c r="G108" s="33" t="s">
        <v>184</v>
      </c>
      <c r="H108" s="33"/>
      <c r="I108" s="33"/>
    </row>
    <row r="109" spans="2:14">
      <c r="B109" s="33">
        <v>0.64</v>
      </c>
      <c r="C109" s="33"/>
      <c r="D109" s="33">
        <v>0.69</v>
      </c>
      <c r="E109" s="33">
        <v>0.66500000000000004</v>
      </c>
      <c r="F109" s="33">
        <v>9.5</v>
      </c>
      <c r="G109" s="33" t="s">
        <v>187</v>
      </c>
      <c r="H109" s="33"/>
      <c r="I109" s="33"/>
    </row>
    <row r="110" spans="2:14">
      <c r="B110" s="33">
        <v>0.61</v>
      </c>
      <c r="C110" s="33"/>
      <c r="D110" s="33">
        <v>0.75</v>
      </c>
      <c r="E110" s="33">
        <v>0.67999999999999905</v>
      </c>
      <c r="F110" s="33">
        <v>12</v>
      </c>
      <c r="G110" s="33" t="s">
        <v>184</v>
      </c>
      <c r="H110" s="33"/>
      <c r="I110" s="33"/>
    </row>
    <row r="111" spans="2:14">
      <c r="B111" s="33"/>
      <c r="C111" s="33">
        <v>0.72</v>
      </c>
      <c r="D111" s="33"/>
      <c r="E111" s="33">
        <v>0.72</v>
      </c>
      <c r="F111" s="33"/>
      <c r="G111" s="33" t="s">
        <v>153</v>
      </c>
      <c r="H111" s="33" t="s">
        <v>154</v>
      </c>
      <c r="I111" s="33"/>
    </row>
    <row r="112" spans="2:14">
      <c r="B112" s="33"/>
      <c r="C112" s="33">
        <v>0.59399999999999997</v>
      </c>
      <c r="D112" s="33"/>
      <c r="E112" s="33">
        <v>0.59399999999999997</v>
      </c>
      <c r="F112" s="33"/>
      <c r="G112" s="33" t="s">
        <v>137</v>
      </c>
      <c r="H112" s="33" t="s">
        <v>138</v>
      </c>
      <c r="I112" s="33"/>
    </row>
    <row r="113" spans="2:9">
      <c r="B113" s="33"/>
      <c r="C113" s="33">
        <v>0.51700000000000002</v>
      </c>
      <c r="D113" s="33"/>
      <c r="E113" s="33">
        <v>0.51700000000000002</v>
      </c>
      <c r="F113" s="33"/>
      <c r="G113" s="33" t="s">
        <v>155</v>
      </c>
      <c r="H113" s="33" t="s">
        <v>156</v>
      </c>
      <c r="I113" s="33"/>
    </row>
    <row r="114" spans="2:9">
      <c r="B114" s="33"/>
      <c r="C114" s="33">
        <v>0.56000000000000005</v>
      </c>
      <c r="D114" s="33"/>
      <c r="E114" s="33">
        <v>0.56000000000000005</v>
      </c>
      <c r="F114" s="33"/>
      <c r="G114" s="33" t="s">
        <v>117</v>
      </c>
      <c r="H114" s="33" t="s">
        <v>118</v>
      </c>
      <c r="I114" s="33"/>
    </row>
    <row r="115" spans="2:9">
      <c r="B115" s="33"/>
      <c r="C115" s="33">
        <v>0.56999999999999995</v>
      </c>
      <c r="D115" s="33"/>
      <c r="E115" s="33">
        <v>0.56999999999999995</v>
      </c>
      <c r="F115" s="33"/>
      <c r="G115" s="33" t="s">
        <v>117</v>
      </c>
      <c r="H115" s="33" t="s">
        <v>118</v>
      </c>
      <c r="I115" s="33"/>
    </row>
    <row r="119" spans="2:9">
      <c r="B119" s="33" t="s">
        <v>308</v>
      </c>
      <c r="C119" s="33" t="s">
        <v>309</v>
      </c>
      <c r="D119" s="33" t="s">
        <v>310</v>
      </c>
    </row>
  </sheetData>
  <mergeCells count="2">
    <mergeCell ref="B2:G5"/>
    <mergeCell ref="H19:L23"/>
  </mergeCells>
  <phoneticPr fontId="6" type="noConversion"/>
  <pageMargins left="0.75" right="0.75" top="1" bottom="1" header="0.5" footer="0.5"/>
  <pageSetup paperSize="9" orientation="portrait" horizontalDpi="4294967292" verticalDpi="429496729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AL134"/>
  <sheetViews>
    <sheetView topLeftCell="K36" zoomScale="125" workbookViewId="0">
      <selection activeCell="I21" sqref="I21"/>
    </sheetView>
  </sheetViews>
  <sheetFormatPr baseColWidth="10" defaultColWidth="11.1640625" defaultRowHeight="13"/>
  <cols>
    <col min="1" max="1" width="3.83203125" style="229" customWidth="1"/>
    <col min="7" max="7" width="12.5" customWidth="1"/>
    <col min="10" max="10" width="10.83203125" style="229"/>
    <col min="11" max="11" width="2.5" customWidth="1"/>
    <col min="16" max="16" width="13.83203125" customWidth="1"/>
  </cols>
  <sheetData>
    <row r="1" spans="1:38">
      <c r="A1" s="240"/>
      <c r="B1" s="58" t="s">
        <v>563</v>
      </c>
      <c r="E1" s="58" t="s">
        <v>6</v>
      </c>
      <c r="K1" s="240"/>
      <c r="L1" s="58" t="s">
        <v>8</v>
      </c>
    </row>
    <row r="2" spans="1:38">
      <c r="A2" s="240"/>
      <c r="K2" s="240"/>
    </row>
    <row r="3" spans="1:38">
      <c r="A3" s="240"/>
      <c r="K3" s="240"/>
      <c r="T3" t="s">
        <v>564</v>
      </c>
    </row>
    <row r="4" spans="1:38">
      <c r="A4" s="240"/>
      <c r="K4" s="240"/>
    </row>
    <row r="5" spans="1:38">
      <c r="A5" s="240"/>
      <c r="H5" s="33" t="s">
        <v>9</v>
      </c>
      <c r="I5" s="33" t="s">
        <v>10</v>
      </c>
      <c r="K5" s="240"/>
    </row>
    <row r="6" spans="1:38">
      <c r="A6" s="240"/>
      <c r="B6" s="2" t="s">
        <v>242</v>
      </c>
      <c r="C6" s="33" t="s">
        <v>29</v>
      </c>
      <c r="D6" s="33" t="s">
        <v>31</v>
      </c>
      <c r="E6" s="33" t="s">
        <v>30</v>
      </c>
      <c r="F6" s="33" t="s">
        <v>553</v>
      </c>
      <c r="G6" s="2"/>
      <c r="H6" s="2" t="s">
        <v>243</v>
      </c>
      <c r="I6" s="2" t="s">
        <v>243</v>
      </c>
      <c r="J6" s="192"/>
      <c r="K6" s="240"/>
      <c r="W6" t="s">
        <v>5</v>
      </c>
    </row>
    <row r="7" spans="1:38">
      <c r="A7" s="240"/>
      <c r="B7" s="2">
        <v>0</v>
      </c>
      <c r="C7" s="2" t="s">
        <v>243</v>
      </c>
      <c r="D7" s="2" t="s">
        <v>243</v>
      </c>
      <c r="E7" s="2" t="s">
        <v>243</v>
      </c>
      <c r="F7" s="2" t="s">
        <v>243</v>
      </c>
      <c r="G7" s="2"/>
      <c r="H7" s="2">
        <v>0</v>
      </c>
      <c r="I7" s="114">
        <v>0</v>
      </c>
      <c r="J7" s="116"/>
      <c r="K7" s="240"/>
      <c r="T7" s="33" t="s">
        <v>0</v>
      </c>
    </row>
    <row r="8" spans="1:38">
      <c r="A8" s="240"/>
      <c r="B8" s="2">
        <v>1</v>
      </c>
      <c r="C8" s="2">
        <v>2.6</v>
      </c>
      <c r="D8" s="2"/>
      <c r="E8" s="2">
        <v>0.6</v>
      </c>
      <c r="F8" s="2">
        <f>B8*0.86</f>
        <v>0.86</v>
      </c>
      <c r="G8" s="2"/>
      <c r="H8" s="2">
        <f>C8</f>
        <v>2.6</v>
      </c>
      <c r="I8" s="114">
        <f t="shared" ref="I8:I14" si="0">3.985*LN(B8) +2.336</f>
        <v>2.3359999999999999</v>
      </c>
      <c r="J8" s="116"/>
      <c r="K8" s="240"/>
      <c r="Q8" s="9" t="s">
        <v>33</v>
      </c>
      <c r="T8" s="33" t="s">
        <v>34</v>
      </c>
    </row>
    <row r="9" spans="1:38">
      <c r="A9" s="240"/>
      <c r="B9" s="2">
        <v>2</v>
      </c>
      <c r="C9" s="2">
        <v>4.57</v>
      </c>
      <c r="D9" s="2"/>
      <c r="E9" s="2">
        <v>1.8</v>
      </c>
      <c r="F9" s="2">
        <f t="shared" ref="F9:F14" si="1">B9*0.86</f>
        <v>1.72</v>
      </c>
      <c r="G9" s="2"/>
      <c r="H9" s="2">
        <f>C9</f>
        <v>4.57</v>
      </c>
      <c r="I9" s="114">
        <f t="shared" si="0"/>
        <v>5.0981915145313819</v>
      </c>
      <c r="J9" s="116"/>
      <c r="K9" s="240"/>
      <c r="L9" s="33"/>
      <c r="M9" s="33"/>
      <c r="N9" s="33"/>
      <c r="O9" s="33"/>
      <c r="P9" s="33"/>
      <c r="Q9" s="2" t="s">
        <v>24</v>
      </c>
      <c r="R9" s="2" t="s">
        <v>24</v>
      </c>
      <c r="S9" s="33" t="s">
        <v>23</v>
      </c>
      <c r="T9" s="33"/>
      <c r="U9" s="33"/>
      <c r="V9" s="33" t="s">
        <v>18</v>
      </c>
      <c r="W9" s="33"/>
      <c r="X9" s="33"/>
      <c r="Y9" s="33"/>
      <c r="Z9" s="33"/>
      <c r="AA9" s="33" t="s">
        <v>1</v>
      </c>
    </row>
    <row r="10" spans="1:38">
      <c r="A10" s="240"/>
      <c r="B10" s="2">
        <v>3</v>
      </c>
      <c r="C10" s="2">
        <v>6.54</v>
      </c>
      <c r="D10" s="2"/>
      <c r="E10" s="2">
        <v>2.6</v>
      </c>
      <c r="F10" s="2">
        <f t="shared" si="1"/>
        <v>2.58</v>
      </c>
      <c r="G10" s="2"/>
      <c r="H10" s="2">
        <f>C10</f>
        <v>6.54</v>
      </c>
      <c r="I10" s="114">
        <f t="shared" si="0"/>
        <v>6.7139699703424167</v>
      </c>
      <c r="J10" s="116"/>
      <c r="K10" s="240"/>
      <c r="M10" s="33" t="s">
        <v>230</v>
      </c>
      <c r="N10" s="33" t="s">
        <v>230</v>
      </c>
      <c r="Q10" s="115" t="s">
        <v>14</v>
      </c>
      <c r="R10" s="115" t="s">
        <v>14</v>
      </c>
      <c r="S10" s="115" t="s">
        <v>15</v>
      </c>
      <c r="T10" s="115" t="s">
        <v>16</v>
      </c>
      <c r="U10" s="115" t="s">
        <v>17</v>
      </c>
      <c r="V10" s="115" t="s">
        <v>20</v>
      </c>
      <c r="W10" s="115" t="s">
        <v>14</v>
      </c>
      <c r="Y10" s="33"/>
    </row>
    <row r="11" spans="1:38">
      <c r="A11" s="240"/>
      <c r="B11" s="2">
        <v>4</v>
      </c>
      <c r="C11" s="2"/>
      <c r="D11" s="2">
        <v>7</v>
      </c>
      <c r="E11" s="2"/>
      <c r="F11" s="2">
        <f t="shared" si="1"/>
        <v>3.44</v>
      </c>
      <c r="G11" s="2"/>
      <c r="H11" s="2">
        <v>8</v>
      </c>
      <c r="I11" s="114">
        <f t="shared" si="0"/>
        <v>7.8603830290627634</v>
      </c>
      <c r="J11" s="116"/>
      <c r="K11" s="240"/>
      <c r="L11" s="2" t="s">
        <v>21</v>
      </c>
      <c r="M11" s="2" t="s">
        <v>243</v>
      </c>
      <c r="N11" s="2" t="s">
        <v>22</v>
      </c>
      <c r="P11" s="2" t="str">
        <f>L11</f>
        <v>Age (yr)</v>
      </c>
      <c r="Q11" s="2" t="s">
        <v>25</v>
      </c>
      <c r="R11" s="2" t="s">
        <v>25</v>
      </c>
      <c r="S11" s="2" t="s">
        <v>25</v>
      </c>
      <c r="T11" s="2" t="s">
        <v>25</v>
      </c>
      <c r="U11" s="2" t="s">
        <v>25</v>
      </c>
      <c r="V11" s="2" t="s">
        <v>27</v>
      </c>
      <c r="W11" s="2" t="s">
        <v>26</v>
      </c>
      <c r="Y11" s="2"/>
    </row>
    <row r="12" spans="1:38">
      <c r="A12" s="240"/>
      <c r="B12" s="2">
        <v>15</v>
      </c>
      <c r="C12" s="2"/>
      <c r="D12" s="2">
        <v>13</v>
      </c>
      <c r="E12" s="2"/>
      <c r="F12" s="2">
        <f t="shared" si="1"/>
        <v>12.9</v>
      </c>
      <c r="G12" s="2"/>
      <c r="H12" s="2">
        <v>12.9</v>
      </c>
      <c r="I12" s="114">
        <f t="shared" si="0"/>
        <v>13.127580051392307</v>
      </c>
      <c r="J12" s="116"/>
      <c r="K12" s="240"/>
      <c r="L12" s="2">
        <v>0</v>
      </c>
      <c r="M12" s="2">
        <f t="shared" ref="M12:M20" si="2">$C$70*L12</f>
        <v>0</v>
      </c>
      <c r="N12" s="2">
        <f t="shared" ref="N12:N19" si="3">$C$71*L12</f>
        <v>0</v>
      </c>
      <c r="P12" s="2">
        <f t="shared" ref="P12:P20" si="4">L12</f>
        <v>0</v>
      </c>
      <c r="Q12" s="105">
        <v>0</v>
      </c>
      <c r="R12" s="105">
        <v>0</v>
      </c>
      <c r="S12" s="105">
        <v>0</v>
      </c>
      <c r="T12" s="105">
        <v>0</v>
      </c>
      <c r="U12" s="2">
        <f>(0.1168*(M12^2.524))/1000</f>
        <v>0</v>
      </c>
      <c r="V12" s="112">
        <f t="shared" ref="V12:V20" si="5">0.0000436*(M12^2.6969)*0.916*$V$23</f>
        <v>0</v>
      </c>
      <c r="W12" s="2"/>
      <c r="Y12" s="112"/>
      <c r="AA12" s="2" t="e">
        <f>R12*(1-#REF!)</f>
        <v>#REF!</v>
      </c>
    </row>
    <row r="13" spans="1:38">
      <c r="A13" s="240"/>
      <c r="B13" s="2">
        <v>20</v>
      </c>
      <c r="F13" s="2">
        <f t="shared" si="1"/>
        <v>17.2</v>
      </c>
      <c r="I13" s="114">
        <f t="shared" si="0"/>
        <v>14.273993110112654</v>
      </c>
      <c r="J13" s="116"/>
      <c r="K13" s="240"/>
      <c r="L13" s="2">
        <v>5</v>
      </c>
      <c r="M13" s="2">
        <f t="shared" si="2"/>
        <v>4.3</v>
      </c>
      <c r="N13" s="2">
        <f t="shared" si="3"/>
        <v>3.75</v>
      </c>
      <c r="P13" s="2">
        <f t="shared" si="4"/>
        <v>5</v>
      </c>
      <c r="Q13" s="111">
        <f>(EXP(-1.872+2.493*LN(M13)))/1000</f>
        <v>5.83764377119304E-3</v>
      </c>
      <c r="R13" s="111">
        <f>(EXP(-1.559+2.443*LN(M13)))/1000</f>
        <v>7.4216136045325443E-3</v>
      </c>
      <c r="S13" s="111">
        <f>(EXP(-1.17+2.119*LN(M13)))/1000</f>
        <v>6.8264531427754179E-3</v>
      </c>
      <c r="T13" s="111">
        <f>(EXP(1.527+1.072*LN(M13)))/1000</f>
        <v>2.1991044544688611E-2</v>
      </c>
      <c r="U13" s="116">
        <f t="shared" ref="U13:U20" si="6">(0.1168*(M13^2.524))/1000</f>
        <v>4.637855620714686E-3</v>
      </c>
      <c r="V13" s="112">
        <f t="shared" si="5"/>
        <v>2.2447900358519954E-3</v>
      </c>
      <c r="W13" s="116">
        <f t="shared" ref="W13:W20" si="7">(1-Q13/R13)</f>
        <v>0.2134266101339658</v>
      </c>
      <c r="Y13" s="112"/>
      <c r="AA13" s="2" t="e">
        <f>R13*(1-#REF!)</f>
        <v>#REF!</v>
      </c>
      <c r="AB13" s="33"/>
      <c r="AC13" s="33"/>
      <c r="AD13" s="33"/>
      <c r="AE13" s="33"/>
      <c r="AF13" s="33"/>
      <c r="AG13" s="33"/>
      <c r="AH13" s="33"/>
      <c r="AI13" s="33"/>
      <c r="AJ13" s="33"/>
      <c r="AK13" s="33"/>
      <c r="AL13" s="33"/>
    </row>
    <row r="14" spans="1:38">
      <c r="A14" s="240"/>
      <c r="B14" s="2">
        <v>30</v>
      </c>
      <c r="F14" s="2">
        <f t="shared" si="1"/>
        <v>25.8</v>
      </c>
      <c r="I14" s="114">
        <f t="shared" si="0"/>
        <v>15.88977156592369</v>
      </c>
      <c r="J14" s="116"/>
      <c r="K14" s="240"/>
      <c r="L14" s="2">
        <v>10</v>
      </c>
      <c r="M14" s="2">
        <f t="shared" si="2"/>
        <v>8.6</v>
      </c>
      <c r="N14" s="2">
        <f t="shared" si="3"/>
        <v>7.5</v>
      </c>
      <c r="P14" s="2">
        <f t="shared" si="4"/>
        <v>10</v>
      </c>
      <c r="Q14" s="111">
        <f t="shared" ref="Q14:Q20" si="8">(EXP(-1.872+2.493*LN(M14)))/1000</f>
        <v>3.286286091996949E-2</v>
      </c>
      <c r="R14" s="111">
        <f t="shared" ref="R14:R20" si="9">(EXP(-1.559+2.443*LN(M14)))/1000</f>
        <v>4.0356604538083228E-2</v>
      </c>
      <c r="S14" s="111">
        <f t="shared" ref="S14:S20" si="10">(EXP(-1.17+2.119*LN(M14)))/1000</f>
        <v>2.965361702435363E-2</v>
      </c>
      <c r="T14" s="111">
        <f t="shared" ref="T14:T20" si="11">(EXP(1.527+1.072*LN(M14)))/1000</f>
        <v>4.6232780535835342E-2</v>
      </c>
      <c r="U14" s="116">
        <f t="shared" si="6"/>
        <v>2.6675768124380987E-2</v>
      </c>
      <c r="V14" s="112">
        <f t="shared" si="5"/>
        <v>1.4555379099256601E-2</v>
      </c>
      <c r="W14" s="116">
        <f t="shared" si="7"/>
        <v>0.18568815944468597</v>
      </c>
      <c r="Y14" s="112"/>
      <c r="AA14" s="2" t="e">
        <f>R14*(1-#REF!)</f>
        <v>#REF!</v>
      </c>
    </row>
    <row r="15" spans="1:38">
      <c r="A15" s="240"/>
      <c r="I15" s="33"/>
      <c r="K15" s="240"/>
      <c r="L15" s="2">
        <v>15</v>
      </c>
      <c r="M15" s="2">
        <f t="shared" si="2"/>
        <v>12.9</v>
      </c>
      <c r="N15" s="2">
        <f t="shared" si="3"/>
        <v>11.25</v>
      </c>
      <c r="P15" s="2">
        <f t="shared" si="4"/>
        <v>15</v>
      </c>
      <c r="Q15" s="111">
        <f t="shared" si="8"/>
        <v>9.0302729522786895E-2</v>
      </c>
      <c r="R15" s="111">
        <f t="shared" si="9"/>
        <v>0.10866897357283303</v>
      </c>
      <c r="S15" s="111">
        <f t="shared" si="10"/>
        <v>7.0018862692685438E-2</v>
      </c>
      <c r="T15" s="111">
        <f t="shared" si="11"/>
        <v>7.1403556411224714E-2</v>
      </c>
      <c r="U15" s="116">
        <f t="shared" si="6"/>
        <v>7.4228600345263338E-2</v>
      </c>
      <c r="V15" s="112">
        <f t="shared" si="5"/>
        <v>4.3443423088308598E-2</v>
      </c>
      <c r="W15" s="116">
        <f t="shared" si="7"/>
        <v>0.16901092783154481</v>
      </c>
      <c r="Y15" s="112"/>
      <c r="AA15" s="2" t="e">
        <f>R15*(1-#REF!)</f>
        <v>#REF!</v>
      </c>
    </row>
    <row r="16" spans="1:38">
      <c r="A16" s="240"/>
      <c r="K16" s="240"/>
      <c r="L16" s="2">
        <v>20</v>
      </c>
      <c r="M16" s="2">
        <f t="shared" si="2"/>
        <v>17.2</v>
      </c>
      <c r="N16" s="2">
        <f t="shared" si="3"/>
        <v>15</v>
      </c>
      <c r="P16" s="2">
        <f t="shared" si="4"/>
        <v>20</v>
      </c>
      <c r="Q16" s="111">
        <f t="shared" si="8"/>
        <v>0.18500060472592805</v>
      </c>
      <c r="R16" s="111">
        <f t="shared" si="9"/>
        <v>0.21944763182612806</v>
      </c>
      <c r="S16" s="111">
        <f t="shared" si="10"/>
        <v>0.12881316025111181</v>
      </c>
      <c r="T16" s="111">
        <f t="shared" si="11"/>
        <v>9.7197292822135073E-2</v>
      </c>
      <c r="U16" s="116">
        <f t="shared" si="6"/>
        <v>0.15343224611120712</v>
      </c>
      <c r="V16" s="112">
        <f t="shared" si="5"/>
        <v>9.437811881709747E-2</v>
      </c>
      <c r="W16" s="116">
        <f t="shared" si="7"/>
        <v>0.15697151440437029</v>
      </c>
      <c r="Y16" s="112"/>
      <c r="AA16" s="2" t="e">
        <f>R16*(1-#REF!)</f>
        <v>#REF!</v>
      </c>
    </row>
    <row r="17" spans="1:27">
      <c r="A17" s="240"/>
      <c r="K17" s="240"/>
      <c r="L17" s="2">
        <v>25</v>
      </c>
      <c r="M17" s="2">
        <f t="shared" si="2"/>
        <v>21.5</v>
      </c>
      <c r="N17" s="2">
        <f t="shared" si="3"/>
        <v>18.75</v>
      </c>
      <c r="P17" s="2">
        <f t="shared" si="4"/>
        <v>25</v>
      </c>
      <c r="Q17" s="111">
        <f t="shared" si="8"/>
        <v>0.32267833730501833</v>
      </c>
      <c r="R17" s="111">
        <f t="shared" si="9"/>
        <v>0.37851409849957612</v>
      </c>
      <c r="S17" s="111">
        <f t="shared" si="10"/>
        <v>0.20668671020849966</v>
      </c>
      <c r="T17" s="111">
        <f t="shared" si="11"/>
        <v>0.12346438654968529</v>
      </c>
      <c r="U17" s="116">
        <f t="shared" si="6"/>
        <v>0.26947440123302163</v>
      </c>
      <c r="V17" s="112">
        <f t="shared" si="5"/>
        <v>0.17227724999299232</v>
      </c>
      <c r="W17" s="116">
        <f t="shared" si="7"/>
        <v>0.14751302901500862</v>
      </c>
      <c r="Y17" s="112"/>
      <c r="AA17" s="2" t="e">
        <f>R17*(1-#REF!)</f>
        <v>#REF!</v>
      </c>
    </row>
    <row r="18" spans="1:27">
      <c r="A18" s="240"/>
      <c r="K18" s="240"/>
      <c r="L18" s="2">
        <v>30</v>
      </c>
      <c r="M18" s="2">
        <f t="shared" si="2"/>
        <v>25.8</v>
      </c>
      <c r="N18" s="2">
        <f t="shared" si="3"/>
        <v>22.5</v>
      </c>
      <c r="P18" s="2">
        <f t="shared" si="4"/>
        <v>30</v>
      </c>
      <c r="Q18" s="111">
        <f t="shared" si="8"/>
        <v>0.50835682294373397</v>
      </c>
      <c r="R18" s="111">
        <f t="shared" si="9"/>
        <v>0.5909106867757048</v>
      </c>
      <c r="S18" s="111">
        <f t="shared" si="10"/>
        <v>0.3041568579383136</v>
      </c>
      <c r="T18" s="111">
        <f t="shared" si="11"/>
        <v>0.15011496822399045</v>
      </c>
      <c r="U18" s="116">
        <f t="shared" si="6"/>
        <v>0.42694406487420172</v>
      </c>
      <c r="V18" s="112">
        <f t="shared" si="5"/>
        <v>0.28169026159265287</v>
      </c>
      <c r="W18" s="116">
        <f t="shared" si="7"/>
        <v>0.13970616148850634</v>
      </c>
      <c r="Y18" s="112"/>
      <c r="AA18" s="2" t="e">
        <f>R18*(1-#REF!)</f>
        <v>#REF!</v>
      </c>
    </row>
    <row r="19" spans="1:27">
      <c r="A19" s="240"/>
      <c r="K19" s="240"/>
      <c r="L19" s="2">
        <v>35</v>
      </c>
      <c r="M19" s="2">
        <f t="shared" si="2"/>
        <v>30.099999999999998</v>
      </c>
      <c r="N19" s="2">
        <f t="shared" si="3"/>
        <v>26.25</v>
      </c>
      <c r="P19" s="2">
        <f t="shared" si="4"/>
        <v>35</v>
      </c>
      <c r="Q19" s="111">
        <f t="shared" si="8"/>
        <v>0.74656393016476952</v>
      </c>
      <c r="R19" s="111">
        <f t="shared" si="9"/>
        <v>0.86113819312480622</v>
      </c>
      <c r="S19" s="111">
        <f t="shared" si="10"/>
        <v>0.42165558813405091</v>
      </c>
      <c r="T19" s="111">
        <f t="shared" si="11"/>
        <v>0.17708874376349701</v>
      </c>
      <c r="U19" s="116">
        <f t="shared" si="6"/>
        <v>0.63000598851589129</v>
      </c>
      <c r="V19" s="112">
        <f t="shared" si="5"/>
        <v>0.42689456935889569</v>
      </c>
      <c r="W19" s="116">
        <f t="shared" si="7"/>
        <v>0.13304979836544217</v>
      </c>
      <c r="Y19" s="112"/>
      <c r="AA19" s="2" t="e">
        <f>R19*(1-#REF!)</f>
        <v>#REF!</v>
      </c>
    </row>
    <row r="20" spans="1:27">
      <c r="A20" s="240"/>
      <c r="K20" s="240"/>
      <c r="L20" s="2">
        <v>40</v>
      </c>
      <c r="M20" s="2">
        <f t="shared" si="2"/>
        <v>34.4</v>
      </c>
      <c r="N20" s="2"/>
      <c r="P20" s="2">
        <f t="shared" si="4"/>
        <v>40</v>
      </c>
      <c r="Q20" s="111">
        <f t="shared" si="8"/>
        <v>1.0414560020293815</v>
      </c>
      <c r="R20" s="111">
        <f t="shared" si="9"/>
        <v>1.1932932332959629</v>
      </c>
      <c r="S20" s="111">
        <f t="shared" si="10"/>
        <v>0.55955501955297449</v>
      </c>
      <c r="T20" s="111">
        <f t="shared" si="11"/>
        <v>0.20434232210258671</v>
      </c>
      <c r="U20" s="116">
        <f t="shared" si="6"/>
        <v>0.88250332800028108</v>
      </c>
      <c r="V20" s="112">
        <f t="shared" si="5"/>
        <v>0.61195447062653918</v>
      </c>
      <c r="W20" s="116">
        <f t="shared" si="7"/>
        <v>0.12724217906372937</v>
      </c>
      <c r="Y20" s="112"/>
      <c r="AA20" s="2" t="e">
        <f>R20*(1-#REF!)</f>
        <v>#REF!</v>
      </c>
    </row>
    <row r="21" spans="1:27">
      <c r="A21" s="240"/>
      <c r="K21" s="240"/>
      <c r="L21" s="2"/>
      <c r="U21" s="116"/>
      <c r="W21" s="116">
        <f>AVERAGE(W13:W20)</f>
        <v>0.15907604746840665</v>
      </c>
      <c r="X21" s="112"/>
    </row>
    <row r="22" spans="1:27">
      <c r="A22" s="240"/>
      <c r="K22" s="240"/>
      <c r="L22" s="2"/>
      <c r="V22" s="2" t="s">
        <v>19</v>
      </c>
    </row>
    <row r="23" spans="1:27">
      <c r="A23" s="240"/>
      <c r="K23" s="240"/>
      <c r="L23" s="2"/>
      <c r="V23" s="2">
        <v>1.1000000000000001</v>
      </c>
    </row>
    <row r="24" spans="1:27">
      <c r="A24" s="240"/>
      <c r="K24" s="240"/>
      <c r="L24" s="2"/>
    </row>
    <row r="25" spans="1:27">
      <c r="A25" s="240"/>
      <c r="K25" s="240"/>
    </row>
    <row r="26" spans="1:27">
      <c r="A26" s="240"/>
      <c r="K26" s="240"/>
    </row>
    <row r="27" spans="1:27">
      <c r="A27" s="240"/>
      <c r="K27" s="240"/>
    </row>
    <row r="28" spans="1:27">
      <c r="A28" s="240"/>
      <c r="K28" s="240"/>
    </row>
    <row r="29" spans="1:27">
      <c r="A29" s="240"/>
      <c r="K29" s="240"/>
    </row>
    <row r="30" spans="1:27">
      <c r="A30" s="240"/>
      <c r="K30" s="240"/>
    </row>
    <row r="31" spans="1:27">
      <c r="A31" s="240"/>
      <c r="K31" s="240"/>
    </row>
    <row r="32" spans="1:27">
      <c r="A32" s="240"/>
      <c r="K32" s="240"/>
    </row>
    <row r="33" spans="1:38">
      <c r="A33" s="240"/>
      <c r="K33" s="240"/>
    </row>
    <row r="34" spans="1:38">
      <c r="A34" s="240"/>
      <c r="K34" s="240"/>
    </row>
    <row r="35" spans="1:38">
      <c r="A35" s="240"/>
      <c r="K35" s="240"/>
    </row>
    <row r="36" spans="1:38">
      <c r="A36" s="240"/>
      <c r="K36" s="240"/>
    </row>
    <row r="37" spans="1:38">
      <c r="A37" s="240"/>
      <c r="K37" s="240"/>
    </row>
    <row r="38" spans="1:38">
      <c r="A38" s="240"/>
      <c r="K38" s="240"/>
    </row>
    <row r="39" spans="1:38">
      <c r="A39" s="240"/>
      <c r="K39" s="240"/>
    </row>
    <row r="40" spans="1:38">
      <c r="A40" s="240"/>
      <c r="K40" s="240"/>
    </row>
    <row r="41" spans="1:38">
      <c r="A41" s="240"/>
      <c r="K41" s="240"/>
    </row>
    <row r="42" spans="1:38">
      <c r="A42" s="240"/>
      <c r="B42" s="58" t="s">
        <v>7</v>
      </c>
      <c r="K42" s="240"/>
    </row>
    <row r="43" spans="1:38">
      <c r="A43" s="240"/>
      <c r="K43" s="240"/>
    </row>
    <row r="44" spans="1:38">
      <c r="A44" s="240"/>
      <c r="K44" s="240"/>
    </row>
    <row r="45" spans="1:38" s="33" customFormat="1">
      <c r="A45" s="240"/>
      <c r="B45" t="s">
        <v>44</v>
      </c>
      <c r="C45"/>
      <c r="D45"/>
      <c r="E45"/>
      <c r="J45" s="229"/>
      <c r="K45" s="240"/>
      <c r="L45"/>
      <c r="M45"/>
      <c r="N45"/>
      <c r="O45"/>
      <c r="P45"/>
      <c r="Q45"/>
      <c r="R45"/>
      <c r="S45"/>
      <c r="T45"/>
      <c r="U45"/>
      <c r="V45"/>
      <c r="W45"/>
      <c r="X45"/>
      <c r="Y45"/>
      <c r="Z45"/>
      <c r="AA45"/>
      <c r="AB45"/>
      <c r="AC45"/>
      <c r="AD45"/>
      <c r="AE45"/>
      <c r="AF45"/>
      <c r="AG45"/>
      <c r="AH45"/>
      <c r="AI45"/>
      <c r="AJ45"/>
      <c r="AK45"/>
      <c r="AL45"/>
    </row>
    <row r="46" spans="1:38">
      <c r="A46" s="240"/>
      <c r="K46" s="240"/>
    </row>
    <row r="47" spans="1:38">
      <c r="A47" s="240"/>
      <c r="B47" t="s">
        <v>45</v>
      </c>
    </row>
    <row r="48" spans="1:38">
      <c r="A48" s="240"/>
      <c r="B48" t="s">
        <v>292</v>
      </c>
    </row>
    <row r="49" spans="1:2">
      <c r="A49" s="240"/>
      <c r="B49" t="s">
        <v>46</v>
      </c>
    </row>
    <row r="50" spans="1:2">
      <c r="A50" s="240"/>
    </row>
    <row r="51" spans="1:2">
      <c r="A51" s="240"/>
      <c r="B51" s="33" t="s">
        <v>43</v>
      </c>
    </row>
    <row r="52" spans="1:2">
      <c r="A52" s="240"/>
    </row>
    <row r="53" spans="1:2">
      <c r="A53" s="240"/>
      <c r="B53" t="s">
        <v>47</v>
      </c>
    </row>
    <row r="54" spans="1:2">
      <c r="A54" s="240"/>
    </row>
    <row r="55" spans="1:2">
      <c r="A55" s="240"/>
      <c r="B55" t="s">
        <v>48</v>
      </c>
    </row>
    <row r="56" spans="1:2">
      <c r="A56" s="240"/>
    </row>
    <row r="57" spans="1:2">
      <c r="A57" s="240"/>
      <c r="B57" t="s">
        <v>35</v>
      </c>
    </row>
    <row r="58" spans="1:2">
      <c r="A58" s="240"/>
    </row>
    <row r="59" spans="1:2">
      <c r="A59" s="240"/>
      <c r="B59" t="s">
        <v>37</v>
      </c>
    </row>
    <row r="60" spans="1:2">
      <c r="A60" s="240"/>
      <c r="B60" t="s">
        <v>36</v>
      </c>
    </row>
    <row r="61" spans="1:2">
      <c r="A61" s="240"/>
    </row>
    <row r="62" spans="1:2">
      <c r="A62" s="240"/>
    </row>
    <row r="63" spans="1:2">
      <c r="A63" s="240"/>
      <c r="B63" s="33" t="s">
        <v>552</v>
      </c>
    </row>
    <row r="64" spans="1:2">
      <c r="A64" s="240"/>
      <c r="B64" t="s">
        <v>32</v>
      </c>
    </row>
    <row r="65" spans="1:4">
      <c r="A65" s="240"/>
      <c r="B65" s="113"/>
    </row>
    <row r="66" spans="1:4">
      <c r="A66" s="240"/>
      <c r="B66" s="113" t="s">
        <v>28</v>
      </c>
    </row>
    <row r="67" spans="1:4">
      <c r="A67" s="240"/>
    </row>
    <row r="68" spans="1:4">
      <c r="A68" s="240"/>
    </row>
    <row r="69" spans="1:4">
      <c r="A69" s="240"/>
      <c r="B69" s="33" t="s">
        <v>554</v>
      </c>
    </row>
    <row r="70" spans="1:4">
      <c r="A70" s="240"/>
      <c r="B70" s="2" t="s">
        <v>231</v>
      </c>
      <c r="C70" s="2">
        <v>0.86</v>
      </c>
      <c r="D70" s="33" t="s">
        <v>233</v>
      </c>
    </row>
    <row r="71" spans="1:4">
      <c r="A71" s="240"/>
      <c r="B71" s="2" t="s">
        <v>232</v>
      </c>
      <c r="C71" s="2">
        <v>0.75</v>
      </c>
      <c r="D71" s="33" t="s">
        <v>234</v>
      </c>
    </row>
    <row r="72" spans="1:4">
      <c r="A72" s="240"/>
    </row>
    <row r="73" spans="1:4">
      <c r="A73" s="240"/>
    </row>
    <row r="74" spans="1:4">
      <c r="A74" s="240"/>
      <c r="B74" t="s">
        <v>555</v>
      </c>
    </row>
    <row r="75" spans="1:4">
      <c r="A75" s="240"/>
      <c r="B75" t="s">
        <v>556</v>
      </c>
    </row>
    <row r="76" spans="1:4">
      <c r="A76" s="240"/>
      <c r="B76" t="s">
        <v>557</v>
      </c>
    </row>
    <row r="77" spans="1:4">
      <c r="A77" s="240"/>
      <c r="B77" t="s">
        <v>558</v>
      </c>
    </row>
    <row r="78" spans="1:4">
      <c r="A78" s="240"/>
      <c r="B78" t="s">
        <v>559</v>
      </c>
    </row>
    <row r="79" spans="1:4">
      <c r="A79" s="240"/>
      <c r="B79" t="s">
        <v>560</v>
      </c>
    </row>
    <row r="80" spans="1:4">
      <c r="A80" s="240"/>
      <c r="B80" t="s">
        <v>561</v>
      </c>
    </row>
    <row r="81" spans="1:2">
      <c r="A81" s="240"/>
      <c r="B81" t="s">
        <v>562</v>
      </c>
    </row>
    <row r="113" spans="2:9">
      <c r="B113" s="33" t="s">
        <v>483</v>
      </c>
      <c r="C113" s="33" t="s">
        <v>131</v>
      </c>
      <c r="D113">
        <v>0.91859999999999997</v>
      </c>
      <c r="E113" s="33" t="s">
        <v>146</v>
      </c>
    </row>
    <row r="114" spans="2:9">
      <c r="G114" s="33"/>
    </row>
    <row r="115" spans="2:9">
      <c r="B115" s="2" t="s">
        <v>177</v>
      </c>
      <c r="C115" s="2" t="s">
        <v>178</v>
      </c>
      <c r="D115" s="2" t="s">
        <v>179</v>
      </c>
      <c r="E115" s="2" t="s">
        <v>180</v>
      </c>
      <c r="F115" s="2" t="s">
        <v>2</v>
      </c>
      <c r="G115" s="33" t="s">
        <v>4</v>
      </c>
      <c r="H115" s="33" t="s">
        <v>3</v>
      </c>
      <c r="I115" t="s">
        <v>130</v>
      </c>
    </row>
    <row r="116" spans="2:9">
      <c r="B116" s="2"/>
      <c r="C116" s="2">
        <v>0.995</v>
      </c>
      <c r="D116" s="2"/>
      <c r="E116" s="2">
        <v>0.995</v>
      </c>
      <c r="F116" s="2">
        <v>15</v>
      </c>
      <c r="H116" t="s">
        <v>187</v>
      </c>
    </row>
    <row r="117" spans="2:9">
      <c r="B117" s="2"/>
      <c r="C117" s="2">
        <v>0.92</v>
      </c>
      <c r="D117" s="2"/>
      <c r="E117" s="2">
        <v>0.92</v>
      </c>
      <c r="F117" s="2">
        <v>12</v>
      </c>
      <c r="H117" t="s">
        <v>187</v>
      </c>
    </row>
    <row r="118" spans="2:9">
      <c r="B118" s="2">
        <v>0.9</v>
      </c>
      <c r="C118" s="2"/>
      <c r="D118" s="2">
        <v>1</v>
      </c>
      <c r="E118" s="2">
        <v>0.95</v>
      </c>
      <c r="F118" s="2">
        <v>15</v>
      </c>
      <c r="H118" t="s">
        <v>184</v>
      </c>
    </row>
    <row r="119" spans="2:9">
      <c r="B119" s="2">
        <v>0.79</v>
      </c>
      <c r="C119" s="2">
        <v>1.04</v>
      </c>
      <c r="D119" s="2">
        <v>1.1599999999999999</v>
      </c>
      <c r="E119" s="2">
        <v>1.04</v>
      </c>
      <c r="F119" s="2">
        <v>15</v>
      </c>
      <c r="G119" t="s">
        <v>122</v>
      </c>
      <c r="H119" t="s">
        <v>136</v>
      </c>
    </row>
    <row r="120" spans="2:9">
      <c r="B120" s="2"/>
      <c r="C120" s="2">
        <v>0.97799999999999998</v>
      </c>
      <c r="D120" s="2"/>
      <c r="E120" s="2">
        <v>0.97799999999999998</v>
      </c>
      <c r="F120" s="2"/>
      <c r="G120" t="s">
        <v>247</v>
      </c>
      <c r="H120" t="s">
        <v>123</v>
      </c>
    </row>
    <row r="121" spans="2:9">
      <c r="B121" s="2"/>
      <c r="C121" s="2">
        <v>0.75800000000000001</v>
      </c>
      <c r="D121" s="2"/>
      <c r="E121" s="2">
        <v>0.75800000000000001</v>
      </c>
      <c r="F121" s="2"/>
      <c r="G121" t="s">
        <v>170</v>
      </c>
      <c r="H121" t="s">
        <v>124</v>
      </c>
    </row>
    <row r="122" spans="2:9">
      <c r="B122" s="2"/>
      <c r="C122" s="2">
        <v>0.96</v>
      </c>
      <c r="D122" s="2"/>
      <c r="E122" s="2">
        <v>0.96</v>
      </c>
      <c r="F122" s="2"/>
      <c r="G122" t="s">
        <v>154</v>
      </c>
      <c r="H122" t="s">
        <v>153</v>
      </c>
    </row>
    <row r="123" spans="2:9">
      <c r="B123" s="2"/>
      <c r="C123" s="2">
        <v>0.83499999999999996</v>
      </c>
      <c r="D123" s="2"/>
      <c r="E123" s="2">
        <v>0.83499999999999996</v>
      </c>
      <c r="F123" s="2"/>
      <c r="G123" t="s">
        <v>138</v>
      </c>
      <c r="H123" t="s">
        <v>137</v>
      </c>
    </row>
    <row r="124" spans="2:9">
      <c r="B124" s="2"/>
      <c r="C124" s="2">
        <v>0.83</v>
      </c>
      <c r="D124" s="2"/>
      <c r="E124" s="2">
        <v>0.83</v>
      </c>
      <c r="F124" s="2"/>
      <c r="G124" t="s">
        <v>170</v>
      </c>
      <c r="H124" t="s">
        <v>125</v>
      </c>
    </row>
    <row r="125" spans="2:9">
      <c r="B125" s="2"/>
      <c r="C125" s="2">
        <v>0.63</v>
      </c>
      <c r="D125" s="2"/>
      <c r="E125" s="2">
        <v>0.63</v>
      </c>
      <c r="F125" s="2"/>
      <c r="G125" t="s">
        <v>138</v>
      </c>
      <c r="H125" t="s">
        <v>139</v>
      </c>
    </row>
    <row r="126" spans="2:9">
      <c r="B126" s="2"/>
      <c r="C126" s="2">
        <v>0.82699999999999996</v>
      </c>
      <c r="D126" s="2"/>
      <c r="E126" s="2">
        <v>0.82699999999999996</v>
      </c>
      <c r="F126" s="2"/>
      <c r="G126" t="s">
        <v>138</v>
      </c>
      <c r="H126" t="s">
        <v>139</v>
      </c>
    </row>
    <row r="127" spans="2:9">
      <c r="B127" s="2"/>
      <c r="C127" s="2">
        <v>0.79</v>
      </c>
      <c r="D127" s="2"/>
      <c r="E127" s="2">
        <v>0.79</v>
      </c>
      <c r="F127" s="2"/>
      <c r="G127" t="s">
        <v>170</v>
      </c>
      <c r="H127" t="s">
        <v>123</v>
      </c>
    </row>
    <row r="128" spans="2:9">
      <c r="B128" s="2"/>
      <c r="C128" s="2">
        <v>0.84</v>
      </c>
      <c r="D128" s="2"/>
      <c r="E128" s="2">
        <v>0.84</v>
      </c>
      <c r="F128" s="2"/>
      <c r="G128" t="s">
        <v>170</v>
      </c>
      <c r="H128" t="s">
        <v>136</v>
      </c>
    </row>
    <row r="129" spans="2:8">
      <c r="B129" s="2"/>
      <c r="C129" s="2">
        <v>0.81</v>
      </c>
      <c r="D129" s="2"/>
      <c r="E129" s="2">
        <v>0.81</v>
      </c>
      <c r="F129" s="2"/>
      <c r="G129" t="s">
        <v>173</v>
      </c>
      <c r="H129" t="s">
        <v>174</v>
      </c>
    </row>
    <row r="130" spans="2:8">
      <c r="B130" s="2"/>
      <c r="C130" s="2">
        <v>0.83</v>
      </c>
      <c r="D130" s="2"/>
      <c r="E130" s="2">
        <v>0.83</v>
      </c>
      <c r="F130" s="2"/>
      <c r="G130" t="s">
        <v>175</v>
      </c>
      <c r="H130" t="s">
        <v>174</v>
      </c>
    </row>
    <row r="131" spans="2:8">
      <c r="B131" s="2"/>
      <c r="C131" s="2">
        <v>1.04</v>
      </c>
      <c r="D131" s="2"/>
      <c r="E131" s="2">
        <v>1.04</v>
      </c>
      <c r="F131" s="2"/>
      <c r="G131" t="s">
        <v>142</v>
      </c>
      <c r="H131" t="s">
        <v>141</v>
      </c>
    </row>
    <row r="132" spans="2:8">
      <c r="B132" s="2">
        <v>1.1399999999999999</v>
      </c>
      <c r="C132" s="2"/>
      <c r="D132" s="2"/>
      <c r="E132" s="2">
        <v>1.1399999999999999</v>
      </c>
      <c r="F132" s="2"/>
      <c r="G132" t="s">
        <v>127</v>
      </c>
      <c r="H132" t="s">
        <v>126</v>
      </c>
    </row>
    <row r="133" spans="2:8">
      <c r="B133" s="2"/>
      <c r="C133" s="2">
        <v>1.1399999999999999</v>
      </c>
      <c r="D133" s="2"/>
      <c r="E133" s="2">
        <v>1.1399999999999999</v>
      </c>
      <c r="F133" s="2"/>
      <c r="G133" t="s">
        <v>129</v>
      </c>
      <c r="H133" t="s">
        <v>128</v>
      </c>
    </row>
    <row r="134" spans="2:8">
      <c r="B134" s="2"/>
      <c r="C134" s="2">
        <v>1.1399999999999999</v>
      </c>
      <c r="D134" s="2"/>
      <c r="E134" s="2">
        <v>1.1399999999999999</v>
      </c>
      <c r="F134" s="2"/>
      <c r="G134" t="s">
        <v>142</v>
      </c>
      <c r="H134" t="s">
        <v>141</v>
      </c>
    </row>
  </sheetData>
  <phoneticPr fontId="6" type="noConversion"/>
  <pageMargins left="0.75" right="0.75" top="1" bottom="1" header="0.5" footer="0.5"/>
  <pageSetup paperSize="9" orientation="portrait" horizontalDpi="4294967292" verticalDpi="429496729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39997558519241921"/>
  </sheetPr>
  <dimension ref="A1:AE50"/>
  <sheetViews>
    <sheetView zoomScale="125" zoomScaleNormal="125" zoomScalePageLayoutView="125" workbookViewId="0">
      <selection activeCell="F11" sqref="F11"/>
    </sheetView>
  </sheetViews>
  <sheetFormatPr baseColWidth="10" defaultColWidth="10.83203125" defaultRowHeight="14"/>
  <cols>
    <col min="1" max="2" width="16.1640625" style="124" customWidth="1"/>
    <col min="3" max="3" width="14.1640625" style="127" customWidth="1"/>
    <col min="4" max="5" width="15" style="127" customWidth="1"/>
    <col min="6" max="6" width="14.1640625" style="127" customWidth="1"/>
    <col min="7" max="7" width="12.83203125" style="127" customWidth="1"/>
    <col min="8" max="8" width="14.83203125" style="124" customWidth="1"/>
    <col min="9" max="9" width="10.83203125" style="124"/>
    <col min="10" max="10" width="12.83203125" style="124" customWidth="1"/>
    <col min="11" max="19" width="10.83203125" style="124"/>
    <col min="20" max="20" width="14.83203125" style="124" customWidth="1"/>
    <col min="21" max="16384" width="10.83203125" style="124"/>
  </cols>
  <sheetData>
    <row r="1" spans="1:31" ht="17">
      <c r="A1" s="126" t="s">
        <v>513</v>
      </c>
      <c r="B1" s="126"/>
      <c r="G1" s="119"/>
      <c r="H1" s="128"/>
      <c r="S1" s="129">
        <v>27</v>
      </c>
      <c r="T1" s="130" t="s">
        <v>503</v>
      </c>
      <c r="V1" s="131" t="e">
        <f>#REF!</f>
        <v>#REF!</v>
      </c>
      <c r="W1" s="124" t="s">
        <v>507</v>
      </c>
    </row>
    <row r="2" spans="1:31" ht="15">
      <c r="A2" s="126"/>
      <c r="B2" s="126"/>
      <c r="G2" s="119"/>
      <c r="H2" s="128"/>
      <c r="S2" s="129"/>
      <c r="T2" s="130"/>
      <c r="V2" s="131"/>
    </row>
    <row r="3" spans="1:31">
      <c r="A3" s="121" t="s">
        <v>705</v>
      </c>
      <c r="B3" s="121"/>
      <c r="C3" s="127" t="s">
        <v>816</v>
      </c>
      <c r="D3" s="127" t="s">
        <v>817</v>
      </c>
      <c r="E3" s="127" t="s">
        <v>818</v>
      </c>
      <c r="F3" s="127" t="s">
        <v>844</v>
      </c>
      <c r="G3" s="127" t="s">
        <v>497</v>
      </c>
      <c r="T3" s="133">
        <f>S1*SUM(H29:J29)</f>
        <v>0</v>
      </c>
      <c r="U3" s="124" t="s">
        <v>504</v>
      </c>
    </row>
    <row r="4" spans="1:31" ht="17">
      <c r="A4" s="343"/>
      <c r="B4" s="343"/>
      <c r="C4" s="344" t="s">
        <v>517</v>
      </c>
      <c r="D4" s="344" t="s">
        <v>517</v>
      </c>
      <c r="E4" s="344" t="s">
        <v>517</v>
      </c>
      <c r="F4" s="344" t="s">
        <v>517</v>
      </c>
      <c r="G4" s="344"/>
      <c r="I4" s="338" t="s">
        <v>700</v>
      </c>
      <c r="J4" s="338"/>
      <c r="K4" s="339" t="s">
        <v>695</v>
      </c>
      <c r="L4" s="340" t="s">
        <v>497</v>
      </c>
      <c r="M4" s="338"/>
      <c r="O4" s="135"/>
      <c r="T4" s="136"/>
      <c r="W4" s="137"/>
    </row>
    <row r="5" spans="1:31" ht="14.25" customHeight="1">
      <c r="A5" s="345" t="s">
        <v>120</v>
      </c>
      <c r="B5" s="345"/>
      <c r="C5" s="140" t="s">
        <v>188</v>
      </c>
      <c r="D5" s="140" t="s">
        <v>188</v>
      </c>
      <c r="E5" s="140" t="s">
        <v>188</v>
      </c>
      <c r="F5" s="140" t="s">
        <v>188</v>
      </c>
      <c r="G5" s="140"/>
      <c r="I5" s="335" t="s">
        <v>702</v>
      </c>
      <c r="J5" s="335"/>
      <c r="K5" s="341">
        <f>'GIS Area Results'!G35</f>
        <v>0</v>
      </c>
      <c r="L5" s="336" t="s">
        <v>701</v>
      </c>
      <c r="M5" s="335"/>
      <c r="N5"/>
      <c r="O5"/>
      <c r="P5"/>
      <c r="Q5"/>
      <c r="R5"/>
      <c r="S5"/>
      <c r="T5"/>
      <c r="U5"/>
      <c r="V5"/>
      <c r="W5"/>
      <c r="X5"/>
      <c r="Y5"/>
      <c r="Z5"/>
      <c r="AA5"/>
      <c r="AB5"/>
      <c r="AC5"/>
      <c r="AD5"/>
      <c r="AE5"/>
    </row>
    <row r="6" spans="1:31" ht="18">
      <c r="A6" s="346" t="s">
        <v>866</v>
      </c>
      <c r="B6" s="346" t="s">
        <v>874</v>
      </c>
      <c r="C6" s="141" t="s">
        <v>518</v>
      </c>
      <c r="D6" s="141" t="s">
        <v>518</v>
      </c>
      <c r="E6" s="141" t="s">
        <v>518</v>
      </c>
      <c r="F6" s="141" t="s">
        <v>518</v>
      </c>
      <c r="G6" s="141" t="s">
        <v>720</v>
      </c>
      <c r="I6" s="320" t="s">
        <v>703</v>
      </c>
      <c r="J6" s="320"/>
      <c r="K6" s="342">
        <f>'GIS Area Results'!H35</f>
        <v>0</v>
      </c>
      <c r="L6" s="337" t="s">
        <v>701</v>
      </c>
      <c r="M6" s="320"/>
      <c r="N6" s="296"/>
      <c r="O6" s="296"/>
      <c r="P6" s="296"/>
      <c r="Q6" s="296"/>
      <c r="R6" s="296"/>
      <c r="S6" s="296"/>
      <c r="T6" s="296"/>
      <c r="U6" s="296"/>
      <c r="V6" s="296"/>
      <c r="W6" s="296"/>
      <c r="X6" s="296"/>
      <c r="Y6" s="296"/>
      <c r="Z6" s="296"/>
      <c r="AA6" s="296"/>
      <c r="AB6" s="296"/>
      <c r="AC6" s="296"/>
      <c r="AD6" s="296"/>
      <c r="AE6" s="296"/>
    </row>
    <row r="7" spans="1:31">
      <c r="A7" s="193" t="s">
        <v>121</v>
      </c>
      <c r="B7" s="193" t="s">
        <v>867</v>
      </c>
      <c r="C7" s="676">
        <f>'C. Equis'!F9</f>
        <v>7.4165727743711685E-3</v>
      </c>
      <c r="D7" s="654"/>
      <c r="E7" s="654"/>
      <c r="F7" s="736">
        <f>'C. Equis'!P9</f>
        <v>2.4257692186646845E-2</v>
      </c>
      <c r="G7" s="367" t="s">
        <v>721</v>
      </c>
      <c r="J7" s="127"/>
      <c r="K7" s="127"/>
      <c r="L7" s="127"/>
      <c r="M7" s="127"/>
      <c r="N7" s="296"/>
      <c r="O7" s="296"/>
      <c r="P7" s="296"/>
      <c r="Q7" s="296"/>
      <c r="R7" s="296"/>
      <c r="S7" s="296"/>
      <c r="T7" s="296"/>
      <c r="U7" s="296"/>
      <c r="V7" s="296"/>
      <c r="W7" s="296"/>
      <c r="X7" s="296"/>
      <c r="Y7" s="296"/>
      <c r="Z7" s="296"/>
      <c r="AA7" s="296"/>
      <c r="AB7" s="296"/>
      <c r="AC7" s="296"/>
      <c r="AD7" s="296"/>
      <c r="AE7" s="296"/>
    </row>
    <row r="8" spans="1:31" ht="16">
      <c r="A8" s="323" t="s">
        <v>215</v>
      </c>
      <c r="B8" s="323" t="s">
        <v>868</v>
      </c>
      <c r="C8" s="676">
        <f>'E. Alba'!F12</f>
        <v>5.9253523267688785E-3</v>
      </c>
      <c r="D8" s="176"/>
      <c r="E8" s="176"/>
      <c r="F8" s="738">
        <f>C8</f>
        <v>5.9253523267688785E-3</v>
      </c>
      <c r="G8" s="367" t="s">
        <v>725</v>
      </c>
      <c r="I8" s="146" t="s">
        <v>207</v>
      </c>
      <c r="J8" s="143">
        <v>0.5</v>
      </c>
      <c r="K8" s="144" t="s">
        <v>514</v>
      </c>
      <c r="L8" s="127"/>
      <c r="M8" s="127"/>
      <c r="N8" s="296"/>
      <c r="O8" s="296"/>
      <c r="P8" s="296"/>
      <c r="Q8" s="296"/>
      <c r="R8" s="296"/>
      <c r="S8" s="296"/>
      <c r="T8" s="296"/>
      <c r="U8" s="296"/>
      <c r="V8" s="296"/>
      <c r="W8" s="296"/>
      <c r="X8" s="296"/>
      <c r="Y8" s="296"/>
      <c r="Z8" s="296"/>
      <c r="AA8" s="296"/>
      <c r="AB8" s="296"/>
      <c r="AC8" s="296"/>
      <c r="AD8" s="296"/>
      <c r="AE8" s="296"/>
    </row>
    <row r="9" spans="1:31" ht="17">
      <c r="A9" s="193" t="s">
        <v>214</v>
      </c>
      <c r="B9" s="193" t="s">
        <v>869</v>
      </c>
      <c r="C9" s="676">
        <f>'S. Macro'!F9</f>
        <v>2.3165117766054594E-2</v>
      </c>
      <c r="D9" s="676">
        <f>'S. Macro'!Q10</f>
        <v>0.12056670308822381</v>
      </c>
      <c r="E9" s="677">
        <f>'S. Macro'!Z10</f>
        <v>0.11517611831208403</v>
      </c>
      <c r="F9" s="675">
        <f>'S. Macro'!AH10</f>
        <v>9.5300127281056538E-2</v>
      </c>
      <c r="G9" s="367" t="s">
        <v>722</v>
      </c>
      <c r="I9" s="146" t="s">
        <v>515</v>
      </c>
      <c r="J9" s="145">
        <f>44/12</f>
        <v>3.6666666666666665</v>
      </c>
      <c r="K9" s="144" t="s">
        <v>516</v>
      </c>
      <c r="L9"/>
      <c r="N9" s="296"/>
      <c r="O9" s="296"/>
      <c r="P9" s="296"/>
      <c r="Q9" s="296"/>
      <c r="R9" s="296"/>
      <c r="S9" s="296"/>
      <c r="T9" s="296"/>
      <c r="U9" s="296"/>
      <c r="V9" s="296"/>
      <c r="W9" s="296"/>
      <c r="X9" s="296"/>
      <c r="Y9" s="296"/>
      <c r="Z9" s="296"/>
      <c r="AA9" s="296"/>
      <c r="AB9" s="296"/>
      <c r="AC9" s="296"/>
      <c r="AD9" s="296"/>
      <c r="AE9" s="296"/>
    </row>
    <row r="10" spans="1:31">
      <c r="A10" s="193" t="s">
        <v>217</v>
      </c>
      <c r="B10" s="193" t="s">
        <v>870</v>
      </c>
      <c r="C10" s="676">
        <f>'T. Grandis'!E10</f>
        <v>5.333775067993566E-2</v>
      </c>
      <c r="D10" s="176"/>
      <c r="E10" s="176"/>
      <c r="F10" s="675">
        <f>'T. Grandis'!O10</f>
        <v>4.2972435327041238E-2</v>
      </c>
      <c r="G10" s="367" t="s">
        <v>723</v>
      </c>
      <c r="N10" s="296"/>
      <c r="O10" s="296"/>
      <c r="P10" s="296"/>
      <c r="Q10" s="296"/>
      <c r="R10" s="296"/>
      <c r="S10" s="296"/>
      <c r="T10" s="296"/>
      <c r="U10" s="296"/>
      <c r="V10" s="296"/>
      <c r="W10" s="296"/>
      <c r="X10" s="296"/>
      <c r="Y10" s="296"/>
      <c r="Z10" s="296"/>
      <c r="AA10" s="296"/>
      <c r="AB10" s="296"/>
      <c r="AC10" s="296"/>
      <c r="AD10" s="296"/>
      <c r="AE10" s="296"/>
    </row>
    <row r="11" spans="1:31">
      <c r="A11" s="193" t="s">
        <v>216</v>
      </c>
      <c r="B11" s="323" t="s">
        <v>868</v>
      </c>
      <c r="C11" s="676">
        <f>'E. Uro'!G12</f>
        <v>8.6208173792438475E-3</v>
      </c>
      <c r="D11" s="176"/>
      <c r="E11" s="176"/>
      <c r="F11" s="738">
        <f>'E. Uro'!R12</f>
        <v>8.2580365126792996E-2</v>
      </c>
      <c r="G11" s="367" t="s">
        <v>724</v>
      </c>
      <c r="N11" s="296"/>
      <c r="O11" s="296"/>
      <c r="P11" s="296"/>
      <c r="Q11" s="296"/>
      <c r="R11" s="296"/>
      <c r="S11" s="296"/>
      <c r="T11" s="296"/>
      <c r="U11" s="296"/>
      <c r="V11" s="296"/>
      <c r="W11" s="296"/>
      <c r="X11" s="296"/>
      <c r="Y11" s="296"/>
      <c r="Z11" s="296"/>
      <c r="AA11" s="296"/>
      <c r="AB11" s="296"/>
      <c r="AC11" s="296"/>
      <c r="AD11" s="296"/>
      <c r="AE11" s="296"/>
    </row>
    <row r="12" spans="1:31">
      <c r="A12" s="536" t="s">
        <v>810</v>
      </c>
      <c r="B12" s="536" t="s">
        <v>871</v>
      </c>
      <c r="C12" s="143"/>
      <c r="F12" s="737"/>
      <c r="G12" s="143"/>
      <c r="N12" s="296"/>
      <c r="O12" s="296"/>
      <c r="P12" s="296"/>
      <c r="Q12" s="296"/>
      <c r="R12" s="296"/>
      <c r="S12" s="296"/>
      <c r="T12" s="296"/>
      <c r="U12" s="296"/>
      <c r="V12" s="296"/>
      <c r="W12" s="296"/>
      <c r="X12" s="296"/>
      <c r="Y12" s="296"/>
      <c r="Z12" s="296"/>
      <c r="AA12" s="296"/>
      <c r="AB12" s="296"/>
      <c r="AC12" s="296"/>
      <c r="AD12" s="296"/>
      <c r="AE12" s="296"/>
    </row>
    <row r="13" spans="1:31">
      <c r="A13" s="536" t="s">
        <v>811</v>
      </c>
      <c r="B13" s="536" t="s">
        <v>872</v>
      </c>
      <c r="C13" s="143"/>
      <c r="F13" s="737"/>
      <c r="G13" s="143"/>
      <c r="H13" s="296"/>
      <c r="I13" s="296"/>
      <c r="J13" s="296"/>
      <c r="K13" s="296"/>
      <c r="L13" s="296"/>
      <c r="M13" s="296"/>
      <c r="N13" s="296"/>
      <c r="O13" s="296"/>
      <c r="P13" s="296"/>
      <c r="Q13" s="296"/>
      <c r="R13" s="296"/>
      <c r="S13" s="296"/>
      <c r="T13" s="296"/>
      <c r="U13" s="296"/>
      <c r="V13" s="296"/>
      <c r="W13" s="296"/>
      <c r="X13" s="296"/>
      <c r="Y13" s="296"/>
      <c r="Z13" s="296"/>
      <c r="AA13" s="296"/>
      <c r="AB13" s="296"/>
      <c r="AC13" s="296"/>
      <c r="AD13" s="296"/>
    </row>
    <row r="14" spans="1:31">
      <c r="A14" s="536" t="s">
        <v>812</v>
      </c>
      <c r="B14" s="536" t="s">
        <v>873</v>
      </c>
      <c r="C14" s="143"/>
      <c r="F14" s="737"/>
      <c r="G14" s="143"/>
      <c r="H14" s="296"/>
      <c r="I14" s="296"/>
      <c r="J14" s="296"/>
      <c r="K14" s="296"/>
      <c r="L14" s="296"/>
      <c r="M14" s="296"/>
      <c r="N14" s="296"/>
      <c r="O14" s="296"/>
      <c r="P14" s="296"/>
      <c r="Q14" s="296"/>
      <c r="R14" s="296"/>
      <c r="S14" s="296"/>
      <c r="T14" s="296"/>
      <c r="U14" s="296"/>
      <c r="V14" s="296"/>
      <c r="W14" s="296"/>
      <c r="X14" s="296"/>
      <c r="Y14" s="296"/>
      <c r="Z14" s="296"/>
      <c r="AA14" s="296"/>
      <c r="AB14" s="296"/>
      <c r="AC14" s="296"/>
      <c r="AD14" s="296"/>
    </row>
    <row r="15" spans="1:31">
      <c r="A15" s="382"/>
      <c r="B15" s="382"/>
      <c r="G15"/>
      <c r="H15"/>
      <c r="I15"/>
      <c r="J15"/>
      <c r="K15"/>
      <c r="L15"/>
      <c r="M15"/>
      <c r="N15"/>
      <c r="O15"/>
      <c r="P15"/>
      <c r="Q15"/>
      <c r="R15"/>
      <c r="S15"/>
      <c r="T15"/>
      <c r="U15"/>
      <c r="V15"/>
      <c r="W15"/>
      <c r="X15"/>
      <c r="Y15"/>
      <c r="Z15"/>
      <c r="AA15"/>
      <c r="AB15"/>
      <c r="AC15"/>
      <c r="AD15"/>
    </row>
    <row r="16" spans="1:31">
      <c r="A16" s="382"/>
      <c r="B16" s="382"/>
      <c r="G16"/>
      <c r="H16"/>
      <c r="I16"/>
      <c r="J16"/>
      <c r="K16"/>
      <c r="L16"/>
      <c r="M16"/>
      <c r="N16"/>
      <c r="O16"/>
      <c r="P16"/>
      <c r="Q16"/>
      <c r="R16"/>
      <c r="S16"/>
      <c r="T16"/>
      <c r="U16"/>
      <c r="V16"/>
      <c r="W16"/>
      <c r="X16"/>
      <c r="Y16"/>
      <c r="Z16"/>
      <c r="AA16"/>
      <c r="AB16"/>
      <c r="AC16"/>
      <c r="AD16"/>
    </row>
    <row r="17" spans="1:31">
      <c r="A17" s="382"/>
      <c r="B17" s="382"/>
      <c r="G17"/>
      <c r="H17"/>
      <c r="I17"/>
      <c r="J17"/>
      <c r="K17"/>
      <c r="L17"/>
      <c r="M17"/>
      <c r="N17"/>
      <c r="O17"/>
      <c r="P17"/>
      <c r="Q17"/>
      <c r="R17"/>
      <c r="S17"/>
      <c r="T17"/>
      <c r="U17"/>
      <c r="V17"/>
      <c r="W17"/>
      <c r="X17"/>
      <c r="Y17"/>
      <c r="Z17"/>
      <c r="AA17"/>
      <c r="AB17"/>
      <c r="AC17"/>
      <c r="AD17"/>
    </row>
    <row r="18" spans="1:31">
      <c r="A18" s="382"/>
      <c r="B18" s="382"/>
      <c r="G18"/>
      <c r="H18"/>
      <c r="I18"/>
      <c r="J18"/>
      <c r="K18"/>
      <c r="L18"/>
      <c r="M18"/>
      <c r="N18"/>
      <c r="O18"/>
      <c r="P18"/>
      <c r="Q18"/>
      <c r="R18"/>
      <c r="S18"/>
      <c r="T18"/>
      <c r="U18"/>
      <c r="V18"/>
      <c r="W18"/>
      <c r="X18"/>
      <c r="Y18"/>
      <c r="Z18"/>
      <c r="AA18"/>
      <c r="AB18"/>
      <c r="AC18"/>
      <c r="AD18"/>
    </row>
    <row r="19" spans="1:31">
      <c r="A19" s="382"/>
      <c r="B19" s="382"/>
      <c r="G19"/>
      <c r="H19"/>
      <c r="I19"/>
      <c r="J19"/>
      <c r="K19"/>
      <c r="L19"/>
      <c r="M19"/>
      <c r="N19"/>
      <c r="O19"/>
      <c r="P19"/>
      <c r="Q19"/>
      <c r="R19"/>
      <c r="S19"/>
      <c r="T19"/>
      <c r="U19"/>
      <c r="V19"/>
      <c r="W19"/>
      <c r="X19"/>
      <c r="Y19"/>
      <c r="Z19"/>
      <c r="AA19"/>
      <c r="AB19"/>
      <c r="AC19"/>
      <c r="AD19"/>
    </row>
    <row r="20" spans="1:31">
      <c r="G20" s="134"/>
      <c r="H20"/>
      <c r="I20"/>
      <c r="J20"/>
      <c r="K20"/>
      <c r="L20"/>
      <c r="M20"/>
      <c r="N20"/>
      <c r="O20"/>
      <c r="P20"/>
      <c r="Q20"/>
      <c r="R20"/>
      <c r="S20"/>
      <c r="T20"/>
      <c r="U20"/>
      <c r="V20"/>
      <c r="W20"/>
      <c r="X20"/>
      <c r="Y20"/>
      <c r="Z20"/>
      <c r="AA20"/>
      <c r="AB20"/>
      <c r="AC20"/>
      <c r="AD20"/>
      <c r="AE20"/>
    </row>
    <row r="21" spans="1:31">
      <c r="G21" s="124"/>
      <c r="J21"/>
      <c r="K21"/>
      <c r="L21"/>
      <c r="M21"/>
      <c r="N21"/>
      <c r="O21"/>
      <c r="P21"/>
      <c r="Q21"/>
      <c r="R21"/>
      <c r="S21"/>
      <c r="T21"/>
      <c r="U21"/>
      <c r="V21"/>
      <c r="W21"/>
      <c r="X21"/>
      <c r="Y21"/>
      <c r="Z21"/>
      <c r="AA21"/>
      <c r="AB21"/>
      <c r="AC21"/>
      <c r="AD21"/>
      <c r="AE21"/>
    </row>
    <row r="22" spans="1:31">
      <c r="C22" s="165"/>
      <c r="D22" s="175"/>
      <c r="E22"/>
      <c r="F22" s="124"/>
      <c r="G22" s="124"/>
      <c r="J22"/>
      <c r="K22"/>
      <c r="L22"/>
      <c r="M22"/>
      <c r="N22"/>
      <c r="O22"/>
      <c r="P22"/>
      <c r="Q22"/>
      <c r="R22"/>
      <c r="S22"/>
      <c r="T22"/>
      <c r="U22"/>
      <c r="V22"/>
      <c r="W22"/>
      <c r="X22"/>
      <c r="Y22"/>
      <c r="Z22"/>
      <c r="AA22"/>
      <c r="AB22"/>
      <c r="AC22"/>
      <c r="AD22"/>
      <c r="AE22"/>
    </row>
    <row r="23" spans="1:31">
      <c r="C23" s="124"/>
      <c r="D23"/>
      <c r="E23"/>
      <c r="F23" s="124"/>
      <c r="G23" s="124"/>
      <c r="J23"/>
      <c r="K23"/>
      <c r="L23"/>
      <c r="M23"/>
      <c r="N23"/>
      <c r="O23"/>
      <c r="P23"/>
      <c r="Q23"/>
      <c r="R23"/>
      <c r="S23"/>
      <c r="T23"/>
      <c r="U23"/>
      <c r="V23"/>
      <c r="W23"/>
      <c r="X23"/>
      <c r="Y23"/>
      <c r="Z23"/>
      <c r="AA23"/>
      <c r="AB23"/>
      <c r="AC23"/>
      <c r="AD23"/>
      <c r="AE23"/>
    </row>
    <row r="24" spans="1:31">
      <c r="A24"/>
      <c r="B24" s="674"/>
      <c r="C24"/>
      <c r="D24"/>
      <c r="E24"/>
      <c r="F24"/>
      <c r="G24"/>
      <c r="H24"/>
      <c r="J24"/>
      <c r="K24"/>
      <c r="L24"/>
      <c r="M24"/>
      <c r="N24"/>
      <c r="O24"/>
      <c r="P24"/>
      <c r="Q24"/>
      <c r="R24"/>
      <c r="S24"/>
      <c r="T24"/>
      <c r="U24"/>
      <c r="V24"/>
      <c r="W24"/>
      <c r="X24"/>
      <c r="Y24"/>
      <c r="Z24"/>
      <c r="AA24"/>
      <c r="AB24"/>
      <c r="AC24"/>
      <c r="AD24"/>
      <c r="AE24"/>
    </row>
    <row r="25" spans="1:31">
      <c r="A25"/>
      <c r="B25" s="674"/>
      <c r="C25"/>
      <c r="D25"/>
      <c r="E25"/>
      <c r="F25"/>
      <c r="G25"/>
      <c r="H25"/>
      <c r="J25"/>
      <c r="K25"/>
      <c r="L25"/>
      <c r="M25"/>
      <c r="N25"/>
      <c r="O25"/>
      <c r="P25"/>
      <c r="Q25"/>
      <c r="R25"/>
      <c r="S25"/>
      <c r="T25"/>
      <c r="U25"/>
      <c r="V25"/>
      <c r="W25"/>
      <c r="X25"/>
      <c r="Y25"/>
      <c r="Z25"/>
      <c r="AA25"/>
      <c r="AB25"/>
      <c r="AC25"/>
      <c r="AD25"/>
      <c r="AE25"/>
    </row>
    <row r="26" spans="1:31">
      <c r="A26"/>
      <c r="B26" s="674"/>
      <c r="C26"/>
      <c r="D26"/>
      <c r="E26"/>
      <c r="F26"/>
      <c r="G26"/>
      <c r="H26"/>
      <c r="J26"/>
      <c r="K26"/>
      <c r="L26"/>
      <c r="M26"/>
      <c r="N26"/>
      <c r="O26"/>
      <c r="P26"/>
      <c r="Q26"/>
      <c r="R26"/>
      <c r="S26"/>
      <c r="T26"/>
      <c r="U26"/>
      <c r="V26"/>
      <c r="W26"/>
      <c r="X26"/>
      <c r="Y26"/>
      <c r="Z26"/>
      <c r="AA26"/>
      <c r="AB26"/>
      <c r="AC26"/>
      <c r="AD26"/>
      <c r="AE26"/>
    </row>
    <row r="27" spans="1:31">
      <c r="A27"/>
      <c r="B27" s="674"/>
      <c r="C27"/>
      <c r="D27"/>
      <c r="E27"/>
      <c r="F27"/>
      <c r="G27"/>
      <c r="H27"/>
      <c r="I27"/>
      <c r="J27"/>
      <c r="K27"/>
      <c r="L27"/>
      <c r="M27"/>
      <c r="N27"/>
      <c r="O27"/>
      <c r="P27"/>
      <c r="Q27"/>
      <c r="R27"/>
      <c r="S27"/>
      <c r="T27"/>
      <c r="U27"/>
      <c r="V27"/>
      <c r="W27"/>
      <c r="X27"/>
      <c r="Y27"/>
      <c r="Z27"/>
      <c r="AA27"/>
      <c r="AB27"/>
      <c r="AC27"/>
      <c r="AD27"/>
      <c r="AE27"/>
    </row>
    <row r="28" spans="1:31">
      <c r="A28"/>
      <c r="B28" s="674"/>
      <c r="C28"/>
      <c r="D28"/>
      <c r="E28"/>
      <c r="F28"/>
      <c r="G28"/>
      <c r="H28"/>
      <c r="I28"/>
      <c r="J28"/>
      <c r="K28"/>
      <c r="L28"/>
      <c r="M28"/>
      <c r="N28"/>
      <c r="O28"/>
      <c r="P28"/>
      <c r="Q28"/>
      <c r="R28"/>
      <c r="S28"/>
      <c r="T28"/>
      <c r="U28"/>
      <c r="V28"/>
      <c r="W28"/>
      <c r="X28"/>
      <c r="Y28"/>
      <c r="Z28"/>
      <c r="AA28"/>
      <c r="AB28"/>
      <c r="AC28"/>
      <c r="AD28"/>
      <c r="AE28"/>
    </row>
    <row r="29" spans="1:31">
      <c r="A29"/>
      <c r="B29" s="674"/>
      <c r="C29"/>
      <c r="D29"/>
      <c r="E29"/>
      <c r="F29"/>
      <c r="G29"/>
      <c r="H29"/>
      <c r="I29"/>
      <c r="J29"/>
      <c r="K29"/>
      <c r="L29"/>
      <c r="M29"/>
      <c r="N29"/>
      <c r="O29"/>
      <c r="P29"/>
      <c r="Q29"/>
      <c r="R29"/>
      <c r="S29"/>
      <c r="T29"/>
      <c r="U29"/>
      <c r="V29"/>
      <c r="W29"/>
      <c r="X29"/>
      <c r="Y29"/>
      <c r="Z29"/>
      <c r="AA29"/>
      <c r="AB29"/>
      <c r="AC29"/>
      <c r="AD29"/>
      <c r="AE29"/>
    </row>
    <row r="30" spans="1:31">
      <c r="A30"/>
      <c r="B30" s="674"/>
      <c r="C30"/>
      <c r="D30"/>
      <c r="E30"/>
      <c r="F30"/>
      <c r="G30"/>
      <c r="H30"/>
      <c r="I30"/>
      <c r="J30"/>
      <c r="K30"/>
      <c r="L30"/>
      <c r="M30"/>
      <c r="N30"/>
      <c r="O30"/>
      <c r="P30"/>
      <c r="Q30"/>
      <c r="R30"/>
      <c r="S30"/>
      <c r="T30"/>
      <c r="U30"/>
      <c r="V30"/>
      <c r="W30"/>
      <c r="X30"/>
      <c r="Y30"/>
      <c r="Z30"/>
      <c r="AA30"/>
      <c r="AB30"/>
      <c r="AC30"/>
      <c r="AD30"/>
      <c r="AE30"/>
    </row>
    <row r="31" spans="1:31">
      <c r="A31"/>
      <c r="B31" s="674"/>
      <c r="C31"/>
      <c r="D31"/>
      <c r="E31"/>
      <c r="F31"/>
      <c r="G31"/>
      <c r="H31"/>
      <c r="I31"/>
      <c r="J31"/>
      <c r="K31"/>
      <c r="L31"/>
      <c r="M31"/>
      <c r="N31"/>
      <c r="O31"/>
      <c r="P31"/>
      <c r="Q31"/>
      <c r="R31"/>
      <c r="S31"/>
      <c r="T31"/>
      <c r="U31"/>
      <c r="V31"/>
      <c r="W31"/>
      <c r="X31"/>
      <c r="Y31"/>
      <c r="Z31"/>
      <c r="AA31"/>
      <c r="AB31"/>
      <c r="AC31"/>
      <c r="AD31"/>
      <c r="AE31"/>
    </row>
    <row r="32" spans="1:31">
      <c r="A32"/>
      <c r="B32" s="674"/>
      <c r="C32"/>
      <c r="D32"/>
      <c r="E32"/>
      <c r="F32"/>
      <c r="G32"/>
      <c r="H32"/>
      <c r="I32"/>
      <c r="J32"/>
      <c r="K32"/>
      <c r="L32"/>
      <c r="M32"/>
      <c r="N32"/>
      <c r="O32"/>
      <c r="P32"/>
      <c r="Q32"/>
      <c r="R32"/>
      <c r="S32"/>
      <c r="T32"/>
      <c r="U32"/>
      <c r="V32"/>
      <c r="W32"/>
      <c r="X32"/>
      <c r="Y32"/>
      <c r="Z32"/>
      <c r="AA32"/>
      <c r="AB32"/>
      <c r="AC32"/>
      <c r="AD32"/>
      <c r="AE32"/>
    </row>
    <row r="33" spans="1:11">
      <c r="A33"/>
      <c r="B33" s="674"/>
      <c r="C33"/>
      <c r="D33"/>
      <c r="E33"/>
      <c r="F33"/>
      <c r="G33"/>
      <c r="H33"/>
    </row>
    <row r="34" spans="1:11">
      <c r="A34"/>
      <c r="B34" s="674"/>
      <c r="C34"/>
      <c r="D34"/>
      <c r="E34"/>
      <c r="F34"/>
      <c r="G34"/>
      <c r="H34"/>
    </row>
    <row r="35" spans="1:11">
      <c r="A35"/>
      <c r="B35" s="674"/>
      <c r="C35"/>
      <c r="D35"/>
      <c r="E35"/>
      <c r="F35"/>
      <c r="G35"/>
      <c r="H35"/>
    </row>
    <row r="36" spans="1:11">
      <c r="A36"/>
      <c r="B36" s="674"/>
      <c r="C36"/>
      <c r="D36"/>
      <c r="E36"/>
      <c r="F36"/>
      <c r="G36"/>
      <c r="H36"/>
    </row>
    <row r="37" spans="1:11">
      <c r="A37"/>
      <c r="B37" s="674"/>
      <c r="C37"/>
      <c r="D37"/>
      <c r="E37"/>
      <c r="F37"/>
      <c r="G37"/>
      <c r="H37"/>
    </row>
    <row r="38" spans="1:11">
      <c r="A38"/>
      <c r="B38" s="674"/>
      <c r="C38"/>
      <c r="D38"/>
      <c r="E38"/>
      <c r="F38"/>
      <c r="G38"/>
      <c r="H38"/>
    </row>
    <row r="39" spans="1:11" ht="15">
      <c r="A39" s="160"/>
      <c r="B39" s="160"/>
      <c r="C39" s="150"/>
      <c r="D39" s="139"/>
      <c r="E39" s="138"/>
      <c r="F39" s="138"/>
      <c r="G39" s="138"/>
      <c r="H39" s="138"/>
      <c r="I39" s="138"/>
      <c r="J39" s="138"/>
    </row>
    <row r="45" spans="1:11">
      <c r="C45" s="124"/>
      <c r="D45" s="124"/>
      <c r="E45" s="124"/>
      <c r="F45" s="124"/>
      <c r="G45" s="124"/>
    </row>
    <row r="46" spans="1:11">
      <c r="A46" s="146"/>
      <c r="B46" s="146"/>
      <c r="C46" s="143"/>
      <c r="D46" s="143"/>
      <c r="E46" s="144"/>
      <c r="F46" s="144"/>
      <c r="G46" s="144"/>
      <c r="H46" s="143"/>
      <c r="I46" s="144"/>
      <c r="J46" s="144"/>
      <c r="K46" s="144"/>
    </row>
    <row r="47" spans="1:11">
      <c r="A47" s="127"/>
      <c r="B47" s="127"/>
      <c r="H47" s="127"/>
      <c r="I47" s="127"/>
      <c r="J47" s="127"/>
      <c r="K47" s="127"/>
    </row>
    <row r="48" spans="1:11">
      <c r="A48" s="148"/>
      <c r="B48" s="148"/>
      <c r="C48" s="148"/>
      <c r="D48" s="148"/>
      <c r="E48" s="148"/>
      <c r="F48" s="148"/>
      <c r="G48" s="148"/>
      <c r="H48" s="148"/>
      <c r="I48" s="148"/>
      <c r="J48" s="148"/>
      <c r="K48" s="148"/>
    </row>
    <row r="49" s="124" customFormat="1"/>
    <row r="50" s="124" customFormat="1"/>
  </sheetData>
  <phoneticPr fontId="6" type="noConversion"/>
  <pageMargins left="0.75" right="0.75" top="1" bottom="1" header="0.5" footer="0.5"/>
  <pageSetup paperSize="9"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2:AF68"/>
  <sheetViews>
    <sheetView zoomScale="125" zoomScaleNormal="125" zoomScalePageLayoutView="125" workbookViewId="0">
      <selection activeCell="E6" sqref="E6"/>
    </sheetView>
  </sheetViews>
  <sheetFormatPr baseColWidth="10" defaultColWidth="11.1640625" defaultRowHeight="13"/>
  <cols>
    <col min="2" max="2" width="14.5" customWidth="1"/>
    <col min="4" max="4" width="12.5" customWidth="1"/>
    <col min="12" max="12" width="12" customWidth="1"/>
  </cols>
  <sheetData>
    <row r="2" spans="2:32">
      <c r="J2" s="296"/>
    </row>
    <row r="3" spans="2:32" ht="15" thickBot="1">
      <c r="B3" s="211" t="s">
        <v>512</v>
      </c>
      <c r="C3" s="124"/>
      <c r="D3" s="124"/>
      <c r="E3" s="124"/>
      <c r="F3" s="124"/>
      <c r="G3" s="124"/>
      <c r="H3" s="124"/>
    </row>
    <row r="4" spans="2:32" ht="42" thickBot="1">
      <c r="B4" s="212"/>
      <c r="C4" s="213" t="s">
        <v>509</v>
      </c>
      <c r="D4" s="214" t="s">
        <v>580</v>
      </c>
      <c r="E4" s="215" t="s">
        <v>692</v>
      </c>
      <c r="H4" s="124"/>
    </row>
    <row r="5" spans="2:32" ht="16" thickBot="1">
      <c r="B5" s="216" t="s">
        <v>581</v>
      </c>
      <c r="C5" s="216" t="s">
        <v>690</v>
      </c>
      <c r="D5" s="328">
        <v>0</v>
      </c>
      <c r="E5" s="217">
        <v>0</v>
      </c>
      <c r="H5" s="118"/>
    </row>
    <row r="6" spans="2:32" ht="16" thickBot="1">
      <c r="B6" s="216" t="s">
        <v>498</v>
      </c>
      <c r="C6" s="216" t="s">
        <v>691</v>
      </c>
      <c r="D6" s="313"/>
      <c r="E6" s="328">
        <f>H19</f>
        <v>14.872000000000003</v>
      </c>
      <c r="H6" s="118"/>
    </row>
    <row r="7" spans="2:32" ht="16" thickBot="1">
      <c r="B7" s="218" t="s">
        <v>510</v>
      </c>
      <c r="C7" s="219"/>
      <c r="D7" s="219"/>
      <c r="E7" s="219"/>
      <c r="H7" s="124"/>
    </row>
    <row r="8" spans="2:32" ht="15" customHeight="1" thickTop="1">
      <c r="B8" s="293" t="s">
        <v>511</v>
      </c>
      <c r="C8" s="294"/>
      <c r="D8" s="312"/>
      <c r="E8" s="312"/>
      <c r="H8" s="124"/>
      <c r="K8" s="125"/>
      <c r="L8" s="161"/>
      <c r="M8" s="161"/>
      <c r="N8" s="161"/>
      <c r="O8" s="161"/>
      <c r="P8" s="161"/>
      <c r="Q8" s="161"/>
      <c r="R8" s="125"/>
      <c r="S8" s="161"/>
      <c r="T8" s="161"/>
      <c r="U8" s="125"/>
      <c r="V8" s="161"/>
    </row>
    <row r="9" spans="2:32" s="185" customFormat="1" ht="18" customHeight="1">
      <c r="B9" s="220"/>
      <c r="C9" s="220"/>
      <c r="D9" s="221"/>
      <c r="E9" s="221"/>
      <c r="F9" s="222"/>
      <c r="G9" s="296"/>
      <c r="H9" s="296"/>
      <c r="K9" s="187"/>
      <c r="L9" s="371"/>
      <c r="M9" s="371"/>
      <c r="N9" s="371"/>
      <c r="O9" s="371"/>
      <c r="P9" s="371"/>
      <c r="Q9" s="371"/>
      <c r="R9" s="187"/>
      <c r="S9" s="371"/>
      <c r="T9" s="371"/>
      <c r="U9" s="187"/>
      <c r="V9" s="371"/>
      <c r="W9" s="408"/>
      <c r="X9" s="408"/>
      <c r="Y9" s="408"/>
      <c r="Z9" s="408"/>
      <c r="AA9" s="408"/>
      <c r="AB9" s="408"/>
      <c r="AC9" s="408"/>
      <c r="AD9" s="408"/>
      <c r="AE9" s="408"/>
      <c r="AF9" s="408"/>
    </row>
    <row r="10" spans="2:32" s="191" customFormat="1">
      <c r="K10" s="187"/>
      <c r="L10" s="371"/>
      <c r="M10" s="371"/>
      <c r="N10" s="371"/>
      <c r="O10" s="371"/>
      <c r="P10" s="371"/>
      <c r="Q10" s="371"/>
      <c r="R10" s="371"/>
      <c r="S10" s="371"/>
      <c r="T10" s="371"/>
      <c r="U10" s="371"/>
      <c r="V10" s="371"/>
      <c r="W10" s="408"/>
      <c r="X10" s="408"/>
      <c r="Y10" s="408"/>
      <c r="Z10" s="408"/>
      <c r="AA10" s="408"/>
      <c r="AB10" s="408"/>
      <c r="AC10" s="408"/>
      <c r="AD10" s="408"/>
      <c r="AE10" s="408"/>
      <c r="AF10" s="408"/>
    </row>
    <row r="11" spans="2:32" s="185" customFormat="1">
      <c r="K11" s="187"/>
      <c r="L11" s="371"/>
      <c r="M11" s="371"/>
      <c r="N11" s="371"/>
      <c r="O11" s="371"/>
      <c r="P11" s="371"/>
      <c r="Q11" s="371"/>
      <c r="R11" s="371"/>
      <c r="S11" s="371"/>
      <c r="T11" s="371"/>
      <c r="U11" s="371"/>
      <c r="V11" s="371"/>
      <c r="W11" s="408"/>
      <c r="X11" s="408"/>
      <c r="Y11" s="408"/>
      <c r="Z11" s="408"/>
      <c r="AA11" s="408"/>
      <c r="AB11" s="408"/>
      <c r="AC11" s="408"/>
      <c r="AD11" s="408"/>
      <c r="AE11" s="408"/>
      <c r="AF11" s="408"/>
    </row>
    <row r="12" spans="2:32" s="88" customFormat="1" ht="14">
      <c r="B12" s="193" t="s">
        <v>500</v>
      </c>
      <c r="C12" s="193">
        <v>0.5</v>
      </c>
      <c r="D12" s="323" t="s">
        <v>693</v>
      </c>
      <c r="E12" s="314"/>
      <c r="F12" s="314"/>
      <c r="G12" s="314"/>
      <c r="H12" s="314"/>
      <c r="K12" s="187"/>
      <c r="L12" s="371"/>
      <c r="M12" s="371"/>
      <c r="N12" s="371"/>
      <c r="O12" s="371"/>
      <c r="P12" s="371"/>
      <c r="Q12" s="371"/>
      <c r="R12" s="371"/>
      <c r="S12" s="371"/>
      <c r="T12" s="371"/>
      <c r="U12" s="371"/>
      <c r="V12" s="371"/>
    </row>
    <row r="13" spans="2:32" s="88" customFormat="1" ht="14">
      <c r="B13" s="193" t="s">
        <v>501</v>
      </c>
      <c r="C13" s="193">
        <v>0.4</v>
      </c>
      <c r="D13" s="323" t="s">
        <v>693</v>
      </c>
      <c r="E13" s="314"/>
      <c r="F13" s="314"/>
      <c r="G13" s="314"/>
      <c r="H13" s="314"/>
      <c r="K13" s="187"/>
      <c r="L13" s="371"/>
      <c r="M13" s="371"/>
      <c r="N13" s="371"/>
      <c r="O13" s="371"/>
      <c r="P13" s="371"/>
      <c r="Q13" s="371"/>
      <c r="R13" s="371"/>
      <c r="S13" s="371"/>
      <c r="T13" s="371"/>
      <c r="U13" s="371"/>
      <c r="V13" s="371"/>
    </row>
    <row r="14" spans="2:32" ht="14">
      <c r="B14" s="193" t="s">
        <v>582</v>
      </c>
      <c r="C14" s="324">
        <f>44/12</f>
        <v>3.6666666666666665</v>
      </c>
      <c r="D14" s="323" t="s">
        <v>693</v>
      </c>
      <c r="E14" s="124"/>
      <c r="F14" s="124"/>
      <c r="G14" s="124"/>
      <c r="H14" s="124"/>
      <c r="K14" s="187"/>
      <c r="L14" s="371"/>
      <c r="M14" s="371"/>
      <c r="N14" s="371"/>
      <c r="O14" s="371"/>
      <c r="P14" s="371"/>
      <c r="Q14" s="371"/>
      <c r="R14" s="371"/>
      <c r="S14" s="371"/>
      <c r="T14" s="371"/>
      <c r="U14" s="371"/>
      <c r="V14" s="371"/>
      <c r="W14" s="408"/>
      <c r="X14" s="408"/>
      <c r="Y14" s="408"/>
      <c r="Z14" s="408"/>
      <c r="AA14" s="408"/>
      <c r="AB14" s="408"/>
      <c r="AC14" s="408"/>
      <c r="AD14" s="408"/>
      <c r="AE14" s="408"/>
      <c r="AF14" s="408"/>
    </row>
    <row r="15" spans="2:32" ht="14">
      <c r="B15" s="124"/>
      <c r="C15" s="124"/>
      <c r="D15" s="124"/>
      <c r="E15" s="124"/>
      <c r="F15" s="124"/>
      <c r="G15" s="124"/>
      <c r="H15" s="124"/>
      <c r="K15" s="187"/>
      <c r="L15" s="371"/>
      <c r="M15" s="371"/>
      <c r="N15" s="371"/>
      <c r="O15" s="371"/>
      <c r="P15" s="371"/>
      <c r="Q15" s="371"/>
      <c r="R15" s="371"/>
      <c r="S15" s="371"/>
      <c r="T15" s="371"/>
      <c r="U15" s="371"/>
      <c r="V15" s="371"/>
      <c r="W15" s="408"/>
      <c r="X15" s="408"/>
      <c r="Y15" s="408"/>
      <c r="Z15" s="408"/>
      <c r="AA15" s="408"/>
      <c r="AB15" s="408"/>
      <c r="AC15" s="408"/>
      <c r="AD15" s="408"/>
      <c r="AE15" s="408"/>
      <c r="AF15" s="408"/>
    </row>
    <row r="16" spans="2:32" ht="14">
      <c r="B16" s="121" t="s">
        <v>689</v>
      </c>
      <c r="C16" s="124"/>
      <c r="D16" s="124"/>
      <c r="E16" s="124"/>
      <c r="F16" s="124"/>
      <c r="G16" s="124"/>
      <c r="H16" s="124"/>
      <c r="K16" s="187"/>
      <c r="L16" s="371"/>
      <c r="M16" s="371"/>
      <c r="N16" s="371"/>
      <c r="O16" s="371"/>
      <c r="P16" s="371"/>
      <c r="Q16" s="371"/>
      <c r="R16" s="371"/>
      <c r="S16" s="371"/>
      <c r="T16" s="371"/>
      <c r="U16" s="371"/>
      <c r="V16" s="371"/>
      <c r="W16" s="408"/>
      <c r="X16" s="408"/>
      <c r="Y16" s="408"/>
      <c r="Z16" s="408"/>
      <c r="AA16" s="408"/>
      <c r="AB16" s="408"/>
      <c r="AC16" s="408"/>
      <c r="AD16" s="408"/>
      <c r="AE16" s="408"/>
      <c r="AF16" s="408"/>
    </row>
    <row r="17" spans="2:32" ht="14">
      <c r="B17" s="315"/>
      <c r="C17" s="315"/>
      <c r="D17" s="316" t="s">
        <v>686</v>
      </c>
      <c r="E17" s="316" t="s">
        <v>685</v>
      </c>
      <c r="F17" s="316" t="s">
        <v>684</v>
      </c>
      <c r="G17" s="315"/>
      <c r="H17" s="316" t="s">
        <v>688</v>
      </c>
      <c r="K17" s="187"/>
      <c r="L17" s="371"/>
      <c r="M17" s="371"/>
      <c r="N17" s="371"/>
      <c r="O17" s="371"/>
      <c r="P17" s="371"/>
      <c r="Q17" s="371"/>
      <c r="R17" s="371"/>
      <c r="S17" s="371"/>
      <c r="T17" s="371"/>
      <c r="U17" s="371"/>
      <c r="V17" s="371"/>
      <c r="W17" s="408"/>
      <c r="X17" s="408"/>
      <c r="Y17" s="408"/>
      <c r="Z17" s="408"/>
      <c r="AA17" s="408"/>
      <c r="AB17" s="408"/>
      <c r="AC17" s="408"/>
      <c r="AD17" s="408"/>
      <c r="AE17" s="408"/>
      <c r="AF17" s="408"/>
    </row>
    <row r="18" spans="2:32" ht="14">
      <c r="B18" s="317" t="s">
        <v>497</v>
      </c>
      <c r="C18" s="317" t="s">
        <v>674</v>
      </c>
      <c r="D18" s="318" t="s">
        <v>670</v>
      </c>
      <c r="E18" s="318" t="s">
        <v>671</v>
      </c>
      <c r="F18" s="318" t="s">
        <v>673</v>
      </c>
      <c r="G18" s="318" t="s">
        <v>687</v>
      </c>
      <c r="H18" s="318" t="s">
        <v>673</v>
      </c>
      <c r="K18" s="187"/>
      <c r="L18" s="371"/>
      <c r="M18" s="371"/>
      <c r="N18" s="371"/>
      <c r="O18" s="371"/>
      <c r="P18" s="371"/>
      <c r="Q18" s="371"/>
      <c r="R18" s="371"/>
      <c r="S18" s="371"/>
      <c r="T18" s="371"/>
      <c r="U18" s="371"/>
      <c r="V18" s="371"/>
      <c r="W18" s="408"/>
      <c r="X18" s="408"/>
      <c r="Y18" s="408"/>
      <c r="Z18" s="408"/>
      <c r="AA18" s="408"/>
      <c r="AB18" s="408"/>
      <c r="AC18" s="408"/>
      <c r="AD18" s="408"/>
      <c r="AE18" s="408"/>
      <c r="AF18" s="408"/>
    </row>
    <row r="19" spans="2:32" ht="14">
      <c r="B19" s="325" t="s">
        <v>672</v>
      </c>
      <c r="C19" s="325" t="s">
        <v>675</v>
      </c>
      <c r="D19" s="326">
        <v>3</v>
      </c>
      <c r="E19" s="326">
        <f>D19*0.4</f>
        <v>1.2000000000000002</v>
      </c>
      <c r="F19" s="326">
        <f t="shared" ref="F19:F24" si="0">E19*44/12</f>
        <v>4.4000000000000012</v>
      </c>
      <c r="G19" s="326">
        <f>0.35*$G$24+0.65*$G$23</f>
        <v>2.38</v>
      </c>
      <c r="H19" s="327">
        <f>F19*(1+G19)</f>
        <v>14.872000000000003</v>
      </c>
      <c r="K19" s="187"/>
      <c r="L19" s="371"/>
      <c r="M19" s="371"/>
      <c r="N19" s="371"/>
      <c r="O19" s="371"/>
      <c r="P19" s="371"/>
      <c r="Q19" s="371"/>
      <c r="R19" s="371"/>
      <c r="S19" s="371"/>
      <c r="T19" s="371"/>
      <c r="U19" s="371"/>
      <c r="V19" s="371"/>
      <c r="W19" s="408"/>
      <c r="X19" s="408"/>
      <c r="Y19" s="408"/>
      <c r="Z19" s="408"/>
      <c r="AA19" s="408"/>
      <c r="AB19" s="408"/>
      <c r="AC19" s="408"/>
      <c r="AD19" s="408"/>
      <c r="AE19" s="408"/>
      <c r="AF19" s="408"/>
    </row>
    <row r="20" spans="2:32" ht="14">
      <c r="B20" s="319" t="s">
        <v>678</v>
      </c>
      <c r="C20" s="319" t="s">
        <v>676</v>
      </c>
      <c r="D20" s="197">
        <v>6</v>
      </c>
      <c r="E20" s="197">
        <f>D20*0.4</f>
        <v>2.4000000000000004</v>
      </c>
      <c r="F20" s="197">
        <f t="shared" si="0"/>
        <v>8.8000000000000025</v>
      </c>
      <c r="G20" s="197">
        <f t="shared" ref="G20:G22" si="1">0.35*$G$24+0.65*$G$23</f>
        <v>2.38</v>
      </c>
      <c r="H20" s="198">
        <f t="shared" ref="H20:H25" si="2">F20*(1+G20)</f>
        <v>29.744000000000007</v>
      </c>
      <c r="J20" s="185"/>
      <c r="K20" s="408"/>
      <c r="L20" s="408"/>
      <c r="M20" s="408"/>
      <c r="N20" s="408"/>
      <c r="O20" s="408"/>
      <c r="P20" s="408"/>
      <c r="Q20" s="408"/>
      <c r="R20" s="408"/>
      <c r="S20" s="408"/>
      <c r="T20" s="408"/>
      <c r="U20" s="408"/>
      <c r="V20" s="408"/>
      <c r="W20" s="408"/>
      <c r="X20" s="408"/>
      <c r="Y20" s="408"/>
      <c r="Z20" s="408"/>
      <c r="AA20" s="408"/>
      <c r="AB20" s="408"/>
      <c r="AC20" s="408"/>
      <c r="AD20" s="408"/>
      <c r="AE20" s="408"/>
      <c r="AF20" s="408"/>
    </row>
    <row r="21" spans="2:32" ht="14">
      <c r="B21" s="319" t="s">
        <v>679</v>
      </c>
      <c r="C21" s="319" t="s">
        <v>677</v>
      </c>
      <c r="D21" s="197">
        <f>E21*2</f>
        <v>6.2</v>
      </c>
      <c r="E21" s="197">
        <v>3.1</v>
      </c>
      <c r="F21" s="198">
        <f t="shared" si="0"/>
        <v>11.366666666666667</v>
      </c>
      <c r="G21" s="197">
        <f t="shared" si="1"/>
        <v>2.38</v>
      </c>
      <c r="H21" s="198">
        <f t="shared" si="2"/>
        <v>38.419333333333334</v>
      </c>
      <c r="J21" s="185"/>
      <c r="K21" s="187"/>
      <c r="L21" s="371"/>
      <c r="M21" s="371"/>
      <c r="N21" s="371"/>
      <c r="O21" s="371"/>
      <c r="P21" s="371"/>
      <c r="Q21" s="371"/>
      <c r="R21" s="187"/>
      <c r="S21" s="371"/>
      <c r="T21" s="371"/>
      <c r="U21" s="187"/>
      <c r="V21" s="371"/>
      <c r="W21" s="408"/>
      <c r="X21" s="408"/>
      <c r="Y21" s="408"/>
      <c r="Z21" s="408"/>
      <c r="AA21" s="408"/>
      <c r="AB21" s="408"/>
      <c r="AC21" s="408"/>
      <c r="AD21" s="408"/>
      <c r="AE21" s="408"/>
      <c r="AF21" s="408"/>
    </row>
    <row r="22" spans="2:32" ht="14">
      <c r="B22" s="319" t="s">
        <v>679</v>
      </c>
      <c r="C22" s="319" t="s">
        <v>677</v>
      </c>
      <c r="D22" s="197">
        <f>E22*2</f>
        <v>26</v>
      </c>
      <c r="E22" s="197">
        <v>13</v>
      </c>
      <c r="F22" s="198">
        <f t="shared" si="0"/>
        <v>47.666666666666664</v>
      </c>
      <c r="G22" s="197">
        <f t="shared" si="1"/>
        <v>2.38</v>
      </c>
      <c r="H22" s="198">
        <f t="shared" si="2"/>
        <v>161.11333333333332</v>
      </c>
      <c r="J22" s="185"/>
      <c r="K22" s="409"/>
      <c r="L22" s="371"/>
      <c r="M22" s="371"/>
      <c r="N22" s="371"/>
      <c r="O22" s="371"/>
      <c r="P22" s="371"/>
      <c r="Q22" s="371"/>
      <c r="R22" s="187"/>
      <c r="S22" s="371"/>
      <c r="T22" s="371"/>
      <c r="U22" s="187"/>
      <c r="V22" s="371"/>
      <c r="W22" s="408"/>
      <c r="X22" s="408"/>
      <c r="Y22" s="408"/>
      <c r="Z22" s="408"/>
      <c r="AA22" s="408"/>
      <c r="AB22" s="408"/>
      <c r="AC22" s="408"/>
      <c r="AD22" s="408"/>
      <c r="AE22" s="408"/>
      <c r="AF22" s="408"/>
    </row>
    <row r="23" spans="2:32" ht="14">
      <c r="B23" s="319" t="s">
        <v>680</v>
      </c>
      <c r="C23" s="319" t="s">
        <v>683</v>
      </c>
      <c r="D23" s="197">
        <v>2.2999999999999998</v>
      </c>
      <c r="E23" s="198">
        <f>D23*0.4</f>
        <v>0.91999999999999993</v>
      </c>
      <c r="F23" s="198">
        <f t="shared" si="0"/>
        <v>3.3733333333333331</v>
      </c>
      <c r="G23" s="197">
        <v>2.8</v>
      </c>
      <c r="H23" s="198">
        <f t="shared" si="2"/>
        <v>12.818666666666665</v>
      </c>
      <c r="J23" s="185"/>
      <c r="K23" s="409"/>
      <c r="L23" s="371"/>
      <c r="M23" s="371"/>
      <c r="N23" s="371"/>
      <c r="O23" s="371"/>
      <c r="P23" s="371"/>
      <c r="Q23" s="371"/>
      <c r="R23" s="187"/>
      <c r="S23" s="412"/>
      <c r="T23" s="412"/>
      <c r="U23" s="412"/>
      <c r="V23" s="412"/>
      <c r="W23" s="408"/>
      <c r="X23" s="408"/>
      <c r="Y23" s="408"/>
      <c r="Z23" s="408"/>
      <c r="AA23" s="408"/>
      <c r="AB23" s="408"/>
      <c r="AC23" s="408"/>
      <c r="AD23" s="408"/>
      <c r="AE23" s="408"/>
      <c r="AF23" s="408"/>
    </row>
    <row r="24" spans="2:32" ht="14">
      <c r="B24" s="319" t="s">
        <v>682</v>
      </c>
      <c r="C24" s="319" t="s">
        <v>683</v>
      </c>
      <c r="D24" s="197">
        <v>6.2</v>
      </c>
      <c r="E24" s="198">
        <f t="shared" ref="E24:E25" si="3">D24*0.4</f>
        <v>2.4800000000000004</v>
      </c>
      <c r="F24" s="198">
        <f t="shared" si="0"/>
        <v>9.0933333333333355</v>
      </c>
      <c r="G24" s="197">
        <v>1.6</v>
      </c>
      <c r="H24" s="198">
        <f t="shared" si="2"/>
        <v>23.642666666666674</v>
      </c>
      <c r="J24" s="185"/>
      <c r="K24" s="409"/>
      <c r="L24" s="371"/>
      <c r="M24" s="847"/>
      <c r="N24" s="847"/>
      <c r="O24" s="847"/>
      <c r="P24" s="847"/>
      <c r="Q24" s="847"/>
      <c r="R24" s="847"/>
      <c r="S24" s="847"/>
      <c r="T24" s="847"/>
      <c r="U24" s="847"/>
      <c r="V24" s="847"/>
      <c r="W24" s="408"/>
      <c r="X24" s="408"/>
      <c r="Y24" s="408"/>
      <c r="Z24" s="408"/>
      <c r="AA24" s="408"/>
      <c r="AB24" s="408"/>
      <c r="AC24" s="408"/>
      <c r="AD24" s="408"/>
      <c r="AE24" s="408"/>
      <c r="AF24" s="408"/>
    </row>
    <row r="25" spans="2:32" ht="14">
      <c r="B25" s="320" t="s">
        <v>681</v>
      </c>
      <c r="C25" s="320" t="s">
        <v>683</v>
      </c>
      <c r="D25" s="321">
        <f>0.35*D24+0.65*D23</f>
        <v>3.665</v>
      </c>
      <c r="E25" s="321">
        <f t="shared" si="3"/>
        <v>1.4660000000000002</v>
      </c>
      <c r="F25" s="321">
        <f t="shared" ref="F25:G25" si="4">0.35*F24+0.65*F23</f>
        <v>5.3753333333333337</v>
      </c>
      <c r="G25" s="322">
        <f t="shared" si="4"/>
        <v>2.38</v>
      </c>
      <c r="H25" s="321">
        <f t="shared" si="2"/>
        <v>18.168626666666668</v>
      </c>
      <c r="J25" s="185"/>
      <c r="K25" s="187"/>
      <c r="L25" s="371"/>
      <c r="M25" s="371"/>
      <c r="N25" s="371"/>
      <c r="O25" s="371"/>
      <c r="P25" s="371"/>
      <c r="Q25" s="371"/>
      <c r="R25" s="371"/>
      <c r="S25" s="371"/>
      <c r="T25" s="371"/>
      <c r="U25" s="371"/>
      <c r="V25" s="371"/>
      <c r="W25" s="408"/>
      <c r="X25" s="408"/>
      <c r="Y25" s="408"/>
      <c r="Z25" s="408"/>
      <c r="AA25" s="408"/>
      <c r="AB25" s="408"/>
      <c r="AC25" s="408"/>
      <c r="AD25" s="408"/>
      <c r="AE25" s="408"/>
      <c r="AF25" s="408"/>
    </row>
    <row r="26" spans="2:32" s="296" customFormat="1" ht="15">
      <c r="B26" s="319"/>
      <c r="C26" s="319"/>
      <c r="D26" s="198"/>
      <c r="E26" s="198"/>
      <c r="F26" s="198"/>
      <c r="G26" s="199"/>
      <c r="H26" s="198"/>
      <c r="K26" s="187"/>
      <c r="L26" s="410"/>
      <c r="M26" s="410"/>
      <c r="N26" s="410"/>
      <c r="O26" s="410"/>
      <c r="P26" s="410"/>
      <c r="Q26" s="410"/>
      <c r="R26" s="410"/>
      <c r="S26" s="410"/>
      <c r="T26" s="410"/>
      <c r="U26" s="410"/>
      <c r="V26" s="410"/>
      <c r="W26" s="408"/>
      <c r="X26" s="408"/>
      <c r="Y26" s="408"/>
      <c r="Z26" s="408"/>
      <c r="AA26" s="408"/>
      <c r="AB26" s="408"/>
      <c r="AC26" s="408"/>
      <c r="AD26" s="408"/>
      <c r="AE26" s="408"/>
      <c r="AF26" s="408"/>
    </row>
    <row r="27" spans="2:32" s="296" customFormat="1" ht="16">
      <c r="B27" s="388" t="s">
        <v>739</v>
      </c>
      <c r="C27" s="377"/>
      <c r="D27" s="378"/>
      <c r="E27" s="378"/>
      <c r="F27" s="378"/>
      <c r="G27" s="379"/>
      <c r="H27" s="378"/>
      <c r="K27" s="411"/>
      <c r="L27" s="413"/>
      <c r="M27" s="413"/>
      <c r="N27" s="413"/>
      <c r="O27" s="413"/>
      <c r="P27" s="413"/>
      <c r="Q27" s="413"/>
      <c r="R27" s="413"/>
      <c r="S27" s="413"/>
      <c r="T27" s="413"/>
      <c r="U27" s="413"/>
      <c r="V27" s="413"/>
      <c r="W27" s="408"/>
      <c r="X27" s="408"/>
      <c r="Y27" s="408"/>
      <c r="Z27" s="408"/>
      <c r="AA27" s="408"/>
      <c r="AB27" s="408"/>
      <c r="AC27" s="408"/>
      <c r="AD27" s="408"/>
      <c r="AE27" s="408"/>
      <c r="AF27" s="408"/>
    </row>
    <row r="28" spans="2:32" s="296" customFormat="1" ht="15">
      <c r="B28" s="389" t="s">
        <v>733</v>
      </c>
      <c r="C28" s="390"/>
      <c r="D28" s="390"/>
      <c r="E28" s="390"/>
      <c r="F28" s="390"/>
      <c r="G28" s="390"/>
      <c r="H28" s="390"/>
      <c r="K28" s="187"/>
      <c r="L28" s="414"/>
      <c r="M28" s="414"/>
      <c r="N28" s="414"/>
      <c r="O28" s="414"/>
      <c r="P28" s="414"/>
      <c r="Q28" s="414"/>
      <c r="R28" s="414"/>
      <c r="S28" s="414"/>
      <c r="T28" s="414"/>
      <c r="U28" s="414"/>
      <c r="V28" s="414"/>
      <c r="W28" s="408"/>
      <c r="X28" s="408"/>
      <c r="Y28" s="408"/>
      <c r="Z28" s="408"/>
      <c r="AA28" s="408"/>
      <c r="AB28" s="408"/>
      <c r="AC28" s="408"/>
      <c r="AD28" s="408"/>
      <c r="AE28" s="408"/>
      <c r="AF28" s="408"/>
    </row>
    <row r="29" spans="2:32" s="296" customFormat="1" ht="15">
      <c r="B29" s="391"/>
      <c r="C29" s="391"/>
      <c r="D29" s="392" t="s">
        <v>686</v>
      </c>
      <c r="E29" s="392" t="s">
        <v>685</v>
      </c>
      <c r="F29" s="392" t="s">
        <v>684</v>
      </c>
      <c r="G29" s="391"/>
      <c r="H29" s="392" t="s">
        <v>688</v>
      </c>
      <c r="K29" s="187"/>
      <c r="L29" s="414"/>
      <c r="M29" s="414"/>
      <c r="N29" s="414"/>
      <c r="O29" s="414"/>
      <c r="P29" s="414"/>
      <c r="Q29" s="414"/>
      <c r="R29" s="414"/>
      <c r="S29" s="414"/>
      <c r="T29" s="414"/>
      <c r="U29" s="414"/>
      <c r="V29" s="414"/>
      <c r="W29" s="408"/>
      <c r="X29" s="408"/>
      <c r="Y29" s="408"/>
      <c r="Z29" s="408"/>
      <c r="AA29" s="408"/>
      <c r="AB29" s="408"/>
      <c r="AC29" s="408"/>
      <c r="AD29" s="408"/>
      <c r="AE29" s="408"/>
      <c r="AF29" s="408"/>
    </row>
    <row r="30" spans="2:32" s="296" customFormat="1" ht="15">
      <c r="B30" s="393" t="s">
        <v>497</v>
      </c>
      <c r="C30" s="393" t="s">
        <v>674</v>
      </c>
      <c r="D30" s="394" t="s">
        <v>670</v>
      </c>
      <c r="E30" s="394" t="s">
        <v>671</v>
      </c>
      <c r="F30" s="394" t="s">
        <v>673</v>
      </c>
      <c r="G30" s="394" t="s">
        <v>687</v>
      </c>
      <c r="H30" s="394" t="s">
        <v>673</v>
      </c>
      <c r="K30" s="187"/>
      <c r="L30" s="414"/>
      <c r="M30" s="414"/>
      <c r="N30" s="414"/>
      <c r="O30" s="414"/>
      <c r="P30" s="414"/>
      <c r="Q30" s="414"/>
      <c r="R30" s="414"/>
      <c r="S30" s="414"/>
      <c r="T30" s="414"/>
      <c r="U30" s="414"/>
      <c r="V30" s="414"/>
      <c r="W30" s="408"/>
      <c r="X30" s="408"/>
      <c r="Y30" s="408"/>
      <c r="Z30" s="408"/>
      <c r="AA30" s="408"/>
      <c r="AB30" s="408"/>
      <c r="AC30" s="408"/>
      <c r="AD30" s="408"/>
      <c r="AE30" s="408"/>
      <c r="AF30" s="408"/>
    </row>
    <row r="31" spans="2:32" s="296" customFormat="1" ht="15">
      <c r="B31" s="395" t="s">
        <v>672</v>
      </c>
      <c r="C31" s="396" t="s">
        <v>675</v>
      </c>
      <c r="D31" s="397">
        <v>70</v>
      </c>
      <c r="E31" s="398">
        <f>D31*0.5</f>
        <v>35</v>
      </c>
      <c r="F31" s="397">
        <f>E31*44/12</f>
        <v>128.33333333333334</v>
      </c>
      <c r="G31" s="398">
        <v>0</v>
      </c>
      <c r="H31" s="397">
        <f t="shared" ref="H31" si="5">F31*(1+G31)</f>
        <v>128.33333333333334</v>
      </c>
      <c r="J31" s="116"/>
      <c r="K31" s="187"/>
      <c r="L31" s="414"/>
      <c r="M31" s="414"/>
      <c r="N31" s="414"/>
      <c r="O31" s="414"/>
      <c r="P31" s="414"/>
      <c r="Q31" s="414"/>
      <c r="R31" s="414"/>
      <c r="S31" s="414"/>
      <c r="T31" s="414"/>
      <c r="U31" s="414"/>
      <c r="V31" s="414"/>
      <c r="W31" s="408"/>
      <c r="X31" s="408"/>
      <c r="Y31" s="408"/>
      <c r="Z31" s="408"/>
      <c r="AA31" s="408"/>
      <c r="AB31" s="408"/>
      <c r="AC31" s="408"/>
      <c r="AD31" s="408"/>
      <c r="AE31" s="408"/>
      <c r="AF31" s="408"/>
    </row>
    <row r="32" spans="2:32" s="296" customFormat="1" ht="15">
      <c r="B32" s="396" t="s">
        <v>680</v>
      </c>
      <c r="C32" s="396" t="s">
        <v>683</v>
      </c>
      <c r="D32" s="397">
        <v>22.5</v>
      </c>
      <c r="E32" s="398">
        <f t="shared" ref="E32:E33" si="6">D32*0.5</f>
        <v>11.25</v>
      </c>
      <c r="F32" s="397">
        <f t="shared" ref="F32:F33" si="7">E32*44/12</f>
        <v>41.25</v>
      </c>
      <c r="G32" s="398">
        <v>0</v>
      </c>
      <c r="H32" s="397">
        <f t="shared" ref="H32:H33" si="8">F32*(1+G32)</f>
        <v>41.25</v>
      </c>
      <c r="K32" s="187"/>
      <c r="L32" s="414"/>
      <c r="M32" s="414"/>
      <c r="N32" s="414"/>
      <c r="O32" s="414"/>
      <c r="P32" s="414"/>
      <c r="Q32" s="414"/>
      <c r="R32" s="414"/>
      <c r="S32" s="414"/>
      <c r="T32" s="414"/>
      <c r="U32" s="414"/>
      <c r="V32" s="414"/>
      <c r="W32" s="408"/>
      <c r="X32" s="408"/>
      <c r="Y32" s="408"/>
      <c r="Z32" s="408"/>
      <c r="AA32" s="408"/>
      <c r="AB32" s="408"/>
      <c r="AC32" s="408"/>
      <c r="AD32" s="408"/>
      <c r="AE32" s="408"/>
      <c r="AF32" s="408"/>
    </row>
    <row r="33" spans="1:32" ht="15" customHeight="1">
      <c r="B33" s="396" t="s">
        <v>682</v>
      </c>
      <c r="C33" s="396" t="s">
        <v>683</v>
      </c>
      <c r="D33" s="397">
        <v>52.5</v>
      </c>
      <c r="E33" s="398">
        <f t="shared" si="6"/>
        <v>26.25</v>
      </c>
      <c r="F33" s="397">
        <f t="shared" si="7"/>
        <v>96.25</v>
      </c>
      <c r="G33" s="398">
        <v>0</v>
      </c>
      <c r="H33" s="397">
        <f t="shared" si="8"/>
        <v>96.25</v>
      </c>
      <c r="K33" s="187"/>
      <c r="L33" s="414"/>
      <c r="M33" s="414"/>
      <c r="N33" s="414"/>
      <c r="O33" s="414"/>
      <c r="P33" s="414"/>
      <c r="Q33" s="414"/>
      <c r="R33" s="414"/>
      <c r="S33" s="414"/>
      <c r="T33" s="414"/>
      <c r="U33" s="414"/>
      <c r="V33" s="414"/>
      <c r="W33" s="408"/>
      <c r="X33" s="408"/>
      <c r="Y33" s="408"/>
      <c r="Z33" s="408"/>
      <c r="AA33" s="408"/>
      <c r="AB33" s="408"/>
      <c r="AC33" s="408"/>
      <c r="AD33" s="408"/>
      <c r="AE33" s="408"/>
      <c r="AF33" s="408"/>
    </row>
    <row r="34" spans="1:32" ht="15">
      <c r="B34" s="399" t="s">
        <v>681</v>
      </c>
      <c r="C34" s="399" t="s">
        <v>683</v>
      </c>
      <c r="D34" s="400">
        <f>0.93*D32+0.07*D33</f>
        <v>24.6</v>
      </c>
      <c r="E34" s="400">
        <f t="shared" ref="E34:H34" si="9">0.93*E32+0.07*E33</f>
        <v>12.3</v>
      </c>
      <c r="F34" s="400">
        <f t="shared" si="9"/>
        <v>45.100000000000009</v>
      </c>
      <c r="G34" s="400">
        <v>0</v>
      </c>
      <c r="H34" s="400">
        <f t="shared" si="9"/>
        <v>45.100000000000009</v>
      </c>
      <c r="K34" s="187"/>
      <c r="L34" s="414"/>
      <c r="M34" s="414"/>
      <c r="N34" s="414"/>
      <c r="O34" s="414"/>
      <c r="P34" s="414"/>
      <c r="Q34" s="414"/>
      <c r="R34" s="414"/>
      <c r="S34" s="414"/>
      <c r="T34" s="414"/>
      <c r="U34" s="414"/>
      <c r="V34" s="414"/>
      <c r="W34" s="408"/>
      <c r="X34" s="408"/>
      <c r="Y34" s="408"/>
      <c r="Z34" s="408"/>
      <c r="AA34" s="408"/>
      <c r="AB34" s="408"/>
      <c r="AC34" s="408"/>
      <c r="AD34" s="408"/>
      <c r="AE34" s="408"/>
      <c r="AF34" s="408"/>
    </row>
    <row r="35" spans="1:32" ht="15">
      <c r="A35" s="846"/>
      <c r="B35" s="401" t="s">
        <v>704</v>
      </c>
      <c r="C35" s="402"/>
      <c r="D35" s="403">
        <f>D34*4.98%</f>
        <v>1.2250800000000002</v>
      </c>
      <c r="E35" s="403">
        <f t="shared" ref="E35:H35" si="10">E34*4.98%</f>
        <v>0.61254000000000008</v>
      </c>
      <c r="F35" s="403">
        <f t="shared" si="10"/>
        <v>2.2459800000000008</v>
      </c>
      <c r="G35" s="403">
        <f t="shared" si="10"/>
        <v>0</v>
      </c>
      <c r="H35" s="403">
        <f t="shared" si="10"/>
        <v>2.2459800000000008</v>
      </c>
      <c r="K35" s="187"/>
      <c r="L35" s="414"/>
      <c r="M35" s="414"/>
      <c r="N35" s="414"/>
      <c r="O35" s="414"/>
      <c r="P35" s="414"/>
      <c r="Q35" s="414"/>
      <c r="R35" s="414"/>
      <c r="S35" s="414"/>
      <c r="T35" s="414"/>
      <c r="U35" s="414"/>
      <c r="V35" s="414"/>
      <c r="W35" s="408"/>
      <c r="X35" s="408"/>
      <c r="Y35" s="408"/>
      <c r="Z35" s="408"/>
      <c r="AA35" s="408"/>
      <c r="AB35" s="408"/>
      <c r="AC35" s="408"/>
      <c r="AD35" s="408"/>
      <c r="AE35" s="408"/>
      <c r="AF35" s="408"/>
    </row>
    <row r="36" spans="1:32" s="296" customFormat="1" ht="15">
      <c r="A36" s="846"/>
      <c r="B36" s="404"/>
      <c r="C36" s="405"/>
      <c r="D36" s="405"/>
      <c r="E36" s="405"/>
      <c r="F36" s="405"/>
      <c r="G36" s="405"/>
      <c r="H36" s="405"/>
      <c r="K36" s="187"/>
      <c r="L36" s="414"/>
      <c r="M36" s="414"/>
      <c r="N36" s="414"/>
      <c r="O36" s="414"/>
      <c r="P36" s="414"/>
      <c r="Q36" s="414"/>
      <c r="R36" s="414"/>
      <c r="S36" s="414"/>
      <c r="T36" s="414"/>
      <c r="U36" s="414"/>
      <c r="V36" s="414"/>
      <c r="W36" s="408"/>
      <c r="X36" s="408"/>
      <c r="Y36" s="408"/>
      <c r="Z36" s="408"/>
      <c r="AA36" s="408"/>
      <c r="AB36" s="408"/>
      <c r="AC36" s="408"/>
      <c r="AD36" s="408"/>
      <c r="AE36" s="408"/>
      <c r="AF36" s="408"/>
    </row>
    <row r="37" spans="1:32" ht="15">
      <c r="B37" s="406"/>
      <c r="C37" s="406"/>
      <c r="D37" s="406"/>
      <c r="E37" s="406"/>
      <c r="F37" s="406"/>
      <c r="G37" s="406"/>
      <c r="H37" s="406"/>
      <c r="K37" s="187"/>
      <c r="L37" s="414"/>
      <c r="M37" s="414"/>
      <c r="N37" s="414"/>
      <c r="O37" s="414"/>
      <c r="P37" s="414"/>
      <c r="Q37" s="414"/>
      <c r="R37" s="414"/>
      <c r="S37" s="414"/>
      <c r="T37" s="414"/>
      <c r="U37" s="414"/>
      <c r="V37" s="414"/>
      <c r="W37" s="408"/>
      <c r="X37" s="408"/>
      <c r="Y37" s="408"/>
      <c r="Z37" s="408"/>
      <c r="AA37" s="408"/>
      <c r="AB37" s="408"/>
      <c r="AC37" s="408"/>
      <c r="AD37" s="408"/>
      <c r="AE37" s="408"/>
      <c r="AF37" s="408"/>
    </row>
    <row r="38" spans="1:32">
      <c r="B38" s="406"/>
      <c r="C38" s="406"/>
      <c r="D38" s="406"/>
      <c r="E38" s="406"/>
      <c r="F38" s="406"/>
      <c r="G38" s="406"/>
      <c r="H38" s="406"/>
      <c r="K38" s="408"/>
      <c r="L38" s="408"/>
      <c r="M38" s="408"/>
      <c r="N38" s="408"/>
      <c r="O38" s="408"/>
      <c r="P38" s="408"/>
      <c r="Q38" s="408"/>
      <c r="R38" s="408"/>
      <c r="S38" s="408"/>
      <c r="T38" s="408"/>
      <c r="U38" s="408"/>
      <c r="V38" s="408"/>
      <c r="W38" s="408"/>
      <c r="X38" s="408"/>
      <c r="Y38" s="408"/>
      <c r="Z38" s="408"/>
      <c r="AA38" s="408"/>
      <c r="AB38" s="408"/>
      <c r="AC38" s="408"/>
      <c r="AD38" s="408"/>
      <c r="AE38" s="408"/>
      <c r="AF38" s="408"/>
    </row>
    <row r="39" spans="1:32" ht="14">
      <c r="B39" s="407" t="s">
        <v>732</v>
      </c>
      <c r="C39" s="406"/>
      <c r="D39" s="406"/>
      <c r="E39" s="406"/>
      <c r="F39" s="406"/>
      <c r="G39" s="406"/>
      <c r="H39" s="406"/>
      <c r="K39" s="408"/>
      <c r="L39" s="408"/>
      <c r="M39" s="408"/>
      <c r="N39" s="408"/>
      <c r="O39" s="408"/>
      <c r="P39" s="408"/>
      <c r="Q39" s="408"/>
      <c r="R39" s="408"/>
      <c r="S39" s="408"/>
      <c r="T39" s="408"/>
      <c r="U39" s="408"/>
      <c r="V39" s="408"/>
      <c r="W39" s="408"/>
      <c r="X39" s="408"/>
      <c r="Y39" s="408"/>
      <c r="Z39" s="408"/>
      <c r="AA39" s="408"/>
      <c r="AB39" s="408"/>
      <c r="AC39" s="408"/>
      <c r="AD39" s="408"/>
      <c r="AE39" s="408"/>
      <c r="AF39" s="408"/>
    </row>
    <row r="40" spans="1:32">
      <c r="B40" s="406"/>
      <c r="C40" s="406"/>
      <c r="D40" s="406"/>
      <c r="E40" s="406"/>
      <c r="F40" s="406"/>
      <c r="G40" s="406"/>
      <c r="H40" s="406"/>
      <c r="K40" s="408"/>
      <c r="L40" s="408"/>
      <c r="M40" s="408"/>
      <c r="N40" s="408"/>
      <c r="O40" s="408"/>
      <c r="P40" s="408"/>
      <c r="Q40" s="408"/>
      <c r="R40" s="408"/>
      <c r="S40" s="408"/>
      <c r="T40" s="408"/>
      <c r="U40" s="408"/>
      <c r="V40" s="408"/>
      <c r="W40" s="408"/>
      <c r="X40" s="408"/>
      <c r="Y40" s="408"/>
      <c r="Z40" s="408"/>
      <c r="AA40" s="408"/>
      <c r="AB40" s="408"/>
      <c r="AC40" s="408"/>
      <c r="AD40" s="408"/>
      <c r="AE40" s="408"/>
      <c r="AF40" s="408"/>
    </row>
    <row r="41" spans="1:32" ht="14">
      <c r="B41" s="389" t="s">
        <v>734</v>
      </c>
      <c r="C41" s="390"/>
      <c r="D41" s="390"/>
      <c r="E41" s="390"/>
      <c r="F41" s="390"/>
      <c r="G41" s="390"/>
      <c r="H41" s="390"/>
      <c r="K41" s="408"/>
      <c r="L41" s="408"/>
      <c r="M41" s="408"/>
      <c r="N41" s="408"/>
      <c r="O41" s="408"/>
      <c r="P41" s="408"/>
      <c r="Q41" s="408"/>
      <c r="R41" s="408"/>
      <c r="S41" s="408"/>
      <c r="T41" s="408"/>
      <c r="U41" s="408"/>
      <c r="V41" s="408"/>
      <c r="W41" s="408"/>
      <c r="X41" s="408"/>
      <c r="Y41" s="408"/>
      <c r="Z41" s="408"/>
      <c r="AA41" s="408"/>
      <c r="AB41" s="408"/>
      <c r="AC41" s="408"/>
      <c r="AD41" s="408"/>
      <c r="AE41" s="408"/>
      <c r="AF41" s="408"/>
    </row>
    <row r="42" spans="1:32" ht="14">
      <c r="B42" s="391"/>
      <c r="C42" s="391"/>
      <c r="D42" s="392" t="s">
        <v>686</v>
      </c>
      <c r="E42" s="392" t="s">
        <v>685</v>
      </c>
      <c r="F42" s="392" t="s">
        <v>684</v>
      </c>
      <c r="G42" s="391"/>
      <c r="H42" s="392" t="s">
        <v>688</v>
      </c>
      <c r="K42" s="408"/>
      <c r="L42" s="408"/>
      <c r="M42" s="408"/>
      <c r="N42" s="408"/>
      <c r="O42" s="408"/>
      <c r="P42" s="408"/>
      <c r="Q42" s="408"/>
      <c r="R42" s="408"/>
      <c r="S42" s="408"/>
      <c r="T42" s="408"/>
      <c r="U42" s="408"/>
      <c r="V42" s="408"/>
      <c r="W42" s="408"/>
      <c r="X42" s="408"/>
      <c r="Y42" s="408"/>
      <c r="Z42" s="408"/>
      <c r="AA42" s="408"/>
      <c r="AB42" s="408"/>
      <c r="AC42" s="408"/>
      <c r="AD42" s="408"/>
      <c r="AE42" s="408"/>
      <c r="AF42" s="408"/>
    </row>
    <row r="43" spans="1:32" ht="14">
      <c r="B43" s="393" t="s">
        <v>497</v>
      </c>
      <c r="C43" s="393" t="s">
        <v>674</v>
      </c>
      <c r="D43" s="394" t="s">
        <v>670</v>
      </c>
      <c r="E43" s="394" t="s">
        <v>671</v>
      </c>
      <c r="F43" s="394" t="s">
        <v>673</v>
      </c>
      <c r="G43" s="394" t="s">
        <v>687</v>
      </c>
      <c r="H43" s="394" t="s">
        <v>673</v>
      </c>
      <c r="K43" s="408"/>
      <c r="L43" s="408"/>
      <c r="M43" s="408"/>
      <c r="N43" s="408"/>
      <c r="O43" s="408"/>
      <c r="P43" s="408"/>
      <c r="Q43" s="408"/>
      <c r="R43" s="408"/>
      <c r="S43" s="408"/>
      <c r="T43" s="408"/>
      <c r="U43" s="408"/>
      <c r="V43" s="408"/>
      <c r="W43" s="408"/>
      <c r="X43" s="408"/>
      <c r="Y43" s="408"/>
      <c r="Z43" s="408"/>
      <c r="AA43" s="408"/>
      <c r="AB43" s="408"/>
      <c r="AC43" s="408"/>
      <c r="AD43" s="408"/>
      <c r="AE43" s="408"/>
      <c r="AF43" s="408"/>
    </row>
    <row r="44" spans="1:32" ht="14">
      <c r="B44" s="395" t="s">
        <v>672</v>
      </c>
      <c r="C44" s="396" t="s">
        <v>675</v>
      </c>
      <c r="D44" s="397">
        <v>70</v>
      </c>
      <c r="E44" s="398">
        <f>D44*0.5</f>
        <v>35</v>
      </c>
      <c r="F44" s="397">
        <f>E44*44/12</f>
        <v>128.33333333333334</v>
      </c>
      <c r="G44" s="398">
        <v>0</v>
      </c>
      <c r="H44" s="397">
        <f t="shared" ref="H44" si="11">F44*(1+G44)</f>
        <v>128.33333333333334</v>
      </c>
      <c r="K44" s="408"/>
      <c r="L44" s="408"/>
      <c r="M44" s="408"/>
      <c r="N44" s="408"/>
      <c r="O44" s="408"/>
      <c r="P44" s="408"/>
      <c r="Q44" s="408"/>
      <c r="R44" s="408"/>
      <c r="S44" s="408"/>
      <c r="T44" s="408"/>
      <c r="U44" s="408"/>
      <c r="V44" s="408"/>
      <c r="W44" s="408"/>
      <c r="X44" s="408"/>
      <c r="Y44" s="408"/>
      <c r="Z44" s="408"/>
      <c r="AA44" s="408"/>
      <c r="AB44" s="408"/>
      <c r="AC44" s="408"/>
      <c r="AD44" s="408"/>
      <c r="AE44" s="408"/>
      <c r="AF44" s="408"/>
    </row>
    <row r="45" spans="1:32" ht="14">
      <c r="B45" s="406"/>
      <c r="C45" s="396" t="s">
        <v>675</v>
      </c>
      <c r="D45" s="397">
        <v>40</v>
      </c>
      <c r="E45" s="398">
        <f>D45*0.5</f>
        <v>20</v>
      </c>
      <c r="F45" s="397">
        <f>E45*44/12</f>
        <v>73.333333333333329</v>
      </c>
      <c r="G45" s="398">
        <v>1</v>
      </c>
      <c r="H45" s="397">
        <f t="shared" ref="H45" si="12">F45*(1+G45)</f>
        <v>146.66666666666666</v>
      </c>
      <c r="K45" s="408"/>
      <c r="L45" s="408"/>
      <c r="M45" s="408"/>
      <c r="N45" s="408"/>
      <c r="O45" s="408"/>
      <c r="P45" s="408"/>
      <c r="Q45" s="408"/>
      <c r="R45" s="408"/>
      <c r="S45" s="408"/>
      <c r="T45" s="408"/>
      <c r="U45" s="408"/>
      <c r="V45" s="408"/>
      <c r="W45" s="408"/>
      <c r="X45" s="408"/>
      <c r="Y45" s="408"/>
      <c r="Z45" s="408"/>
      <c r="AA45" s="408"/>
      <c r="AB45" s="408"/>
      <c r="AC45" s="408"/>
      <c r="AD45" s="408"/>
      <c r="AE45" s="408"/>
      <c r="AF45" s="408"/>
    </row>
    <row r="46" spans="1:32" ht="14">
      <c r="B46" s="401" t="s">
        <v>567</v>
      </c>
      <c r="C46" s="402"/>
      <c r="D46" s="403">
        <f>AVERAGE(D44:D45)</f>
        <v>55</v>
      </c>
      <c r="E46" s="403">
        <f t="shared" ref="E46:H46" si="13">AVERAGE(E44:E45)</f>
        <v>27.5</v>
      </c>
      <c r="F46" s="403">
        <f t="shared" si="13"/>
        <v>100.83333333333334</v>
      </c>
      <c r="G46" s="403">
        <f t="shared" si="13"/>
        <v>0.5</v>
      </c>
      <c r="H46" s="403">
        <f t="shared" si="13"/>
        <v>137.5</v>
      </c>
      <c r="K46" s="408"/>
      <c r="L46" s="408"/>
      <c r="M46" s="408"/>
      <c r="N46" s="408"/>
      <c r="O46" s="408"/>
      <c r="P46" s="408"/>
      <c r="Q46" s="408"/>
      <c r="R46" s="408"/>
      <c r="S46" s="408"/>
      <c r="T46" s="408"/>
      <c r="U46" s="408"/>
      <c r="V46" s="408"/>
      <c r="W46" s="408"/>
      <c r="X46" s="408"/>
      <c r="Y46" s="408"/>
      <c r="Z46" s="408"/>
      <c r="AA46" s="408"/>
      <c r="AB46" s="408"/>
      <c r="AC46" s="408"/>
      <c r="AD46" s="408"/>
      <c r="AE46" s="408"/>
      <c r="AF46" s="408"/>
    </row>
    <row r="47" spans="1:32">
      <c r="K47" s="408"/>
      <c r="L47" s="408"/>
      <c r="M47" s="408"/>
      <c r="N47" s="408"/>
      <c r="O47" s="408"/>
      <c r="P47" s="408"/>
      <c r="Q47" s="408"/>
      <c r="R47" s="408"/>
      <c r="S47" s="408"/>
      <c r="T47" s="408"/>
      <c r="U47" s="408"/>
      <c r="V47" s="408"/>
      <c r="W47" s="408"/>
      <c r="X47" s="408"/>
      <c r="Y47" s="408"/>
      <c r="Z47" s="408"/>
      <c r="AA47" s="408"/>
      <c r="AB47" s="408"/>
      <c r="AC47" s="408"/>
      <c r="AD47" s="408"/>
      <c r="AE47" s="408"/>
      <c r="AF47" s="408"/>
    </row>
    <row r="48" spans="1:32">
      <c r="K48" s="408"/>
      <c r="L48" s="408"/>
      <c r="M48" s="408"/>
      <c r="N48" s="408"/>
      <c r="O48" s="408"/>
      <c r="P48" s="408"/>
      <c r="Q48" s="408"/>
      <c r="R48" s="408"/>
      <c r="S48" s="408"/>
      <c r="T48" s="408"/>
      <c r="U48" s="408"/>
      <c r="V48" s="408"/>
      <c r="W48" s="408"/>
      <c r="X48" s="408"/>
      <c r="Y48" s="408"/>
      <c r="Z48" s="408"/>
      <c r="AA48" s="408"/>
      <c r="AB48" s="408"/>
      <c r="AC48" s="408"/>
      <c r="AD48" s="408"/>
      <c r="AE48" s="408"/>
      <c r="AF48" s="408"/>
    </row>
    <row r="49" spans="11:32">
      <c r="K49" s="408"/>
      <c r="L49" s="408"/>
      <c r="M49" s="408"/>
      <c r="N49" s="408"/>
      <c r="O49" s="408"/>
      <c r="P49" s="408"/>
      <c r="Q49" s="408"/>
      <c r="R49" s="408"/>
      <c r="S49" s="408"/>
      <c r="T49" s="408"/>
      <c r="U49" s="408"/>
      <c r="V49" s="408"/>
      <c r="W49" s="408"/>
      <c r="X49" s="408"/>
      <c r="Y49" s="408"/>
      <c r="Z49" s="408"/>
      <c r="AA49" s="408"/>
      <c r="AB49" s="408"/>
      <c r="AC49" s="408"/>
      <c r="AD49" s="408"/>
      <c r="AE49" s="408"/>
      <c r="AF49" s="408"/>
    </row>
    <row r="50" spans="11:32">
      <c r="K50" s="408"/>
      <c r="L50" s="408"/>
      <c r="M50" s="408"/>
      <c r="N50" s="408"/>
      <c r="O50" s="408"/>
      <c r="P50" s="408"/>
      <c r="Q50" s="408"/>
      <c r="R50" s="408"/>
      <c r="S50" s="408"/>
      <c r="T50" s="408"/>
      <c r="U50" s="408"/>
      <c r="V50" s="408"/>
      <c r="W50" s="408"/>
      <c r="X50" s="408"/>
      <c r="Y50" s="408"/>
      <c r="Z50" s="408"/>
      <c r="AA50" s="408"/>
      <c r="AB50" s="408"/>
      <c r="AC50" s="408"/>
      <c r="AD50" s="408"/>
      <c r="AE50" s="408"/>
      <c r="AF50" s="408"/>
    </row>
    <row r="51" spans="11:32">
      <c r="K51" s="408"/>
      <c r="L51" s="408"/>
      <c r="M51" s="408"/>
      <c r="N51" s="408"/>
      <c r="O51" s="408"/>
      <c r="P51" s="408"/>
      <c r="Q51" s="408"/>
      <c r="R51" s="408"/>
      <c r="S51" s="408"/>
      <c r="T51" s="408"/>
      <c r="U51" s="408"/>
      <c r="V51" s="408"/>
      <c r="W51" s="408"/>
      <c r="X51" s="408"/>
      <c r="Y51" s="408"/>
      <c r="Z51" s="408"/>
      <c r="AA51" s="408"/>
      <c r="AB51" s="408"/>
      <c r="AC51" s="408"/>
      <c r="AD51" s="408"/>
      <c r="AE51" s="408"/>
      <c r="AF51" s="408"/>
    </row>
    <row r="52" spans="11:32">
      <c r="K52" s="408"/>
      <c r="L52" s="408"/>
      <c r="M52" s="408"/>
      <c r="N52" s="408"/>
      <c r="O52" s="408"/>
      <c r="P52" s="408"/>
      <c r="Q52" s="408"/>
      <c r="R52" s="408"/>
      <c r="S52" s="408"/>
      <c r="T52" s="408"/>
      <c r="U52" s="408"/>
      <c r="V52" s="408"/>
      <c r="W52" s="408"/>
      <c r="X52" s="408"/>
      <c r="Y52" s="408"/>
      <c r="Z52" s="408"/>
      <c r="AA52" s="408"/>
      <c r="AB52" s="408"/>
      <c r="AC52" s="408"/>
      <c r="AD52" s="408"/>
      <c r="AE52" s="408"/>
      <c r="AF52" s="408"/>
    </row>
    <row r="53" spans="11:32">
      <c r="K53" s="408"/>
      <c r="L53" s="408"/>
      <c r="M53" s="408"/>
      <c r="N53" s="408"/>
      <c r="O53" s="408"/>
      <c r="P53" s="408"/>
      <c r="Q53" s="408"/>
      <c r="R53" s="408"/>
      <c r="S53" s="408"/>
      <c r="T53" s="408"/>
      <c r="U53" s="408"/>
      <c r="V53" s="408"/>
      <c r="W53" s="408"/>
      <c r="X53" s="408"/>
      <c r="Y53" s="408"/>
      <c r="Z53" s="408"/>
      <c r="AA53" s="408"/>
      <c r="AB53" s="408"/>
      <c r="AC53" s="408"/>
      <c r="AD53" s="408"/>
      <c r="AE53" s="408"/>
      <c r="AF53" s="408"/>
    </row>
    <row r="54" spans="11:32">
      <c r="K54" s="408"/>
      <c r="L54" s="408"/>
      <c r="M54" s="408"/>
      <c r="N54" s="408"/>
      <c r="O54" s="408"/>
      <c r="P54" s="408"/>
      <c r="Q54" s="408"/>
      <c r="R54" s="408"/>
      <c r="S54" s="408"/>
      <c r="T54" s="408"/>
      <c r="U54" s="408"/>
      <c r="V54" s="408"/>
      <c r="W54" s="408"/>
      <c r="X54" s="408"/>
      <c r="Y54" s="408"/>
      <c r="Z54" s="408"/>
      <c r="AA54" s="408"/>
      <c r="AB54" s="408"/>
      <c r="AC54" s="408"/>
      <c r="AD54" s="408"/>
      <c r="AE54" s="408"/>
      <c r="AF54" s="408"/>
    </row>
    <row r="55" spans="11:32">
      <c r="K55" s="408"/>
      <c r="L55" s="408"/>
      <c r="M55" s="408"/>
      <c r="N55" s="408"/>
      <c r="O55" s="408"/>
      <c r="P55" s="408"/>
      <c r="Q55" s="408"/>
      <c r="R55" s="408"/>
      <c r="S55" s="408"/>
      <c r="T55" s="408"/>
      <c r="U55" s="408"/>
      <c r="V55" s="408"/>
      <c r="W55" s="408"/>
      <c r="X55" s="408"/>
      <c r="Y55" s="408"/>
      <c r="Z55" s="408"/>
      <c r="AA55" s="408"/>
      <c r="AB55" s="408"/>
      <c r="AC55" s="408"/>
      <c r="AD55" s="408"/>
      <c r="AE55" s="408"/>
      <c r="AF55" s="408"/>
    </row>
    <row r="56" spans="11:32">
      <c r="K56" s="408"/>
      <c r="L56" s="408"/>
      <c r="M56" s="408"/>
      <c r="N56" s="408"/>
      <c r="O56" s="408"/>
      <c r="P56" s="408"/>
      <c r="Q56" s="408"/>
      <c r="R56" s="408"/>
      <c r="S56" s="408"/>
      <c r="T56" s="408"/>
      <c r="U56" s="408"/>
      <c r="V56" s="408"/>
      <c r="W56" s="408"/>
      <c r="X56" s="408"/>
      <c r="Y56" s="408"/>
      <c r="Z56" s="408"/>
      <c r="AA56" s="408"/>
      <c r="AB56" s="408"/>
      <c r="AC56" s="408"/>
      <c r="AD56" s="408"/>
      <c r="AE56" s="408"/>
      <c r="AF56" s="408"/>
    </row>
    <row r="57" spans="11:32">
      <c r="K57" s="408"/>
      <c r="L57" s="408"/>
      <c r="M57" s="408"/>
      <c r="N57" s="408"/>
      <c r="O57" s="408"/>
      <c r="P57" s="408"/>
      <c r="Q57" s="408"/>
      <c r="R57" s="408"/>
      <c r="S57" s="408"/>
      <c r="T57" s="408"/>
      <c r="U57" s="408"/>
      <c r="V57" s="408"/>
      <c r="W57" s="408"/>
      <c r="X57" s="408"/>
      <c r="Y57" s="408"/>
      <c r="Z57" s="408"/>
      <c r="AA57" s="408"/>
      <c r="AB57" s="408"/>
      <c r="AC57" s="408"/>
      <c r="AD57" s="408"/>
      <c r="AE57" s="408"/>
      <c r="AF57" s="408"/>
    </row>
    <row r="58" spans="11:32">
      <c r="K58" s="408"/>
      <c r="L58" s="408"/>
      <c r="M58" s="408"/>
      <c r="N58" s="408"/>
      <c r="O58" s="408"/>
      <c r="P58" s="408"/>
      <c r="Q58" s="408"/>
      <c r="R58" s="408"/>
      <c r="S58" s="408"/>
      <c r="T58" s="408"/>
      <c r="U58" s="408"/>
      <c r="V58" s="408"/>
      <c r="W58" s="408"/>
      <c r="X58" s="408"/>
      <c r="Y58" s="408"/>
      <c r="Z58" s="408"/>
      <c r="AA58" s="408"/>
      <c r="AB58" s="408"/>
      <c r="AC58" s="408"/>
      <c r="AD58" s="408"/>
      <c r="AE58" s="408"/>
      <c r="AF58" s="408"/>
    </row>
    <row r="59" spans="11:32">
      <c r="K59" s="408"/>
      <c r="L59" s="408"/>
      <c r="M59" s="408"/>
      <c r="N59" s="408"/>
      <c r="O59" s="408"/>
      <c r="P59" s="408"/>
      <c r="Q59" s="408"/>
      <c r="R59" s="408"/>
      <c r="S59" s="408"/>
      <c r="T59" s="408"/>
      <c r="U59" s="408"/>
      <c r="V59" s="408"/>
      <c r="W59" s="408"/>
      <c r="X59" s="408"/>
      <c r="Y59" s="408"/>
      <c r="Z59" s="408"/>
      <c r="AA59" s="408"/>
      <c r="AB59" s="408"/>
      <c r="AC59" s="408"/>
      <c r="AD59" s="408"/>
      <c r="AE59" s="408"/>
      <c r="AF59" s="408"/>
    </row>
    <row r="60" spans="11:32">
      <c r="K60" s="408"/>
      <c r="L60" s="408"/>
      <c r="M60" s="408"/>
      <c r="N60" s="408"/>
      <c r="O60" s="408"/>
      <c r="P60" s="408"/>
      <c r="Q60" s="408"/>
      <c r="R60" s="408"/>
      <c r="S60" s="408"/>
      <c r="T60" s="408"/>
      <c r="U60" s="408"/>
      <c r="V60" s="408"/>
      <c r="W60" s="408"/>
      <c r="X60" s="408"/>
      <c r="Y60" s="408"/>
      <c r="Z60" s="408"/>
      <c r="AA60" s="408"/>
      <c r="AB60" s="408"/>
      <c r="AC60" s="408"/>
      <c r="AD60" s="408"/>
      <c r="AE60" s="408"/>
      <c r="AF60" s="408"/>
    </row>
    <row r="61" spans="11:32">
      <c r="K61" s="408"/>
      <c r="L61" s="408"/>
      <c r="M61" s="408"/>
      <c r="N61" s="408"/>
      <c r="O61" s="408"/>
      <c r="P61" s="408"/>
      <c r="Q61" s="408"/>
      <c r="R61" s="408"/>
      <c r="S61" s="408"/>
      <c r="T61" s="408"/>
      <c r="U61" s="408"/>
      <c r="V61" s="408"/>
      <c r="W61" s="408"/>
      <c r="X61" s="408"/>
      <c r="Y61" s="408"/>
      <c r="Z61" s="408"/>
      <c r="AA61" s="408"/>
      <c r="AB61" s="408"/>
      <c r="AC61" s="408"/>
      <c r="AD61" s="408"/>
      <c r="AE61" s="408"/>
      <c r="AF61" s="408"/>
    </row>
    <row r="62" spans="11:32">
      <c r="K62" s="408"/>
      <c r="L62" s="408"/>
      <c r="M62" s="408"/>
      <c r="N62" s="408"/>
      <c r="O62" s="408"/>
      <c r="P62" s="408"/>
      <c r="Q62" s="408"/>
      <c r="R62" s="408"/>
      <c r="S62" s="408"/>
      <c r="T62" s="408"/>
      <c r="U62" s="408"/>
      <c r="V62" s="408"/>
      <c r="W62" s="408"/>
      <c r="X62" s="408"/>
      <c r="Y62" s="408"/>
      <c r="Z62" s="408"/>
      <c r="AA62" s="408"/>
      <c r="AB62" s="408"/>
      <c r="AC62" s="408"/>
      <c r="AD62" s="408"/>
      <c r="AE62" s="408"/>
      <c r="AF62" s="408"/>
    </row>
    <row r="63" spans="11:32">
      <c r="K63" s="408"/>
      <c r="L63" s="408"/>
      <c r="M63" s="408"/>
      <c r="N63" s="408"/>
      <c r="O63" s="408"/>
      <c r="P63" s="408"/>
      <c r="Q63" s="408"/>
      <c r="R63" s="408"/>
      <c r="S63" s="408"/>
      <c r="T63" s="408"/>
      <c r="U63" s="408"/>
      <c r="V63" s="408"/>
      <c r="W63" s="408"/>
      <c r="X63" s="408"/>
      <c r="Y63" s="408"/>
      <c r="Z63" s="408"/>
      <c r="AA63" s="408"/>
      <c r="AB63" s="408"/>
      <c r="AC63" s="408"/>
      <c r="AD63" s="408"/>
      <c r="AE63" s="408"/>
      <c r="AF63" s="408"/>
    </row>
    <row r="64" spans="11:32">
      <c r="K64" s="408"/>
      <c r="L64" s="408"/>
      <c r="M64" s="408"/>
      <c r="N64" s="408"/>
      <c r="O64" s="408"/>
      <c r="P64" s="408"/>
      <c r="Q64" s="408"/>
      <c r="R64" s="408"/>
      <c r="S64" s="408"/>
      <c r="T64" s="408"/>
      <c r="U64" s="408"/>
      <c r="V64" s="408"/>
      <c r="W64" s="408"/>
      <c r="X64" s="408"/>
      <c r="Y64" s="408"/>
      <c r="Z64" s="408"/>
      <c r="AA64" s="408"/>
      <c r="AB64" s="408"/>
      <c r="AC64" s="408"/>
      <c r="AD64" s="408"/>
      <c r="AE64" s="408"/>
      <c r="AF64" s="408"/>
    </row>
    <row r="65" spans="11:32">
      <c r="K65" s="408"/>
      <c r="L65" s="408"/>
      <c r="M65" s="408"/>
      <c r="N65" s="408"/>
      <c r="O65" s="408"/>
      <c r="P65" s="408"/>
      <c r="Q65" s="408"/>
      <c r="R65" s="408"/>
      <c r="S65" s="408"/>
      <c r="T65" s="408"/>
      <c r="U65" s="408"/>
      <c r="V65" s="408"/>
      <c r="W65" s="408"/>
      <c r="X65" s="408"/>
      <c r="Y65" s="408"/>
      <c r="Z65" s="408"/>
      <c r="AA65" s="408"/>
      <c r="AB65" s="408"/>
      <c r="AC65" s="408"/>
      <c r="AD65" s="408"/>
      <c r="AE65" s="408"/>
      <c r="AF65" s="408"/>
    </row>
    <row r="66" spans="11:32">
      <c r="K66" s="408"/>
      <c r="L66" s="408"/>
      <c r="M66" s="408"/>
      <c r="N66" s="408"/>
      <c r="O66" s="408"/>
      <c r="P66" s="408"/>
      <c r="Q66" s="408"/>
      <c r="R66" s="408"/>
      <c r="S66" s="408"/>
      <c r="T66" s="408"/>
      <c r="U66" s="408"/>
      <c r="V66" s="408"/>
      <c r="W66" s="408"/>
      <c r="X66" s="408"/>
      <c r="Y66" s="408"/>
      <c r="Z66" s="408"/>
      <c r="AA66" s="408"/>
      <c r="AB66" s="408"/>
      <c r="AC66" s="408"/>
      <c r="AD66" s="408"/>
      <c r="AE66" s="408"/>
      <c r="AF66" s="408"/>
    </row>
    <row r="67" spans="11:32">
      <c r="K67" s="408"/>
      <c r="L67" s="408"/>
      <c r="M67" s="408"/>
      <c r="N67" s="408"/>
      <c r="O67" s="408"/>
      <c r="P67" s="408"/>
      <c r="Q67" s="408"/>
      <c r="R67" s="408"/>
      <c r="S67" s="408"/>
      <c r="T67" s="408"/>
      <c r="U67" s="408"/>
      <c r="V67" s="408"/>
      <c r="W67" s="408"/>
      <c r="X67" s="408"/>
      <c r="Y67" s="408"/>
      <c r="Z67" s="408"/>
      <c r="AA67" s="408"/>
      <c r="AB67" s="408"/>
      <c r="AC67" s="408"/>
      <c r="AD67" s="408"/>
      <c r="AE67" s="408"/>
      <c r="AF67" s="408"/>
    </row>
    <row r="68" spans="11:32">
      <c r="K68" s="408"/>
      <c r="L68" s="408"/>
      <c r="M68" s="408"/>
      <c r="N68" s="408"/>
      <c r="O68" s="408"/>
      <c r="P68" s="408"/>
      <c r="Q68" s="408"/>
      <c r="R68" s="408"/>
      <c r="S68" s="408"/>
      <c r="T68" s="408"/>
      <c r="U68" s="408"/>
      <c r="V68" s="408"/>
      <c r="W68" s="408"/>
      <c r="X68" s="408"/>
      <c r="Y68" s="408"/>
      <c r="Z68" s="408"/>
      <c r="AA68" s="408"/>
      <c r="AB68" s="408"/>
      <c r="AC68" s="408"/>
      <c r="AD68" s="408"/>
      <c r="AE68" s="408"/>
      <c r="AF68" s="408"/>
    </row>
  </sheetData>
  <mergeCells count="3">
    <mergeCell ref="A35:A36"/>
    <mergeCell ref="M24:R24"/>
    <mergeCell ref="S24:V24"/>
  </mergeCells>
  <phoneticPr fontId="6" type="noConversion"/>
  <pageMargins left="0.75" right="0.75" top="1" bottom="1" header="0.5" footer="0.5"/>
  <pageSetup paperSize="9"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I16"/>
  <sheetViews>
    <sheetView zoomScale="125" zoomScaleNormal="125" zoomScalePageLayoutView="125" workbookViewId="0">
      <selection activeCell="H22" sqref="H22"/>
    </sheetView>
  </sheetViews>
  <sheetFormatPr baseColWidth="10" defaultColWidth="11.1640625" defaultRowHeight="13"/>
  <sheetData>
    <row r="1" spans="1:9" ht="14">
      <c r="B1" s="330" t="s">
        <v>708</v>
      </c>
    </row>
    <row r="4" spans="1:9" ht="14">
      <c r="B4" s="331" t="s">
        <v>697</v>
      </c>
      <c r="C4" s="333" t="s">
        <v>695</v>
      </c>
      <c r="D4" s="330" t="s">
        <v>696</v>
      </c>
      <c r="E4" s="330" t="s">
        <v>694</v>
      </c>
      <c r="F4" s="307"/>
      <c r="G4" s="307"/>
      <c r="H4" s="307"/>
      <c r="I4" s="332"/>
    </row>
    <row r="5" spans="1:9" ht="14">
      <c r="B5" s="239" t="s">
        <v>657</v>
      </c>
      <c r="C5" s="308">
        <v>44.3</v>
      </c>
      <c r="D5" s="239" t="s">
        <v>664</v>
      </c>
      <c r="E5" s="239" t="s">
        <v>655</v>
      </c>
      <c r="F5" s="175"/>
      <c r="G5" s="239"/>
      <c r="H5" s="175"/>
      <c r="I5" s="164" t="s">
        <v>656</v>
      </c>
    </row>
    <row r="6" spans="1:9" ht="14">
      <c r="B6" s="239" t="s">
        <v>662</v>
      </c>
      <c r="C6" s="309">
        <v>69300</v>
      </c>
      <c r="D6" s="239" t="s">
        <v>663</v>
      </c>
      <c r="E6" s="239"/>
      <c r="F6" s="175"/>
      <c r="G6" s="239"/>
      <c r="H6" s="175"/>
      <c r="I6" s="164" t="s">
        <v>661</v>
      </c>
    </row>
    <row r="7" spans="1:9" ht="14">
      <c r="B7" s="239" t="s">
        <v>602</v>
      </c>
      <c r="C7" s="308">
        <v>0.77</v>
      </c>
      <c r="D7" s="239" t="s">
        <v>660</v>
      </c>
      <c r="E7" s="239" t="s">
        <v>658</v>
      </c>
      <c r="F7" s="175"/>
      <c r="G7" s="239"/>
      <c r="H7" s="175"/>
      <c r="I7" s="164" t="s">
        <v>659</v>
      </c>
    </row>
    <row r="8" spans="1:9" ht="14">
      <c r="A8" s="164"/>
      <c r="B8" s="164"/>
      <c r="C8" s="308"/>
      <c r="D8" s="239"/>
      <c r="E8" s="175"/>
      <c r="F8" s="175"/>
      <c r="G8" s="175"/>
      <c r="H8" s="175"/>
      <c r="I8" s="89"/>
    </row>
    <row r="9" spans="1:9" ht="14">
      <c r="A9" s="164"/>
      <c r="B9" s="239" t="s">
        <v>698</v>
      </c>
      <c r="C9" s="308">
        <v>523</v>
      </c>
      <c r="D9" s="239" t="s">
        <v>665</v>
      </c>
      <c r="E9" s="175" t="s">
        <v>669</v>
      </c>
      <c r="F9" s="175"/>
      <c r="G9" s="175"/>
      <c r="H9" s="175"/>
      <c r="I9" s="89"/>
    </row>
    <row r="10" spans="1:9" ht="14">
      <c r="A10" s="164"/>
      <c r="B10" s="164"/>
      <c r="C10" s="310">
        <f>C9/0.77</f>
        <v>679.22077922077915</v>
      </c>
      <c r="D10" s="239" t="s">
        <v>666</v>
      </c>
      <c r="E10" s="175"/>
      <c r="F10" s="175"/>
      <c r="G10" s="175"/>
      <c r="H10" s="175"/>
      <c r="I10" s="89"/>
    </row>
    <row r="11" spans="1:9" ht="14">
      <c r="A11" s="164"/>
      <c r="B11" s="164"/>
      <c r="C11" s="308"/>
      <c r="D11" s="239"/>
      <c r="E11" s="175"/>
      <c r="F11" s="175"/>
      <c r="G11" s="175"/>
      <c r="H11" s="175"/>
      <c r="I11" s="89"/>
    </row>
    <row r="12" spans="1:9" ht="14">
      <c r="A12" s="164"/>
      <c r="B12" s="239" t="s">
        <v>699</v>
      </c>
      <c r="C12" s="310">
        <f>C10*(C5/1000000)*C6</f>
        <v>2085.2009999999996</v>
      </c>
      <c r="D12" s="239" t="s">
        <v>667</v>
      </c>
      <c r="E12" s="175"/>
      <c r="F12" s="175"/>
      <c r="G12" s="175"/>
      <c r="H12" s="175"/>
      <c r="I12" s="89"/>
    </row>
    <row r="13" spans="1:9" ht="14">
      <c r="A13" s="164"/>
      <c r="B13" s="331" t="s">
        <v>699</v>
      </c>
      <c r="C13" s="334">
        <f>C12/1000</f>
        <v>2.0852009999999996</v>
      </c>
      <c r="D13" s="331" t="s">
        <v>668</v>
      </c>
      <c r="E13" s="329"/>
      <c r="F13" s="329"/>
      <c r="G13" s="329"/>
      <c r="H13" s="329"/>
      <c r="I13" s="329"/>
    </row>
    <row r="15" spans="1:9" ht="14">
      <c r="B15" s="124"/>
      <c r="C15" s="124"/>
      <c r="D15" s="124"/>
      <c r="E15" s="196">
        <v>2010</v>
      </c>
    </row>
    <row r="16" spans="1:9" ht="14">
      <c r="B16" s="307" t="s">
        <v>706</v>
      </c>
      <c r="C16" s="307"/>
      <c r="D16" s="307"/>
      <c r="E16" s="347">
        <f>C13/'CO2 Certificates'!C109</f>
        <v>4.2036572789897024E-3</v>
      </c>
      <c r="F16" s="124" t="s">
        <v>707</v>
      </c>
    </row>
  </sheetData>
  <pageMargins left="0.75" right="0.75" top="1" bottom="1" header="0.5" footer="0.5"/>
  <pageSetup paperSize="9"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Z813"/>
  <sheetViews>
    <sheetView workbookViewId="0">
      <selection activeCell="B15" sqref="B15:F16"/>
    </sheetView>
  </sheetViews>
  <sheetFormatPr baseColWidth="10" defaultColWidth="9.83203125" defaultRowHeight="13"/>
  <cols>
    <col min="1" max="1" width="9.83203125" style="186"/>
    <col min="2" max="2" width="13" style="186" customWidth="1"/>
    <col min="3" max="3" width="20.83203125" style="192" customWidth="1"/>
    <col min="4" max="4" width="31.1640625" style="186" customWidth="1"/>
    <col min="5" max="5" width="18.1640625" style="192" customWidth="1"/>
    <col min="6" max="6" width="9.83203125" style="192"/>
    <col min="7" max="16384" width="9.83203125" style="186"/>
  </cols>
  <sheetData>
    <row r="1" spans="1:26" ht="15">
      <c r="B1" s="429" t="s">
        <v>497</v>
      </c>
      <c r="C1" s="424" t="s">
        <v>749</v>
      </c>
      <c r="D1" s="424" t="s">
        <v>750</v>
      </c>
      <c r="E1" s="192" t="s">
        <v>747</v>
      </c>
    </row>
    <row r="2" spans="1:26" ht="15">
      <c r="A2" s="381"/>
      <c r="B2" s="151"/>
      <c r="D2" s="381" t="s">
        <v>751</v>
      </c>
      <c r="G2" s="451" t="s">
        <v>776</v>
      </c>
      <c r="H2" s="381"/>
      <c r="I2" s="381"/>
      <c r="J2" s="381"/>
    </row>
    <row r="3" spans="1:26">
      <c r="A3" s="381"/>
      <c r="B3" s="283" t="s">
        <v>579</v>
      </c>
      <c r="C3" s="848" t="s">
        <v>740</v>
      </c>
      <c r="D3" s="848" t="s">
        <v>741</v>
      </c>
      <c r="E3" s="848" t="s">
        <v>742</v>
      </c>
      <c r="G3" s="381"/>
      <c r="H3" s="381"/>
      <c r="I3" s="381"/>
      <c r="J3" s="381"/>
    </row>
    <row r="4" spans="1:26">
      <c r="A4" s="381"/>
      <c r="B4" s="283" t="s">
        <v>748</v>
      </c>
      <c r="C4" s="848"/>
      <c r="D4" s="848"/>
      <c r="E4" s="848"/>
      <c r="G4" s="381"/>
      <c r="H4" s="381"/>
      <c r="I4" s="381"/>
      <c r="J4" s="381"/>
      <c r="K4" s="88"/>
      <c r="L4" s="88"/>
      <c r="M4" s="88"/>
    </row>
    <row r="5" spans="1:26">
      <c r="A5" s="381"/>
      <c r="B5" s="283" t="s">
        <v>743</v>
      </c>
      <c r="C5" s="422" t="s">
        <v>496</v>
      </c>
      <c r="D5" s="422" t="s">
        <v>496</v>
      </c>
      <c r="E5" s="422" t="s">
        <v>496</v>
      </c>
      <c r="F5" s="192" t="s">
        <v>864</v>
      </c>
      <c r="G5" s="381"/>
      <c r="H5" s="381"/>
      <c r="I5" s="381"/>
      <c r="J5" s="381"/>
      <c r="K5" s="201"/>
      <c r="L5" s="88"/>
      <c r="M5" s="88"/>
      <c r="N5" s="374"/>
      <c r="O5" s="374"/>
      <c r="P5" s="374"/>
      <c r="Q5" s="374"/>
      <c r="R5" s="374"/>
      <c r="U5" s="374"/>
      <c r="V5" s="374"/>
      <c r="W5" s="374"/>
      <c r="X5" s="374"/>
      <c r="Y5" s="374"/>
      <c r="Z5" s="374"/>
    </row>
    <row r="6" spans="1:26" ht="16">
      <c r="A6" s="381"/>
      <c r="B6" s="428">
        <v>2010</v>
      </c>
      <c r="C6" s="116">
        <v>2.6</v>
      </c>
      <c r="D6" s="430">
        <v>2.2599999999999998</v>
      </c>
      <c r="E6" s="116">
        <f>C6-D6</f>
        <v>0.3400000000000003</v>
      </c>
      <c r="G6" s="381"/>
      <c r="H6" s="381"/>
      <c r="I6" s="381"/>
      <c r="J6" s="381"/>
      <c r="K6" s="202"/>
      <c r="L6" s="88"/>
      <c r="M6" s="88"/>
      <c r="N6" s="374"/>
      <c r="O6" s="374"/>
      <c r="P6" s="374"/>
      <c r="Q6" s="374"/>
      <c r="R6" s="374"/>
      <c r="U6" s="374"/>
      <c r="V6" s="374"/>
      <c r="W6" s="374"/>
      <c r="X6" s="374"/>
      <c r="Y6" s="374"/>
      <c r="Z6" s="374"/>
    </row>
    <row r="7" spans="1:26" ht="16">
      <c r="A7" s="381"/>
      <c r="B7" s="428">
        <v>2011</v>
      </c>
      <c r="C7" s="116">
        <v>4.6870000000000003</v>
      </c>
      <c r="D7" s="430">
        <v>4.0789999999999997</v>
      </c>
      <c r="E7" s="116">
        <f t="shared" ref="E7:E16" si="0">C7-D7</f>
        <v>0.60800000000000054</v>
      </c>
      <c r="G7" s="381"/>
      <c r="H7" s="381"/>
      <c r="I7" s="381"/>
      <c r="J7" s="381"/>
      <c r="K7" s="200"/>
      <c r="L7" s="88"/>
      <c r="M7" s="88"/>
      <c r="N7" s="374"/>
      <c r="O7" s="374"/>
      <c r="P7" s="374"/>
      <c r="Q7" s="374"/>
      <c r="R7" s="374"/>
      <c r="U7" s="374"/>
      <c r="V7" s="374"/>
      <c r="W7" s="374"/>
      <c r="X7" s="374"/>
      <c r="Y7" s="374"/>
      <c r="Z7" s="374"/>
    </row>
    <row r="8" spans="1:26" ht="16">
      <c r="A8" s="381"/>
      <c r="B8" s="428">
        <v>2012</v>
      </c>
      <c r="C8" s="116">
        <v>7.24</v>
      </c>
      <c r="D8" s="430">
        <v>6.0529999999999999</v>
      </c>
      <c r="E8" s="116">
        <f t="shared" si="0"/>
        <v>1.1870000000000003</v>
      </c>
      <c r="G8" s="381"/>
      <c r="H8" s="381"/>
      <c r="I8" s="381"/>
      <c r="J8" s="381"/>
      <c r="K8" s="200"/>
      <c r="L8" s="88"/>
      <c r="M8" s="88"/>
      <c r="N8" s="374"/>
      <c r="O8" s="374"/>
      <c r="P8" s="374"/>
      <c r="Q8" s="374"/>
      <c r="R8" s="374"/>
      <c r="U8" s="374"/>
      <c r="V8" s="374"/>
      <c r="W8" s="374"/>
      <c r="X8" s="374"/>
      <c r="Y8" s="374"/>
      <c r="Z8" s="374"/>
    </row>
    <row r="9" spans="1:26" ht="16">
      <c r="A9" s="381"/>
      <c r="B9" s="428">
        <v>2013</v>
      </c>
      <c r="C9" s="116">
        <v>10.137700000000001</v>
      </c>
      <c r="D9" s="430">
        <v>8.6199999999999992</v>
      </c>
      <c r="E9" s="116">
        <f t="shared" si="0"/>
        <v>1.5177000000000014</v>
      </c>
      <c r="G9" s="381"/>
      <c r="H9" s="381"/>
      <c r="I9" s="381"/>
      <c r="J9" s="381"/>
      <c r="K9" s="200"/>
      <c r="L9" s="88"/>
      <c r="M9" s="88"/>
      <c r="N9" s="374"/>
      <c r="O9" s="374"/>
      <c r="P9" s="374"/>
      <c r="Q9" s="374"/>
      <c r="R9" s="374"/>
      <c r="U9" s="374"/>
      <c r="V9" s="374"/>
      <c r="W9" s="374"/>
      <c r="X9" s="374"/>
      <c r="Y9" s="374"/>
      <c r="Z9" s="374"/>
    </row>
    <row r="10" spans="1:26" ht="16">
      <c r="A10" s="381"/>
      <c r="B10" s="428">
        <v>2014</v>
      </c>
      <c r="C10" s="116">
        <v>16.989999999999998</v>
      </c>
      <c r="D10" s="430">
        <v>14.599</v>
      </c>
      <c r="E10" s="116">
        <f t="shared" si="0"/>
        <v>2.3909999999999982</v>
      </c>
      <c r="G10" s="381"/>
      <c r="H10" s="381"/>
      <c r="I10" s="381"/>
      <c r="J10" s="381"/>
      <c r="K10" s="200"/>
      <c r="L10" s="88"/>
      <c r="M10" s="88"/>
      <c r="N10" s="374"/>
      <c r="O10" s="374"/>
      <c r="P10" s="374"/>
      <c r="Q10" s="374"/>
      <c r="R10" s="374"/>
      <c r="U10" s="374"/>
      <c r="V10" s="374"/>
      <c r="W10" s="374"/>
      <c r="X10" s="374"/>
      <c r="Y10" s="374"/>
      <c r="Z10" s="374"/>
    </row>
    <row r="11" spans="1:26" ht="16">
      <c r="A11" s="381"/>
      <c r="B11" s="428">
        <v>2015</v>
      </c>
      <c r="C11" s="116">
        <v>29.2</v>
      </c>
      <c r="D11" s="430">
        <v>23.24</v>
      </c>
      <c r="E11" s="116">
        <f t="shared" si="0"/>
        <v>5.9600000000000009</v>
      </c>
      <c r="G11" s="381"/>
      <c r="H11" s="381"/>
      <c r="I11" s="381"/>
      <c r="J11" s="381">
        <v>2016</v>
      </c>
      <c r="K11" s="200">
        <v>2017</v>
      </c>
      <c r="L11" s="88"/>
      <c r="M11" s="88"/>
      <c r="N11" s="374"/>
      <c r="O11" s="374"/>
      <c r="P11" s="374"/>
      <c r="Q11" s="374"/>
      <c r="R11" s="374"/>
      <c r="U11" s="374"/>
      <c r="V11" s="374"/>
      <c r="W11" s="374"/>
      <c r="X11" s="374"/>
      <c r="Y11" s="374"/>
      <c r="Z11" s="374"/>
    </row>
    <row r="12" spans="1:26" s="484" customFormat="1" ht="16">
      <c r="B12" s="428">
        <v>2016</v>
      </c>
      <c r="C12" s="116">
        <v>57.24</v>
      </c>
      <c r="D12" s="430">
        <v>37.9</v>
      </c>
      <c r="E12" s="116">
        <f t="shared" si="0"/>
        <v>19.340000000000003</v>
      </c>
      <c r="F12" s="192"/>
      <c r="H12" s="80" t="s">
        <v>799</v>
      </c>
      <c r="I12" s="80" t="s">
        <v>800</v>
      </c>
      <c r="J12" s="520">
        <f>'CO2 Certificates'!I34</f>
        <v>16619</v>
      </c>
      <c r="K12" s="521">
        <v>100000</v>
      </c>
      <c r="L12" s="88"/>
      <c r="M12" s="88"/>
    </row>
    <row r="13" spans="1:26" s="519" customFormat="1" ht="16">
      <c r="B13" s="428">
        <v>2017</v>
      </c>
      <c r="C13" s="522">
        <v>146.93</v>
      </c>
      <c r="D13" s="523">
        <v>95.92</v>
      </c>
      <c r="E13" s="522">
        <f t="shared" si="0"/>
        <v>51.010000000000005</v>
      </c>
      <c r="F13" s="192" t="s">
        <v>865</v>
      </c>
      <c r="I13" s="80" t="s">
        <v>801</v>
      </c>
      <c r="J13" s="520">
        <f>C12</f>
        <v>57.24</v>
      </c>
      <c r="K13" s="521">
        <f>C13</f>
        <v>146.93</v>
      </c>
      <c r="L13" s="88"/>
      <c r="M13" s="88"/>
    </row>
    <row r="14" spans="1:26" ht="15">
      <c r="A14" s="381"/>
      <c r="B14" s="428">
        <v>2018</v>
      </c>
      <c r="C14" s="709">
        <f>169.86-F14</f>
        <v>161.71</v>
      </c>
      <c r="D14" s="709">
        <v>109.96</v>
      </c>
      <c r="E14" s="522">
        <f t="shared" si="0"/>
        <v>51.750000000000014</v>
      </c>
      <c r="F14" s="192">
        <v>8.15</v>
      </c>
      <c r="G14" s="381"/>
      <c r="H14" s="381"/>
      <c r="I14" s="80" t="s">
        <v>802</v>
      </c>
      <c r="J14" s="200">
        <f>J13/J12*1000</f>
        <v>3.4442505565918529</v>
      </c>
      <c r="K14" s="200">
        <f>K13/K12*1000</f>
        <v>1.4693000000000001</v>
      </c>
      <c r="L14" s="88"/>
      <c r="M14" s="88"/>
      <c r="N14" s="374"/>
      <c r="O14" s="374"/>
      <c r="P14" s="374"/>
      <c r="Q14" s="374"/>
      <c r="R14" s="374"/>
      <c r="U14" s="374"/>
      <c r="V14" s="374"/>
      <c r="W14" s="374"/>
      <c r="X14" s="374"/>
      <c r="Y14" s="374"/>
      <c r="Z14" s="374"/>
    </row>
    <row r="15" spans="1:26" ht="15">
      <c r="A15" s="381"/>
      <c r="B15" s="428">
        <v>2019</v>
      </c>
      <c r="C15" s="709">
        <f>183.65-F15</f>
        <v>175.1003</v>
      </c>
      <c r="D15" s="709">
        <v>117.25</v>
      </c>
      <c r="E15" s="522">
        <f t="shared" si="0"/>
        <v>57.850300000000004</v>
      </c>
      <c r="F15" s="192">
        <v>8.5496999999999996</v>
      </c>
      <c r="G15" s="381"/>
      <c r="H15" s="381"/>
      <c r="I15" s="381"/>
      <c r="J15" s="381"/>
      <c r="K15" s="200"/>
      <c r="L15" s="88"/>
      <c r="M15" s="374"/>
      <c r="N15" s="374"/>
      <c r="O15" s="374"/>
      <c r="P15" s="374"/>
      <c r="Q15" s="374"/>
      <c r="R15" s="374"/>
      <c r="U15" s="374"/>
      <c r="V15" s="374"/>
      <c r="W15" s="374"/>
      <c r="X15" s="374"/>
      <c r="Y15" s="374"/>
      <c r="Z15" s="374"/>
    </row>
    <row r="16" spans="1:26">
      <c r="A16" s="381"/>
      <c r="B16" s="428">
        <v>2020</v>
      </c>
      <c r="C16" s="709">
        <f>183.71-F16</f>
        <v>175.16030000000001</v>
      </c>
      <c r="D16" s="709">
        <v>117.3</v>
      </c>
      <c r="E16" s="522">
        <f t="shared" si="0"/>
        <v>57.860300000000009</v>
      </c>
      <c r="F16" s="192">
        <v>8.5496999999999996</v>
      </c>
      <c r="G16" s="381"/>
      <c r="H16" s="381"/>
      <c r="I16" s="381"/>
      <c r="J16" s="381"/>
      <c r="K16" s="88"/>
      <c r="L16" s="88"/>
      <c r="M16" s="374"/>
      <c r="N16" s="374"/>
      <c r="O16" s="374"/>
      <c r="P16" s="374"/>
      <c r="Q16" s="374"/>
      <c r="R16" s="374"/>
      <c r="U16" s="374"/>
      <c r="V16" s="374"/>
      <c r="W16" s="374"/>
      <c r="X16" s="374"/>
      <c r="Y16" s="374"/>
      <c r="Z16" s="374"/>
    </row>
    <row r="17" spans="1:26">
      <c r="A17" s="381"/>
      <c r="B17" s="428">
        <v>2021</v>
      </c>
      <c r="D17" s="381"/>
      <c r="G17" s="381"/>
      <c r="H17" s="381"/>
      <c r="I17" s="381"/>
      <c r="J17" s="381"/>
      <c r="M17" s="374"/>
      <c r="N17" s="374"/>
      <c r="O17" s="374"/>
      <c r="P17" s="374"/>
      <c r="Q17" s="374"/>
      <c r="R17" s="374"/>
      <c r="U17" s="374"/>
      <c r="V17" s="374"/>
      <c r="W17" s="374"/>
      <c r="X17" s="374"/>
      <c r="Y17" s="374"/>
      <c r="Z17" s="374"/>
    </row>
    <row r="18" spans="1:26">
      <c r="A18" s="381"/>
      <c r="B18" s="428">
        <v>2022</v>
      </c>
      <c r="C18" s="84" t="s">
        <v>853</v>
      </c>
      <c r="D18" s="520"/>
      <c r="G18" s="381"/>
      <c r="H18" s="381"/>
      <c r="I18" s="381"/>
      <c r="J18" s="381"/>
      <c r="M18" s="374"/>
      <c r="N18" s="374"/>
      <c r="O18" s="374"/>
      <c r="P18" s="374"/>
      <c r="Q18" s="374"/>
      <c r="R18" s="374"/>
      <c r="U18" s="374"/>
      <c r="V18" s="374"/>
      <c r="W18" s="374"/>
      <c r="X18" s="374"/>
      <c r="Y18" s="374"/>
      <c r="Z18" s="374"/>
    </row>
    <row r="19" spans="1:26">
      <c r="A19" s="381"/>
      <c r="B19" s="428">
        <v>2023</v>
      </c>
      <c r="D19" s="381"/>
      <c r="G19" s="381"/>
      <c r="H19" s="381"/>
      <c r="I19" s="381"/>
      <c r="J19" s="381"/>
      <c r="M19" s="374"/>
      <c r="N19" s="374"/>
      <c r="O19" s="374"/>
      <c r="P19" s="374"/>
      <c r="Q19" s="374"/>
      <c r="R19" s="374"/>
      <c r="U19" s="374"/>
      <c r="V19" s="374"/>
      <c r="W19" s="374"/>
      <c r="X19" s="374"/>
      <c r="Y19" s="374"/>
      <c r="Z19" s="374"/>
    </row>
    <row r="20" spans="1:26">
      <c r="A20" s="381"/>
      <c r="B20" s="80" t="s">
        <v>879</v>
      </c>
      <c r="G20" s="381"/>
      <c r="H20" s="381"/>
      <c r="I20" s="381"/>
      <c r="J20" s="381"/>
      <c r="M20" s="374"/>
      <c r="N20" s="374"/>
      <c r="O20" s="374"/>
      <c r="P20" s="374"/>
      <c r="Q20" s="374"/>
      <c r="R20" s="374"/>
      <c r="U20" s="374"/>
      <c r="V20" s="374"/>
      <c r="W20" s="374"/>
      <c r="X20" s="374"/>
      <c r="Y20" s="374"/>
      <c r="Z20" s="374"/>
    </row>
    <row r="21" spans="1:26" ht="15">
      <c r="A21" s="381"/>
      <c r="B21" s="151"/>
      <c r="D21" s="381"/>
      <c r="G21" s="381"/>
      <c r="H21" s="381"/>
      <c r="I21" s="381"/>
      <c r="J21" s="381"/>
      <c r="M21" s="374"/>
      <c r="N21" s="374"/>
      <c r="O21" s="374"/>
      <c r="P21" s="374"/>
      <c r="Q21" s="374"/>
      <c r="R21" s="374"/>
      <c r="U21" s="374"/>
      <c r="V21" s="374"/>
      <c r="W21" s="374"/>
      <c r="X21" s="374"/>
      <c r="Y21" s="374"/>
      <c r="Z21" s="374"/>
    </row>
    <row r="22" spans="1:26" ht="15">
      <c r="A22" s="381"/>
      <c r="B22" s="151"/>
      <c r="D22" s="381"/>
      <c r="G22" s="381"/>
      <c r="H22" s="381"/>
      <c r="I22" s="381"/>
      <c r="J22" s="381"/>
      <c r="M22" s="374"/>
      <c r="N22" s="374"/>
      <c r="O22" s="374"/>
      <c r="P22" s="374"/>
      <c r="Q22" s="374"/>
      <c r="R22" s="374"/>
      <c r="U22" s="374"/>
      <c r="V22" s="374"/>
      <c r="W22" s="374"/>
      <c r="X22" s="374"/>
      <c r="Y22" s="374"/>
      <c r="Z22" s="374"/>
    </row>
    <row r="23" spans="1:26" ht="15">
      <c r="A23" s="381"/>
      <c r="B23" s="151"/>
      <c r="D23" s="381"/>
      <c r="G23" s="381"/>
      <c r="H23" s="381"/>
      <c r="I23" s="381"/>
      <c r="J23" s="381"/>
      <c r="M23" s="374"/>
      <c r="N23" s="374"/>
      <c r="O23" s="374"/>
      <c r="P23" s="374"/>
      <c r="Q23" s="374"/>
      <c r="R23" s="374"/>
      <c r="U23" s="374"/>
      <c r="V23" s="374"/>
      <c r="W23" s="374"/>
      <c r="X23" s="374"/>
      <c r="Y23" s="374"/>
      <c r="Z23" s="374"/>
    </row>
    <row r="24" spans="1:26" ht="15">
      <c r="A24" s="381"/>
      <c r="B24" s="151"/>
      <c r="D24" s="381"/>
      <c r="G24" s="381"/>
      <c r="H24" s="381"/>
      <c r="I24" s="381"/>
      <c r="J24" s="381"/>
      <c r="M24" s="374"/>
      <c r="N24" s="374"/>
      <c r="O24" s="374"/>
      <c r="P24" s="374"/>
      <c r="Q24" s="374"/>
      <c r="R24" s="374"/>
      <c r="U24" s="374"/>
      <c r="V24" s="374"/>
      <c r="W24" s="374"/>
      <c r="X24" s="374"/>
      <c r="Y24" s="374"/>
      <c r="Z24" s="374"/>
    </row>
    <row r="25" spans="1:26" ht="15">
      <c r="A25" s="381"/>
      <c r="B25" s="151"/>
      <c r="D25" s="381"/>
      <c r="G25" s="381"/>
      <c r="H25" s="381"/>
      <c r="I25" s="381"/>
      <c r="J25" s="381"/>
      <c r="M25" s="374"/>
      <c r="N25" s="374"/>
      <c r="O25" s="374"/>
      <c r="P25" s="374"/>
      <c r="Q25" s="374"/>
      <c r="R25" s="374"/>
      <c r="U25" s="374"/>
      <c r="V25" s="374"/>
      <c r="W25" s="374"/>
      <c r="X25" s="374"/>
      <c r="Y25" s="374"/>
      <c r="Z25" s="374"/>
    </row>
    <row r="26" spans="1:26" ht="15">
      <c r="A26" s="381"/>
      <c r="B26" s="151"/>
      <c r="D26" s="381"/>
      <c r="G26" s="381"/>
      <c r="H26" s="381"/>
      <c r="I26" s="381"/>
      <c r="J26" s="381"/>
      <c r="M26" s="374"/>
      <c r="N26" s="374"/>
      <c r="O26" s="374"/>
      <c r="P26" s="374"/>
      <c r="Q26" s="374"/>
      <c r="R26" s="374"/>
      <c r="U26" s="374"/>
      <c r="V26" s="374"/>
      <c r="W26" s="374"/>
      <c r="X26" s="374"/>
      <c r="Y26" s="374"/>
      <c r="Z26" s="374"/>
    </row>
    <row r="27" spans="1:26" ht="15">
      <c r="A27" s="381"/>
      <c r="B27" s="151"/>
      <c r="D27" s="381"/>
      <c r="G27" s="381"/>
      <c r="H27" s="381"/>
      <c r="I27" s="381"/>
      <c r="J27" s="381"/>
      <c r="M27" s="374"/>
      <c r="N27" s="374"/>
      <c r="O27" s="374"/>
      <c r="P27" s="374"/>
      <c r="Q27" s="374"/>
      <c r="R27" s="374"/>
      <c r="U27" s="374"/>
      <c r="V27" s="374"/>
      <c r="W27" s="374"/>
      <c r="X27" s="374"/>
      <c r="Y27" s="374"/>
      <c r="Z27" s="374"/>
    </row>
    <row r="28" spans="1:26" ht="15">
      <c r="A28" s="381"/>
      <c r="B28" s="150" t="s">
        <v>743</v>
      </c>
      <c r="C28" s="524" t="s">
        <v>808</v>
      </c>
      <c r="D28" s="80" t="s">
        <v>807</v>
      </c>
      <c r="G28" s="381"/>
      <c r="H28" s="381"/>
      <c r="I28" s="381"/>
      <c r="J28" s="381"/>
      <c r="N28" s="374"/>
      <c r="O28" s="374"/>
      <c r="P28" s="374"/>
      <c r="Q28" s="374"/>
      <c r="R28" s="374"/>
      <c r="U28" s="374"/>
      <c r="V28" s="374"/>
      <c r="W28" s="374"/>
      <c r="X28" s="374"/>
      <c r="Y28" s="374"/>
      <c r="Z28" s="374"/>
    </row>
    <row r="29" spans="1:26">
      <c r="A29" s="58"/>
      <c r="N29" s="374"/>
      <c r="O29" s="374"/>
      <c r="P29" s="374"/>
      <c r="Q29" s="374"/>
      <c r="R29" s="374"/>
      <c r="U29" s="374"/>
      <c r="V29" s="374"/>
      <c r="W29" s="374"/>
      <c r="X29" s="374"/>
      <c r="Y29" s="374"/>
      <c r="Z29" s="374"/>
    </row>
    <row r="30" spans="1:26">
      <c r="A30"/>
      <c r="B30" s="192">
        <v>2017</v>
      </c>
      <c r="C30" s="80" t="s">
        <v>803</v>
      </c>
      <c r="D30" s="519" t="s">
        <v>806</v>
      </c>
      <c r="E30"/>
      <c r="F30"/>
      <c r="G30"/>
      <c r="H30"/>
      <c r="I30"/>
      <c r="J30"/>
      <c r="N30" s="374"/>
      <c r="O30" s="374"/>
      <c r="P30" s="374"/>
      <c r="Q30" s="374"/>
      <c r="R30" s="374"/>
      <c r="U30" s="374"/>
      <c r="V30" s="374"/>
      <c r="W30" s="374"/>
      <c r="X30" s="374"/>
      <c r="Y30" s="374"/>
      <c r="Z30" s="374"/>
    </row>
    <row r="31" spans="1:26">
      <c r="A31"/>
      <c r="B31"/>
      <c r="C31" s="80" t="s">
        <v>804</v>
      </c>
      <c r="D31" s="80" t="s">
        <v>805</v>
      </c>
      <c r="E31"/>
      <c r="F31"/>
      <c r="G31"/>
      <c r="H31"/>
      <c r="I31"/>
      <c r="J31"/>
      <c r="N31" s="374"/>
      <c r="O31" s="374"/>
      <c r="P31" s="374"/>
      <c r="Q31" s="374"/>
      <c r="R31" s="374"/>
      <c r="U31" s="374"/>
      <c r="V31" s="374"/>
      <c r="W31" s="374"/>
      <c r="X31" s="374"/>
      <c r="Y31" s="374"/>
      <c r="Z31" s="374"/>
    </row>
    <row r="32" spans="1:26">
      <c r="A32"/>
      <c r="B32"/>
      <c r="C32"/>
      <c r="D32"/>
      <c r="E32"/>
      <c r="F32"/>
      <c r="G32"/>
      <c r="H32"/>
      <c r="I32"/>
      <c r="J32"/>
      <c r="N32" s="374"/>
      <c r="O32" s="374"/>
      <c r="P32" s="374"/>
      <c r="Q32" s="374"/>
      <c r="R32" s="374"/>
      <c r="U32" s="374"/>
      <c r="V32" s="374"/>
      <c r="W32" s="374"/>
      <c r="X32" s="374"/>
      <c r="Y32" s="374"/>
      <c r="Z32" s="374"/>
    </row>
    <row r="33" spans="1:26">
      <c r="A33"/>
      <c r="B33"/>
      <c r="C33"/>
      <c r="D33"/>
      <c r="E33"/>
      <c r="F33"/>
      <c r="G33"/>
      <c r="H33"/>
      <c r="I33"/>
      <c r="J33"/>
      <c r="U33" s="374"/>
      <c r="V33" s="374"/>
      <c r="W33" s="374"/>
      <c r="X33" s="374"/>
      <c r="Y33" s="374"/>
      <c r="Z33" s="374"/>
    </row>
    <row r="34" spans="1:26">
      <c r="A34"/>
      <c r="B34"/>
      <c r="C34"/>
      <c r="D34"/>
      <c r="E34"/>
      <c r="F34"/>
      <c r="G34"/>
      <c r="H34"/>
      <c r="I34"/>
      <c r="J34"/>
      <c r="U34" s="374"/>
      <c r="V34" s="374"/>
      <c r="W34" s="374"/>
      <c r="X34" s="374"/>
      <c r="Y34" s="374"/>
      <c r="Z34" s="374"/>
    </row>
    <row r="35" spans="1:26">
      <c r="A35"/>
      <c r="B35"/>
      <c r="C35"/>
      <c r="D35"/>
      <c r="E35"/>
      <c r="F35"/>
      <c r="G35"/>
      <c r="H35"/>
      <c r="I35"/>
      <c r="J35"/>
      <c r="U35" s="374"/>
      <c r="V35" s="374"/>
      <c r="W35" s="374"/>
      <c r="X35" s="374"/>
      <c r="Y35" s="374"/>
      <c r="Z35" s="374"/>
    </row>
    <row r="36" spans="1:26">
      <c r="A36"/>
      <c r="B36"/>
      <c r="C36"/>
      <c r="D36"/>
      <c r="E36"/>
      <c r="F36"/>
      <c r="G36"/>
      <c r="H36"/>
      <c r="I36"/>
      <c r="J36"/>
      <c r="U36" s="374"/>
      <c r="V36" s="374"/>
      <c r="W36" s="374"/>
      <c r="X36" s="374"/>
      <c r="Y36" s="374"/>
      <c r="Z36" s="374"/>
    </row>
    <row r="37" spans="1:26">
      <c r="A37"/>
      <c r="B37"/>
      <c r="C37"/>
      <c r="D37"/>
      <c r="E37"/>
      <c r="F37"/>
      <c r="G37"/>
      <c r="H37"/>
      <c r="I37"/>
      <c r="J37"/>
      <c r="U37" s="374"/>
      <c r="V37" s="374"/>
      <c r="W37" s="374"/>
      <c r="X37" s="374"/>
      <c r="Y37" s="374"/>
      <c r="Z37" s="374"/>
    </row>
    <row r="38" spans="1:26">
      <c r="A38"/>
      <c r="B38"/>
      <c r="C38"/>
      <c r="D38"/>
      <c r="E38"/>
      <c r="F38"/>
      <c r="G38"/>
      <c r="H38"/>
      <c r="I38"/>
      <c r="J38"/>
      <c r="U38" s="374"/>
      <c r="V38" s="374"/>
      <c r="W38" s="374"/>
      <c r="X38" s="374"/>
      <c r="Y38" s="374"/>
      <c r="Z38" s="374"/>
    </row>
    <row r="39" spans="1:26">
      <c r="A39"/>
      <c r="B39"/>
      <c r="C39"/>
      <c r="D39"/>
      <c r="E39"/>
      <c r="F39"/>
      <c r="G39"/>
      <c r="H39"/>
      <c r="I39"/>
      <c r="J39"/>
      <c r="U39" s="374"/>
      <c r="V39" s="374"/>
      <c r="W39" s="374"/>
      <c r="X39" s="374"/>
      <c r="Y39" s="374"/>
      <c r="Z39" s="374"/>
    </row>
    <row r="40" spans="1:26">
      <c r="A40"/>
      <c r="B40"/>
      <c r="C40"/>
      <c r="D40"/>
      <c r="E40"/>
      <c r="F40"/>
      <c r="G40"/>
      <c r="H40"/>
      <c r="I40"/>
      <c r="J40"/>
      <c r="U40" s="374"/>
      <c r="V40" s="374"/>
      <c r="W40" s="374"/>
      <c r="X40" s="374"/>
      <c r="Y40" s="374"/>
      <c r="Z40" s="374"/>
    </row>
    <row r="41" spans="1:26">
      <c r="A41"/>
      <c r="B41"/>
      <c r="C41"/>
      <c r="D41"/>
      <c r="E41"/>
      <c r="F41"/>
      <c r="G41"/>
      <c r="H41"/>
      <c r="I41"/>
      <c r="J41"/>
      <c r="U41" s="374"/>
      <c r="V41" s="374"/>
      <c r="W41" s="374"/>
      <c r="X41" s="374"/>
      <c r="Y41" s="374"/>
      <c r="Z41" s="374"/>
    </row>
    <row r="42" spans="1:26">
      <c r="A42"/>
      <c r="B42"/>
      <c r="C42"/>
      <c r="D42"/>
      <c r="E42"/>
      <c r="F42"/>
      <c r="G42"/>
      <c r="H42"/>
      <c r="I42"/>
      <c r="J42"/>
      <c r="U42" s="374"/>
      <c r="V42" s="374"/>
      <c r="W42" s="374"/>
      <c r="X42" s="374"/>
      <c r="Y42" s="374"/>
      <c r="Z42" s="374"/>
    </row>
    <row r="43" spans="1:26">
      <c r="A43"/>
      <c r="B43"/>
      <c r="C43"/>
      <c r="D43"/>
      <c r="E43"/>
      <c r="F43"/>
      <c r="G43"/>
      <c r="H43"/>
      <c r="I43"/>
      <c r="J43"/>
      <c r="U43" s="374"/>
      <c r="V43" s="374"/>
      <c r="W43" s="374"/>
      <c r="X43" s="374"/>
      <c r="Y43" s="374"/>
      <c r="Z43" s="374"/>
    </row>
    <row r="44" spans="1:26">
      <c r="A44"/>
      <c r="B44"/>
      <c r="C44"/>
      <c r="D44"/>
      <c r="E44"/>
      <c r="F44"/>
      <c r="G44"/>
      <c r="H44"/>
      <c r="I44"/>
      <c r="J44"/>
      <c r="U44" s="374"/>
      <c r="V44" s="374"/>
      <c r="W44" s="374"/>
      <c r="X44" s="374"/>
      <c r="Y44" s="374"/>
      <c r="Z44" s="374"/>
    </row>
    <row r="45" spans="1:26">
      <c r="A45"/>
      <c r="B45"/>
      <c r="C45"/>
      <c r="D45"/>
      <c r="E45"/>
      <c r="F45"/>
      <c r="G45"/>
      <c r="H45"/>
      <c r="I45"/>
      <c r="J45"/>
      <c r="U45" s="374"/>
      <c r="V45" s="374"/>
      <c r="W45" s="374"/>
      <c r="X45" s="374"/>
      <c r="Y45" s="374"/>
      <c r="Z45" s="374"/>
    </row>
    <row r="46" spans="1:26">
      <c r="A46"/>
      <c r="B46"/>
      <c r="C46"/>
      <c r="D46"/>
      <c r="E46"/>
      <c r="F46"/>
      <c r="G46"/>
      <c r="H46"/>
      <c r="I46"/>
      <c r="J46"/>
      <c r="U46" s="374"/>
      <c r="V46" s="374"/>
      <c r="W46" s="374"/>
      <c r="X46" s="374"/>
      <c r="Y46" s="374"/>
      <c r="Z46" s="374"/>
    </row>
    <row r="47" spans="1:26">
      <c r="A47"/>
      <c r="B47"/>
      <c r="C47"/>
      <c r="D47"/>
      <c r="E47"/>
      <c r="F47"/>
      <c r="G47"/>
      <c r="H47"/>
      <c r="I47"/>
      <c r="J47"/>
      <c r="U47" s="374"/>
      <c r="V47" s="374"/>
      <c r="W47" s="374"/>
      <c r="X47" s="374"/>
      <c r="Y47" s="374"/>
      <c r="Z47" s="374"/>
    </row>
    <row r="48" spans="1:26">
      <c r="A48"/>
      <c r="B48"/>
      <c r="C48"/>
      <c r="D48"/>
      <c r="E48"/>
      <c r="F48"/>
      <c r="G48"/>
      <c r="H48"/>
      <c r="I48"/>
      <c r="J48"/>
      <c r="U48" s="374"/>
      <c r="V48" s="374"/>
      <c r="W48" s="374"/>
      <c r="X48" s="374"/>
      <c r="Y48" s="374"/>
      <c r="Z48" s="374"/>
    </row>
    <row r="49" spans="1:26">
      <c r="A49"/>
      <c r="B49"/>
      <c r="C49"/>
      <c r="D49"/>
      <c r="E49"/>
      <c r="F49"/>
      <c r="G49"/>
      <c r="H49"/>
      <c r="I49"/>
      <c r="J49"/>
      <c r="U49" s="374"/>
      <c r="V49" s="374"/>
      <c r="W49" s="374"/>
      <c r="X49" s="374"/>
      <c r="Y49" s="374"/>
      <c r="Z49" s="374"/>
    </row>
    <row r="50" spans="1:26">
      <c r="A50"/>
      <c r="B50"/>
      <c r="C50"/>
      <c r="D50"/>
      <c r="E50"/>
      <c r="F50"/>
      <c r="G50"/>
      <c r="H50"/>
      <c r="I50"/>
      <c r="J50"/>
      <c r="U50" s="374"/>
      <c r="V50" s="374"/>
      <c r="W50" s="374"/>
      <c r="X50" s="374"/>
      <c r="Y50" s="374"/>
      <c r="Z50" s="374"/>
    </row>
    <row r="51" spans="1:26">
      <c r="A51"/>
      <c r="B51"/>
      <c r="C51"/>
      <c r="D51"/>
      <c r="E51"/>
      <c r="F51"/>
      <c r="G51"/>
      <c r="H51"/>
      <c r="I51"/>
      <c r="J51"/>
      <c r="U51" s="374"/>
      <c r="V51" s="374"/>
      <c r="W51" s="374"/>
      <c r="X51" s="374"/>
      <c r="Y51" s="374"/>
      <c r="Z51" s="374"/>
    </row>
    <row r="52" spans="1:26">
      <c r="A52"/>
      <c r="B52"/>
      <c r="C52"/>
      <c r="D52"/>
      <c r="E52"/>
      <c r="F52"/>
      <c r="G52"/>
      <c r="H52"/>
      <c r="I52"/>
      <c r="J52"/>
      <c r="U52" s="374"/>
      <c r="V52" s="374"/>
      <c r="W52" s="374"/>
      <c r="X52" s="374"/>
      <c r="Y52" s="374"/>
      <c r="Z52" s="374"/>
    </row>
    <row r="53" spans="1:26">
      <c r="A53"/>
      <c r="B53"/>
      <c r="C53"/>
      <c r="D53"/>
      <c r="E53"/>
      <c r="F53"/>
      <c r="G53"/>
      <c r="H53"/>
      <c r="I53"/>
      <c r="J53"/>
      <c r="U53" s="374"/>
      <c r="V53" s="374"/>
      <c r="W53" s="374"/>
      <c r="X53" s="374"/>
      <c r="Y53" s="374"/>
      <c r="Z53" s="374"/>
    </row>
    <row r="54" spans="1:26">
      <c r="A54"/>
      <c r="B54"/>
      <c r="C54"/>
      <c r="D54"/>
      <c r="E54"/>
      <c r="F54"/>
      <c r="G54"/>
      <c r="H54"/>
      <c r="I54"/>
      <c r="J54"/>
      <c r="U54" s="374"/>
      <c r="V54" s="374"/>
      <c r="W54" s="374"/>
      <c r="X54" s="374"/>
      <c r="Y54" s="374"/>
      <c r="Z54" s="374"/>
    </row>
    <row r="55" spans="1:26">
      <c r="U55" s="374"/>
      <c r="V55" s="374"/>
      <c r="W55" s="374"/>
      <c r="X55" s="374"/>
      <c r="Y55" s="374"/>
      <c r="Z55" s="374"/>
    </row>
    <row r="56" spans="1:26">
      <c r="U56" s="374"/>
      <c r="V56" s="374"/>
      <c r="W56" s="374"/>
      <c r="X56" s="374"/>
      <c r="Y56" s="374"/>
      <c r="Z56" s="374"/>
    </row>
    <row r="57" spans="1:26">
      <c r="U57" s="374"/>
      <c r="V57" s="374"/>
      <c r="W57" s="374"/>
      <c r="X57" s="374"/>
      <c r="Y57" s="374"/>
      <c r="Z57" s="374"/>
    </row>
    <row r="58" spans="1:26">
      <c r="U58" s="374"/>
      <c r="V58" s="374"/>
      <c r="W58" s="374"/>
      <c r="X58" s="374"/>
      <c r="Y58" s="374"/>
      <c r="Z58" s="374"/>
    </row>
    <row r="59" spans="1:26">
      <c r="U59" s="374"/>
      <c r="V59" s="374"/>
      <c r="W59" s="374"/>
      <c r="X59" s="374"/>
      <c r="Y59" s="374"/>
      <c r="Z59" s="374"/>
    </row>
    <row r="60" spans="1:26">
      <c r="U60" s="374"/>
      <c r="V60" s="374"/>
      <c r="W60" s="374"/>
      <c r="X60" s="374"/>
      <c r="Y60" s="374"/>
      <c r="Z60" s="374"/>
    </row>
    <row r="61" spans="1:26">
      <c r="U61" s="374"/>
      <c r="V61" s="374"/>
      <c r="W61" s="374"/>
      <c r="X61" s="374"/>
      <c r="Y61" s="374"/>
      <c r="Z61" s="374"/>
    </row>
    <row r="62" spans="1:26">
      <c r="U62" s="374"/>
      <c r="V62" s="374"/>
      <c r="W62" s="374"/>
      <c r="X62" s="374"/>
      <c r="Y62" s="374"/>
      <c r="Z62" s="374"/>
    </row>
    <row r="63" spans="1:26">
      <c r="U63" s="374"/>
      <c r="V63" s="374"/>
      <c r="W63" s="374"/>
      <c r="X63" s="374"/>
      <c r="Y63" s="374"/>
      <c r="Z63" s="374"/>
    </row>
    <row r="64" spans="1:26">
      <c r="U64" s="374"/>
      <c r="V64" s="374"/>
      <c r="W64" s="374"/>
      <c r="X64" s="374"/>
      <c r="Y64" s="374"/>
      <c r="Z64" s="374"/>
    </row>
    <row r="65" spans="2:26">
      <c r="U65" s="374"/>
      <c r="V65" s="374"/>
      <c r="W65" s="374"/>
      <c r="X65" s="374"/>
      <c r="Y65" s="374"/>
      <c r="Z65" s="374"/>
    </row>
    <row r="66" spans="2:26">
      <c r="U66" s="374"/>
      <c r="V66" s="374"/>
      <c r="W66" s="374"/>
      <c r="X66" s="374"/>
      <c r="Y66" s="374"/>
      <c r="Z66" s="374"/>
    </row>
    <row r="67" spans="2:26">
      <c r="U67" s="374"/>
      <c r="V67" s="374"/>
      <c r="W67" s="374"/>
      <c r="X67" s="374"/>
      <c r="Y67" s="374"/>
      <c r="Z67" s="374"/>
    </row>
    <row r="68" spans="2:26">
      <c r="U68" s="374"/>
      <c r="V68" s="374"/>
      <c r="W68" s="374"/>
      <c r="X68" s="374"/>
      <c r="Y68" s="374"/>
      <c r="Z68" s="374"/>
    </row>
    <row r="69" spans="2:26">
      <c r="B69" s="204"/>
      <c r="C69" s="204"/>
      <c r="D69" s="204"/>
      <c r="E69" s="204"/>
      <c r="F69" s="204"/>
      <c r="G69" s="204"/>
      <c r="H69" s="204"/>
      <c r="I69" s="204"/>
      <c r="U69" s="374"/>
      <c r="V69" s="374"/>
      <c r="W69" s="374"/>
      <c r="X69" s="374"/>
      <c r="Y69" s="374"/>
      <c r="Z69" s="374"/>
    </row>
    <row r="70" spans="2:26">
      <c r="B70" s="204"/>
      <c r="C70" s="205" t="s">
        <v>568</v>
      </c>
      <c r="D70" s="206" t="s">
        <v>569</v>
      </c>
      <c r="E70" s="206" t="s">
        <v>570</v>
      </c>
      <c r="F70" s="206" t="s">
        <v>571</v>
      </c>
      <c r="G70" s="206" t="s">
        <v>572</v>
      </c>
      <c r="H70" s="206" t="s">
        <v>573</v>
      </c>
      <c r="I70" s="206" t="s">
        <v>573</v>
      </c>
      <c r="U70" s="374"/>
      <c r="V70" s="374"/>
      <c r="W70" s="374"/>
      <c r="X70" s="374"/>
      <c r="Y70" s="374"/>
      <c r="Z70" s="374"/>
    </row>
    <row r="71" spans="2:26">
      <c r="B71" s="204"/>
      <c r="C71" s="205" t="s">
        <v>574</v>
      </c>
      <c r="D71" s="207">
        <v>6647.31</v>
      </c>
      <c r="E71" s="207">
        <v>2675.25</v>
      </c>
      <c r="F71" s="208">
        <v>2688.21</v>
      </c>
      <c r="G71" s="208">
        <v>6634.35</v>
      </c>
      <c r="H71" s="209">
        <f t="shared" ref="H71:I75" si="1">F71/D71</f>
        <v>0.4044056919265086</v>
      </c>
      <c r="I71" s="209">
        <f t="shared" si="1"/>
        <v>2.4798990748528178</v>
      </c>
      <c r="U71" s="374"/>
      <c r="V71" s="374"/>
      <c r="W71" s="374"/>
      <c r="X71" s="374"/>
      <c r="Y71" s="374"/>
      <c r="Z71" s="374"/>
    </row>
    <row r="72" spans="2:26">
      <c r="B72" s="204"/>
      <c r="C72" s="205" t="s">
        <v>575</v>
      </c>
      <c r="D72" s="207">
        <v>623.97</v>
      </c>
      <c r="E72" s="207">
        <v>531.80999999999995</v>
      </c>
      <c r="F72" s="208">
        <v>104.04</v>
      </c>
      <c r="G72" s="208">
        <v>1051.74</v>
      </c>
      <c r="H72" s="209">
        <f t="shared" si="1"/>
        <v>0.16673878551853455</v>
      </c>
      <c r="I72" s="209">
        <f t="shared" si="1"/>
        <v>1.9776611947876124</v>
      </c>
      <c r="U72" s="374"/>
      <c r="V72" s="374"/>
      <c r="W72" s="374"/>
      <c r="X72" s="374"/>
      <c r="Y72" s="374"/>
      <c r="Z72" s="374"/>
    </row>
    <row r="73" spans="2:26">
      <c r="B73" s="204"/>
      <c r="C73" s="205" t="s">
        <v>576</v>
      </c>
      <c r="D73" s="207">
        <v>5478.48</v>
      </c>
      <c r="E73" s="207">
        <v>3456.54</v>
      </c>
      <c r="F73" s="208">
        <v>2812.5</v>
      </c>
      <c r="G73" s="208">
        <v>6122.52</v>
      </c>
      <c r="H73" s="209">
        <f t="shared" si="1"/>
        <v>0.51337232224996721</v>
      </c>
      <c r="I73" s="209">
        <f t="shared" si="1"/>
        <v>1.7712857366036558</v>
      </c>
      <c r="U73" s="374"/>
      <c r="V73" s="374"/>
      <c r="W73" s="374"/>
      <c r="X73" s="374"/>
      <c r="Y73" s="374"/>
      <c r="Z73" s="374"/>
    </row>
    <row r="74" spans="2:26">
      <c r="B74" s="204"/>
      <c r="C74" s="205" t="s">
        <v>577</v>
      </c>
      <c r="D74" s="207">
        <v>660.96</v>
      </c>
      <c r="E74" s="207">
        <v>416.79</v>
      </c>
      <c r="F74" s="208">
        <v>249.57</v>
      </c>
      <c r="G74" s="208">
        <v>828.18</v>
      </c>
      <c r="H74" s="209">
        <f t="shared" si="1"/>
        <v>0.37758714596949888</v>
      </c>
      <c r="I74" s="209">
        <f t="shared" si="1"/>
        <v>1.9870438350248325</v>
      </c>
      <c r="U74" s="374"/>
      <c r="V74" s="374"/>
      <c r="W74" s="374"/>
      <c r="X74" s="374"/>
      <c r="Y74" s="374"/>
      <c r="Z74" s="374"/>
    </row>
    <row r="75" spans="2:26">
      <c r="B75" s="204"/>
      <c r="C75" s="205" t="s">
        <v>510</v>
      </c>
      <c r="D75" s="207">
        <f>SUM(D71:D74)</f>
        <v>13410.720000000001</v>
      </c>
      <c r="E75" s="207">
        <f>SUM(E71:E74)</f>
        <v>7080.39</v>
      </c>
      <c r="F75" s="207">
        <f>SUM(F71:F74)</f>
        <v>5854.32</v>
      </c>
      <c r="G75" s="207">
        <f>SUM(G71:G74)</f>
        <v>14636.79</v>
      </c>
      <c r="H75" s="209">
        <f t="shared" si="1"/>
        <v>0.43654031998281967</v>
      </c>
      <c r="I75" s="209">
        <f t="shared" si="1"/>
        <v>2.0672293475359407</v>
      </c>
      <c r="U75" s="374"/>
      <c r="V75" s="374"/>
      <c r="W75" s="374"/>
      <c r="X75" s="374"/>
      <c r="Y75" s="374"/>
      <c r="Z75" s="374"/>
    </row>
    <row r="76" spans="2:26">
      <c r="U76" s="374"/>
      <c r="V76" s="374"/>
      <c r="W76" s="374"/>
      <c r="X76" s="374"/>
      <c r="Y76" s="374"/>
      <c r="Z76" s="374"/>
    </row>
    <row r="77" spans="2:26">
      <c r="U77" s="374"/>
      <c r="V77" s="374"/>
      <c r="W77" s="374"/>
      <c r="X77" s="374"/>
      <c r="Y77" s="374"/>
      <c r="Z77" s="374"/>
    </row>
    <row r="78" spans="2:26">
      <c r="U78" s="374"/>
      <c r="V78" s="374"/>
      <c r="W78" s="374"/>
      <c r="X78" s="374"/>
      <c r="Y78" s="374"/>
      <c r="Z78" s="374"/>
    </row>
    <row r="79" spans="2:26">
      <c r="U79" s="374"/>
      <c r="V79" s="374"/>
      <c r="W79" s="374"/>
      <c r="X79" s="374"/>
      <c r="Y79" s="374"/>
      <c r="Z79" s="374"/>
    </row>
    <row r="80" spans="2:26">
      <c r="U80" s="374"/>
      <c r="V80" s="374"/>
      <c r="W80" s="374"/>
      <c r="X80" s="374"/>
      <c r="Y80" s="374"/>
      <c r="Z80" s="374"/>
    </row>
    <row r="81" spans="21:26">
      <c r="U81" s="374"/>
      <c r="V81" s="374"/>
      <c r="W81" s="374"/>
      <c r="X81" s="374"/>
      <c r="Y81" s="374"/>
      <c r="Z81" s="374"/>
    </row>
    <row r="82" spans="21:26">
      <c r="U82" s="374"/>
      <c r="V82" s="374"/>
      <c r="W82" s="374"/>
      <c r="X82" s="374"/>
      <c r="Y82" s="374"/>
      <c r="Z82" s="374"/>
    </row>
    <row r="83" spans="21:26">
      <c r="U83" s="374"/>
      <c r="V83" s="374"/>
      <c r="W83" s="374"/>
      <c r="X83" s="374"/>
      <c r="Y83" s="374"/>
      <c r="Z83" s="374"/>
    </row>
    <row r="84" spans="21:26">
      <c r="U84" s="374"/>
      <c r="V84" s="374"/>
      <c r="W84" s="374"/>
      <c r="X84" s="374"/>
      <c r="Y84" s="374"/>
      <c r="Z84" s="374"/>
    </row>
    <row r="85" spans="21:26">
      <c r="U85" s="374"/>
      <c r="V85" s="374"/>
      <c r="W85" s="374"/>
      <c r="X85" s="374"/>
      <c r="Y85" s="374"/>
      <c r="Z85" s="374"/>
    </row>
    <row r="86" spans="21:26">
      <c r="U86" s="374"/>
      <c r="V86" s="374"/>
      <c r="W86" s="374"/>
      <c r="X86" s="374"/>
      <c r="Y86" s="374"/>
      <c r="Z86" s="374"/>
    </row>
    <row r="87" spans="21:26">
      <c r="U87" s="374"/>
      <c r="V87" s="374"/>
      <c r="W87" s="374"/>
      <c r="X87" s="374"/>
      <c r="Y87" s="374"/>
      <c r="Z87" s="374"/>
    </row>
    <row r="88" spans="21:26">
      <c r="U88" s="374"/>
      <c r="V88" s="374"/>
      <c r="W88" s="374"/>
      <c r="X88" s="374"/>
      <c r="Y88" s="374"/>
      <c r="Z88" s="374"/>
    </row>
    <row r="89" spans="21:26">
      <c r="U89" s="374"/>
      <c r="V89" s="374"/>
      <c r="W89" s="374"/>
      <c r="X89" s="374"/>
      <c r="Y89" s="374"/>
      <c r="Z89" s="374"/>
    </row>
    <row r="90" spans="21:26">
      <c r="U90" s="374"/>
      <c r="V90" s="374"/>
      <c r="W90" s="374"/>
      <c r="X90" s="374"/>
      <c r="Y90" s="374"/>
      <c r="Z90" s="374"/>
    </row>
    <row r="91" spans="21:26">
      <c r="U91" s="374"/>
      <c r="V91" s="374"/>
      <c r="W91" s="374"/>
      <c r="X91" s="374"/>
      <c r="Y91" s="374"/>
      <c r="Z91" s="374"/>
    </row>
    <row r="92" spans="21:26">
      <c r="U92" s="374"/>
      <c r="V92" s="374"/>
      <c r="W92" s="374"/>
      <c r="X92" s="374"/>
      <c r="Y92" s="374"/>
      <c r="Z92" s="374"/>
    </row>
    <row r="93" spans="21:26">
      <c r="U93" s="374"/>
      <c r="V93" s="374"/>
      <c r="W93" s="374"/>
      <c r="X93" s="374"/>
      <c r="Y93" s="374"/>
      <c r="Z93" s="374"/>
    </row>
    <row r="94" spans="21:26">
      <c r="U94" s="374"/>
      <c r="V94" s="374"/>
      <c r="W94" s="374"/>
      <c r="X94" s="374"/>
      <c r="Y94" s="374"/>
      <c r="Z94" s="374"/>
    </row>
    <row r="95" spans="21:26">
      <c r="U95" s="374"/>
      <c r="V95" s="374"/>
      <c r="W95" s="374"/>
      <c r="X95" s="374"/>
      <c r="Y95" s="374"/>
      <c r="Z95" s="374"/>
    </row>
    <row r="96" spans="21:26">
      <c r="U96" s="374"/>
      <c r="V96" s="374"/>
      <c r="W96" s="374"/>
      <c r="X96" s="374"/>
      <c r="Y96" s="374"/>
      <c r="Z96" s="374"/>
    </row>
    <row r="97" spans="21:26">
      <c r="U97" s="374"/>
      <c r="V97" s="374"/>
      <c r="W97" s="374"/>
      <c r="X97" s="374"/>
      <c r="Y97" s="374"/>
      <c r="Z97" s="374"/>
    </row>
    <row r="98" spans="21:26">
      <c r="U98" s="374"/>
      <c r="V98" s="374"/>
      <c r="W98" s="374"/>
      <c r="X98" s="374"/>
      <c r="Y98" s="374"/>
      <c r="Z98" s="374"/>
    </row>
    <row r="99" spans="21:26">
      <c r="U99" s="374"/>
      <c r="V99" s="374"/>
      <c r="W99" s="374"/>
      <c r="X99" s="374"/>
      <c r="Y99" s="374"/>
      <c r="Z99" s="374"/>
    </row>
    <row r="100" spans="21:26">
      <c r="U100" s="374"/>
      <c r="V100" s="374"/>
      <c r="W100" s="374"/>
      <c r="X100" s="374"/>
      <c r="Y100" s="374"/>
      <c r="Z100" s="374"/>
    </row>
    <row r="101" spans="21:26">
      <c r="U101" s="374"/>
      <c r="V101" s="374"/>
      <c r="W101" s="374"/>
      <c r="X101" s="374"/>
      <c r="Y101" s="374"/>
      <c r="Z101" s="374"/>
    </row>
    <row r="102" spans="21:26">
      <c r="U102" s="374"/>
      <c r="V102" s="374"/>
      <c r="W102" s="374"/>
      <c r="X102" s="374"/>
      <c r="Y102" s="374"/>
      <c r="Z102" s="374"/>
    </row>
    <row r="103" spans="21:26">
      <c r="U103" s="374"/>
      <c r="V103" s="374"/>
      <c r="W103" s="374"/>
      <c r="X103" s="374"/>
      <c r="Y103" s="374"/>
      <c r="Z103" s="374"/>
    </row>
    <row r="104" spans="21:26">
      <c r="U104" s="374"/>
      <c r="V104" s="374"/>
      <c r="W104" s="374"/>
      <c r="X104" s="374"/>
      <c r="Y104" s="374"/>
      <c r="Z104" s="374"/>
    </row>
    <row r="105" spans="21:26">
      <c r="U105" s="374"/>
      <c r="V105" s="374"/>
      <c r="W105" s="374"/>
      <c r="X105" s="374"/>
      <c r="Y105" s="374"/>
      <c r="Z105" s="374"/>
    </row>
    <row r="106" spans="21:26">
      <c r="U106" s="374"/>
      <c r="V106" s="374"/>
      <c r="W106" s="374"/>
      <c r="X106" s="374"/>
      <c r="Y106" s="374"/>
      <c r="Z106" s="374"/>
    </row>
    <row r="107" spans="21:26">
      <c r="U107" s="374"/>
      <c r="V107" s="374"/>
      <c r="W107" s="374"/>
      <c r="X107" s="374"/>
      <c r="Y107" s="374"/>
      <c r="Z107" s="374"/>
    </row>
    <row r="108" spans="21:26">
      <c r="U108" s="374"/>
      <c r="V108" s="374"/>
      <c r="W108" s="374"/>
      <c r="X108" s="374"/>
      <c r="Y108" s="374"/>
      <c r="Z108" s="374"/>
    </row>
    <row r="109" spans="21:26">
      <c r="U109" s="374"/>
      <c r="V109" s="374"/>
      <c r="W109" s="374"/>
      <c r="X109" s="374"/>
      <c r="Y109" s="374"/>
      <c r="Z109" s="374"/>
    </row>
    <row r="110" spans="21:26">
      <c r="U110" s="374"/>
      <c r="V110" s="374"/>
      <c r="W110" s="374"/>
      <c r="X110" s="374"/>
      <c r="Y110" s="374"/>
      <c r="Z110" s="374"/>
    </row>
    <row r="111" spans="21:26">
      <c r="U111" s="374"/>
      <c r="V111" s="374"/>
      <c r="W111" s="374"/>
      <c r="X111" s="374"/>
      <c r="Y111" s="374"/>
      <c r="Z111" s="374"/>
    </row>
    <row r="112" spans="21:26">
      <c r="U112" s="374"/>
      <c r="V112" s="374"/>
      <c r="W112" s="374"/>
      <c r="X112" s="374"/>
      <c r="Y112" s="374"/>
      <c r="Z112" s="374"/>
    </row>
    <row r="113" spans="21:26">
      <c r="U113" s="374"/>
      <c r="V113" s="374"/>
      <c r="W113" s="374"/>
      <c r="X113" s="374"/>
      <c r="Y113" s="374"/>
      <c r="Z113" s="374"/>
    </row>
    <row r="114" spans="21:26">
      <c r="U114" s="374"/>
      <c r="V114" s="374"/>
      <c r="W114" s="374"/>
      <c r="X114" s="374"/>
      <c r="Y114" s="374"/>
      <c r="Z114" s="374"/>
    </row>
    <row r="115" spans="21:26">
      <c r="U115" s="374"/>
      <c r="V115" s="374"/>
      <c r="W115" s="374"/>
      <c r="X115" s="374"/>
      <c r="Y115" s="374"/>
      <c r="Z115" s="374"/>
    </row>
    <row r="116" spans="21:26">
      <c r="U116" s="374"/>
      <c r="V116" s="374"/>
      <c r="W116" s="374"/>
      <c r="X116" s="374"/>
      <c r="Y116" s="374"/>
      <c r="Z116" s="374"/>
    </row>
    <row r="117" spans="21:26">
      <c r="U117" s="374"/>
      <c r="V117" s="374"/>
      <c r="W117" s="374"/>
      <c r="X117" s="374"/>
      <c r="Y117" s="374"/>
      <c r="Z117" s="374"/>
    </row>
    <row r="118" spans="21:26">
      <c r="U118" s="374"/>
      <c r="V118" s="374"/>
      <c r="W118" s="374"/>
      <c r="X118" s="374"/>
      <c r="Y118" s="374"/>
      <c r="Z118" s="374"/>
    </row>
    <row r="119" spans="21:26">
      <c r="U119" s="374"/>
      <c r="V119" s="374"/>
      <c r="W119" s="374"/>
      <c r="X119" s="374"/>
      <c r="Y119" s="374"/>
      <c r="Z119" s="374"/>
    </row>
    <row r="120" spans="21:26">
      <c r="U120" s="374"/>
      <c r="V120" s="374"/>
      <c r="W120" s="374"/>
      <c r="X120" s="374"/>
      <c r="Y120" s="374"/>
      <c r="Z120" s="374"/>
    </row>
    <row r="121" spans="21:26">
      <c r="U121" s="374"/>
      <c r="V121" s="374"/>
      <c r="W121" s="374"/>
      <c r="X121" s="374"/>
      <c r="Y121" s="374"/>
      <c r="Z121" s="374"/>
    </row>
    <row r="122" spans="21:26">
      <c r="U122" s="374"/>
      <c r="V122" s="374"/>
      <c r="W122" s="374"/>
      <c r="X122" s="374"/>
      <c r="Y122" s="374"/>
      <c r="Z122" s="374"/>
    </row>
    <row r="123" spans="21:26">
      <c r="U123" s="374"/>
      <c r="V123" s="374"/>
      <c r="W123" s="374"/>
      <c r="X123" s="374"/>
      <c r="Y123" s="374"/>
      <c r="Z123" s="374"/>
    </row>
    <row r="124" spans="21:26">
      <c r="U124" s="374"/>
      <c r="V124" s="374"/>
      <c r="W124" s="374"/>
      <c r="X124" s="374"/>
      <c r="Y124" s="374"/>
      <c r="Z124" s="374"/>
    </row>
    <row r="125" spans="21:26">
      <c r="U125" s="374"/>
      <c r="V125" s="374"/>
      <c r="W125" s="374"/>
      <c r="X125" s="374"/>
      <c r="Y125" s="374"/>
      <c r="Z125" s="374"/>
    </row>
    <row r="126" spans="21:26">
      <c r="U126" s="374"/>
      <c r="V126" s="374"/>
      <c r="W126" s="374"/>
      <c r="X126" s="374"/>
      <c r="Y126" s="374"/>
      <c r="Z126" s="374"/>
    </row>
    <row r="127" spans="21:26">
      <c r="U127" s="374"/>
      <c r="V127" s="374"/>
      <c r="W127" s="374"/>
      <c r="X127" s="374"/>
      <c r="Y127" s="374"/>
      <c r="Z127" s="374"/>
    </row>
    <row r="128" spans="21:26">
      <c r="U128" s="374"/>
      <c r="V128" s="374"/>
      <c r="W128" s="374"/>
      <c r="X128" s="374"/>
      <c r="Y128" s="374"/>
      <c r="Z128" s="374"/>
    </row>
    <row r="129" spans="21:26">
      <c r="U129" s="374"/>
      <c r="V129" s="374"/>
      <c r="W129" s="374"/>
      <c r="X129" s="374"/>
      <c r="Y129" s="374"/>
      <c r="Z129" s="374"/>
    </row>
    <row r="130" spans="21:26">
      <c r="U130" s="374"/>
      <c r="V130" s="374"/>
      <c r="W130" s="374"/>
      <c r="X130" s="374"/>
      <c r="Y130" s="374"/>
      <c r="Z130" s="374"/>
    </row>
    <row r="131" spans="21:26">
      <c r="U131" s="374"/>
      <c r="V131" s="374"/>
      <c r="W131" s="374"/>
      <c r="X131" s="374"/>
      <c r="Y131" s="374"/>
      <c r="Z131" s="374"/>
    </row>
    <row r="132" spans="21:26">
      <c r="U132" s="374"/>
      <c r="V132" s="374"/>
      <c r="W132" s="374"/>
      <c r="X132" s="374"/>
      <c r="Y132" s="374"/>
      <c r="Z132" s="374"/>
    </row>
    <row r="133" spans="21:26">
      <c r="U133" s="374"/>
      <c r="V133" s="374"/>
      <c r="W133" s="374"/>
      <c r="X133" s="374"/>
      <c r="Y133" s="374"/>
      <c r="Z133" s="374"/>
    </row>
    <row r="134" spans="21:26">
      <c r="U134" s="374"/>
      <c r="V134" s="374"/>
      <c r="W134" s="374"/>
      <c r="X134" s="374"/>
      <c r="Y134" s="374"/>
      <c r="Z134" s="374"/>
    </row>
    <row r="135" spans="21:26">
      <c r="U135" s="374"/>
      <c r="V135" s="374"/>
      <c r="W135" s="374"/>
      <c r="X135" s="374"/>
      <c r="Y135" s="374"/>
      <c r="Z135" s="374"/>
    </row>
    <row r="136" spans="21:26">
      <c r="U136" s="374"/>
      <c r="V136" s="374"/>
      <c r="W136" s="374"/>
      <c r="X136" s="374"/>
      <c r="Y136" s="374"/>
      <c r="Z136" s="374"/>
    </row>
    <row r="137" spans="21:26">
      <c r="U137" s="374"/>
      <c r="V137" s="374"/>
      <c r="W137" s="374"/>
      <c r="X137" s="374"/>
      <c r="Y137" s="374"/>
      <c r="Z137" s="374"/>
    </row>
    <row r="138" spans="21:26">
      <c r="U138" s="374"/>
      <c r="V138" s="374"/>
      <c r="W138" s="374"/>
      <c r="X138" s="374"/>
      <c r="Y138" s="374"/>
      <c r="Z138" s="374"/>
    </row>
    <row r="139" spans="21:26">
      <c r="U139" s="374"/>
      <c r="V139" s="374"/>
      <c r="W139" s="374"/>
      <c r="X139" s="374"/>
      <c r="Y139" s="374"/>
      <c r="Z139" s="374"/>
    </row>
    <row r="140" spans="21:26">
      <c r="U140" s="374"/>
      <c r="V140" s="374"/>
      <c r="W140" s="374"/>
      <c r="X140" s="374"/>
      <c r="Y140" s="374"/>
      <c r="Z140" s="374"/>
    </row>
    <row r="141" spans="21:26">
      <c r="U141" s="374"/>
      <c r="V141" s="374"/>
      <c r="W141" s="374"/>
      <c r="X141" s="374"/>
      <c r="Y141" s="374"/>
      <c r="Z141" s="374"/>
    </row>
    <row r="142" spans="21:26">
      <c r="U142" s="374"/>
      <c r="V142" s="374"/>
      <c r="W142" s="374"/>
      <c r="X142" s="374"/>
      <c r="Y142" s="374"/>
      <c r="Z142" s="374"/>
    </row>
    <row r="143" spans="21:26">
      <c r="U143" s="374"/>
      <c r="V143" s="374"/>
      <c r="W143" s="374"/>
      <c r="X143" s="374"/>
      <c r="Y143" s="374"/>
      <c r="Z143" s="374"/>
    </row>
    <row r="144" spans="21:26">
      <c r="U144" s="374"/>
      <c r="V144" s="374"/>
      <c r="W144" s="374"/>
      <c r="X144" s="374"/>
      <c r="Y144" s="374"/>
      <c r="Z144" s="374"/>
    </row>
    <row r="145" spans="21:26">
      <c r="U145" s="374"/>
      <c r="V145" s="374"/>
      <c r="W145" s="374"/>
      <c r="X145" s="374"/>
      <c r="Y145" s="374"/>
      <c r="Z145" s="374"/>
    </row>
    <row r="146" spans="21:26">
      <c r="U146" s="374"/>
      <c r="V146" s="374"/>
      <c r="W146" s="374"/>
      <c r="X146" s="374"/>
      <c r="Y146" s="374"/>
      <c r="Z146" s="374"/>
    </row>
    <row r="147" spans="21:26">
      <c r="U147" s="374"/>
      <c r="V147" s="374"/>
      <c r="W147" s="374"/>
      <c r="X147" s="374"/>
      <c r="Y147" s="374"/>
      <c r="Z147" s="374"/>
    </row>
    <row r="148" spans="21:26">
      <c r="U148" s="374"/>
      <c r="V148" s="374"/>
      <c r="W148" s="374"/>
      <c r="X148" s="374"/>
      <c r="Y148" s="374"/>
      <c r="Z148" s="374"/>
    </row>
    <row r="149" spans="21:26">
      <c r="U149" s="374"/>
      <c r="V149" s="374"/>
      <c r="W149" s="374"/>
      <c r="X149" s="374"/>
      <c r="Y149" s="374"/>
      <c r="Z149" s="374"/>
    </row>
    <row r="150" spans="21:26">
      <c r="U150" s="374"/>
      <c r="V150" s="374"/>
      <c r="W150" s="374"/>
      <c r="X150" s="374"/>
      <c r="Y150" s="374"/>
      <c r="Z150" s="374"/>
    </row>
    <row r="151" spans="21:26">
      <c r="U151" s="374"/>
      <c r="V151" s="374"/>
      <c r="W151" s="374"/>
      <c r="X151" s="374"/>
      <c r="Y151" s="374"/>
      <c r="Z151" s="374"/>
    </row>
    <row r="152" spans="21:26">
      <c r="U152" s="374"/>
      <c r="V152" s="374"/>
      <c r="W152" s="374"/>
      <c r="X152" s="374"/>
      <c r="Y152" s="374"/>
      <c r="Z152" s="374"/>
    </row>
    <row r="153" spans="21:26">
      <c r="U153" s="374"/>
      <c r="V153" s="374"/>
      <c r="W153" s="374"/>
      <c r="X153" s="374"/>
      <c r="Y153" s="374"/>
      <c r="Z153" s="374"/>
    </row>
    <row r="154" spans="21:26">
      <c r="U154" s="374"/>
      <c r="V154" s="374"/>
      <c r="W154" s="374"/>
      <c r="X154" s="374"/>
      <c r="Y154" s="374"/>
      <c r="Z154" s="374"/>
    </row>
    <row r="155" spans="21:26">
      <c r="U155" s="374"/>
      <c r="V155" s="374"/>
      <c r="W155" s="374"/>
      <c r="X155" s="374"/>
      <c r="Y155" s="374"/>
      <c r="Z155" s="374"/>
    </row>
    <row r="156" spans="21:26">
      <c r="U156" s="374"/>
      <c r="V156" s="374"/>
      <c r="W156" s="374"/>
      <c r="X156" s="374"/>
      <c r="Y156" s="374"/>
      <c r="Z156" s="374"/>
    </row>
    <row r="157" spans="21:26">
      <c r="U157" s="374"/>
      <c r="V157" s="374"/>
      <c r="W157" s="374"/>
      <c r="X157" s="374"/>
      <c r="Y157" s="374"/>
      <c r="Z157" s="374"/>
    </row>
    <row r="158" spans="21:26">
      <c r="U158" s="374"/>
      <c r="V158" s="374"/>
      <c r="W158" s="374"/>
      <c r="X158" s="374"/>
      <c r="Y158" s="374"/>
      <c r="Z158" s="374"/>
    </row>
    <row r="159" spans="21:26">
      <c r="U159" s="374"/>
      <c r="V159" s="374"/>
      <c r="W159" s="374"/>
      <c r="X159" s="374"/>
      <c r="Y159" s="374"/>
      <c r="Z159" s="374"/>
    </row>
    <row r="160" spans="21:26">
      <c r="U160" s="374"/>
      <c r="V160" s="374"/>
      <c r="W160" s="374"/>
      <c r="X160" s="374"/>
      <c r="Y160" s="374"/>
      <c r="Z160" s="374"/>
    </row>
    <row r="161" spans="21:26">
      <c r="U161" s="374"/>
      <c r="V161" s="374"/>
      <c r="W161" s="374"/>
      <c r="X161" s="374"/>
      <c r="Y161" s="374"/>
      <c r="Z161" s="374"/>
    </row>
    <row r="162" spans="21:26">
      <c r="U162" s="374"/>
      <c r="V162" s="374"/>
      <c r="W162" s="374"/>
      <c r="X162" s="374"/>
      <c r="Y162" s="374"/>
      <c r="Z162" s="374"/>
    </row>
    <row r="163" spans="21:26">
      <c r="U163" s="374"/>
      <c r="V163" s="374"/>
      <c r="W163" s="374"/>
      <c r="X163" s="374"/>
      <c r="Y163" s="374"/>
      <c r="Z163" s="374"/>
    </row>
    <row r="164" spans="21:26">
      <c r="U164" s="374"/>
      <c r="V164" s="374"/>
      <c r="W164" s="374"/>
      <c r="X164" s="374"/>
      <c r="Y164" s="374"/>
      <c r="Z164" s="374"/>
    </row>
    <row r="165" spans="21:26">
      <c r="U165" s="374"/>
      <c r="V165" s="374"/>
      <c r="W165" s="374"/>
      <c r="X165" s="374"/>
      <c r="Y165" s="374"/>
      <c r="Z165" s="374"/>
    </row>
    <row r="166" spans="21:26">
      <c r="U166" s="374"/>
      <c r="V166" s="374"/>
      <c r="W166" s="374"/>
      <c r="X166" s="374"/>
      <c r="Y166" s="374"/>
      <c r="Z166" s="374"/>
    </row>
    <row r="167" spans="21:26">
      <c r="U167" s="374"/>
      <c r="V167" s="374"/>
      <c r="W167" s="374"/>
      <c r="X167" s="374"/>
      <c r="Y167" s="374"/>
      <c r="Z167" s="374"/>
    </row>
    <row r="168" spans="21:26">
      <c r="U168" s="374"/>
      <c r="V168" s="374"/>
      <c r="W168" s="374"/>
      <c r="X168" s="374"/>
      <c r="Y168" s="374"/>
      <c r="Z168" s="374"/>
    </row>
    <row r="169" spans="21:26">
      <c r="U169" s="374"/>
      <c r="V169" s="374"/>
      <c r="W169" s="374"/>
      <c r="X169" s="374"/>
      <c r="Y169" s="374"/>
      <c r="Z169" s="374"/>
    </row>
    <row r="170" spans="21:26">
      <c r="U170" s="374"/>
      <c r="V170" s="374"/>
      <c r="W170" s="374"/>
      <c r="X170" s="374"/>
      <c r="Y170" s="374"/>
      <c r="Z170" s="374"/>
    </row>
    <row r="171" spans="21:26">
      <c r="U171" s="374"/>
      <c r="V171" s="374"/>
      <c r="W171" s="374"/>
      <c r="X171" s="374"/>
      <c r="Y171" s="374"/>
      <c r="Z171" s="374"/>
    </row>
    <row r="172" spans="21:26">
      <c r="U172" s="374"/>
      <c r="V172" s="374"/>
      <c r="W172" s="374"/>
      <c r="X172" s="374"/>
      <c r="Y172" s="374"/>
      <c r="Z172" s="374"/>
    </row>
    <row r="173" spans="21:26">
      <c r="U173" s="374"/>
      <c r="V173" s="374"/>
      <c r="W173" s="374"/>
      <c r="X173" s="374"/>
      <c r="Y173" s="374"/>
      <c r="Z173" s="374"/>
    </row>
    <row r="174" spans="21:26">
      <c r="U174" s="374"/>
      <c r="V174" s="374"/>
      <c r="W174" s="374"/>
      <c r="X174" s="374"/>
      <c r="Y174" s="374"/>
      <c r="Z174" s="374"/>
    </row>
    <row r="175" spans="21:26">
      <c r="U175" s="374"/>
      <c r="V175" s="374"/>
      <c r="W175" s="374"/>
      <c r="X175" s="374"/>
      <c r="Y175" s="374"/>
      <c r="Z175" s="374"/>
    </row>
    <row r="176" spans="21:26">
      <c r="U176" s="374"/>
      <c r="V176" s="374"/>
      <c r="W176" s="374"/>
      <c r="X176" s="374"/>
      <c r="Y176" s="374"/>
      <c r="Z176" s="374"/>
    </row>
    <row r="177" spans="21:26">
      <c r="U177" s="374"/>
      <c r="V177" s="374"/>
      <c r="W177" s="374"/>
      <c r="X177" s="374"/>
      <c r="Y177" s="374"/>
      <c r="Z177" s="374"/>
    </row>
    <row r="178" spans="21:26">
      <c r="U178" s="374"/>
      <c r="V178" s="374"/>
      <c r="W178" s="374"/>
      <c r="X178" s="374"/>
      <c r="Y178" s="374"/>
      <c r="Z178" s="374"/>
    </row>
    <row r="179" spans="21:26">
      <c r="U179" s="374"/>
      <c r="V179" s="374"/>
      <c r="W179" s="374"/>
      <c r="X179" s="374"/>
      <c r="Y179" s="374"/>
      <c r="Z179" s="374"/>
    </row>
    <row r="180" spans="21:26">
      <c r="U180" s="374"/>
      <c r="V180" s="374"/>
      <c r="W180" s="374"/>
      <c r="X180" s="374"/>
      <c r="Y180" s="374"/>
      <c r="Z180" s="374"/>
    </row>
    <row r="181" spans="21:26">
      <c r="U181" s="374"/>
      <c r="V181" s="374"/>
      <c r="W181" s="374"/>
      <c r="X181" s="374"/>
      <c r="Y181" s="374"/>
      <c r="Z181" s="374"/>
    </row>
    <row r="182" spans="21:26">
      <c r="U182" s="374"/>
      <c r="V182" s="374"/>
      <c r="W182" s="374"/>
      <c r="X182" s="374"/>
      <c r="Y182" s="374"/>
      <c r="Z182" s="374"/>
    </row>
    <row r="183" spans="21:26">
      <c r="U183" s="374"/>
      <c r="V183" s="374"/>
      <c r="W183" s="374"/>
      <c r="X183" s="374"/>
      <c r="Y183" s="374"/>
      <c r="Z183" s="374"/>
    </row>
    <row r="184" spans="21:26">
      <c r="U184" s="374"/>
      <c r="V184" s="374"/>
      <c r="W184" s="374"/>
      <c r="X184" s="374"/>
      <c r="Y184" s="374"/>
      <c r="Z184" s="374"/>
    </row>
    <row r="185" spans="21:26">
      <c r="U185" s="374"/>
      <c r="V185" s="374"/>
      <c r="W185" s="374"/>
      <c r="X185" s="374"/>
      <c r="Y185" s="374"/>
      <c r="Z185" s="374"/>
    </row>
    <row r="186" spans="21:26">
      <c r="U186" s="374"/>
      <c r="V186" s="374"/>
      <c r="W186" s="374"/>
      <c r="X186" s="374"/>
      <c r="Y186" s="374"/>
      <c r="Z186" s="374"/>
    </row>
    <row r="187" spans="21:26">
      <c r="U187" s="374"/>
      <c r="V187" s="374"/>
      <c r="W187" s="374"/>
      <c r="X187" s="374"/>
      <c r="Y187" s="374"/>
      <c r="Z187" s="374"/>
    </row>
    <row r="188" spans="21:26">
      <c r="U188" s="374"/>
      <c r="V188" s="374"/>
      <c r="W188" s="374"/>
      <c r="X188" s="374"/>
      <c r="Y188" s="374"/>
      <c r="Z188" s="374"/>
    </row>
    <row r="189" spans="21:26">
      <c r="U189" s="374"/>
      <c r="V189" s="374"/>
      <c r="W189" s="374"/>
      <c r="X189" s="374"/>
      <c r="Y189" s="374"/>
      <c r="Z189" s="374"/>
    </row>
    <row r="190" spans="21:26">
      <c r="U190" s="374"/>
      <c r="V190" s="374"/>
      <c r="W190" s="374"/>
      <c r="X190" s="374"/>
      <c r="Y190" s="374"/>
      <c r="Z190" s="374"/>
    </row>
    <row r="191" spans="21:26">
      <c r="U191" s="374"/>
      <c r="V191" s="374"/>
      <c r="W191" s="374"/>
      <c r="X191" s="374"/>
      <c r="Y191" s="374"/>
      <c r="Z191" s="374"/>
    </row>
    <row r="192" spans="21:26">
      <c r="U192" s="374"/>
      <c r="V192" s="374"/>
      <c r="W192" s="374"/>
      <c r="X192" s="374"/>
      <c r="Y192" s="374"/>
      <c r="Z192" s="374"/>
    </row>
    <row r="193" spans="21:26">
      <c r="U193" s="374"/>
      <c r="V193" s="374"/>
      <c r="W193" s="374"/>
      <c r="X193" s="374"/>
      <c r="Y193" s="374"/>
      <c r="Z193" s="374"/>
    </row>
    <row r="194" spans="21:26">
      <c r="U194" s="374"/>
      <c r="V194" s="374"/>
      <c r="W194" s="374"/>
      <c r="X194" s="374"/>
      <c r="Y194" s="374"/>
      <c r="Z194" s="374"/>
    </row>
    <row r="195" spans="21:26">
      <c r="U195" s="374"/>
      <c r="V195" s="374"/>
      <c r="W195" s="374"/>
      <c r="X195" s="374"/>
      <c r="Y195" s="374"/>
      <c r="Z195" s="374"/>
    </row>
    <row r="196" spans="21:26">
      <c r="U196" s="374"/>
      <c r="V196" s="374"/>
      <c r="W196" s="374"/>
      <c r="X196" s="374"/>
      <c r="Y196" s="374"/>
      <c r="Z196" s="374"/>
    </row>
    <row r="197" spans="21:26">
      <c r="U197" s="374"/>
      <c r="V197" s="374"/>
      <c r="W197" s="374"/>
      <c r="X197" s="374"/>
      <c r="Y197" s="374"/>
      <c r="Z197" s="374"/>
    </row>
    <row r="198" spans="21:26">
      <c r="U198" s="374"/>
      <c r="V198" s="374"/>
      <c r="W198" s="374"/>
      <c r="X198" s="374"/>
      <c r="Y198" s="374"/>
      <c r="Z198" s="374"/>
    </row>
    <row r="199" spans="21:26">
      <c r="U199" s="374"/>
      <c r="V199" s="374"/>
      <c r="W199" s="374"/>
      <c r="X199" s="374"/>
      <c r="Y199" s="374"/>
      <c r="Z199" s="374"/>
    </row>
    <row r="200" spans="21:26">
      <c r="U200" s="374"/>
      <c r="V200" s="374"/>
      <c r="W200" s="374"/>
      <c r="X200" s="374"/>
      <c r="Y200" s="374"/>
      <c r="Z200" s="374"/>
    </row>
    <row r="201" spans="21:26">
      <c r="U201" s="374"/>
      <c r="V201" s="374"/>
      <c r="W201" s="374"/>
      <c r="X201" s="374"/>
      <c r="Y201" s="374"/>
      <c r="Z201" s="374"/>
    </row>
    <row r="202" spans="21:26">
      <c r="U202" s="374"/>
      <c r="V202" s="374"/>
      <c r="W202" s="374"/>
      <c r="X202" s="374"/>
      <c r="Y202" s="374"/>
      <c r="Z202" s="374"/>
    </row>
    <row r="203" spans="21:26">
      <c r="U203" s="374"/>
      <c r="V203" s="374"/>
      <c r="W203" s="374"/>
      <c r="X203" s="374"/>
      <c r="Y203" s="374"/>
      <c r="Z203" s="374"/>
    </row>
    <row r="204" spans="21:26">
      <c r="U204" s="374"/>
      <c r="V204" s="374"/>
      <c r="W204" s="374"/>
      <c r="X204" s="374"/>
      <c r="Y204" s="374"/>
      <c r="Z204" s="374"/>
    </row>
    <row r="205" spans="21:26">
      <c r="U205" s="374"/>
      <c r="V205" s="374"/>
      <c r="W205" s="374"/>
      <c r="X205" s="374"/>
      <c r="Y205" s="374"/>
      <c r="Z205" s="374"/>
    </row>
    <row r="206" spans="21:26">
      <c r="U206" s="374"/>
      <c r="V206" s="374"/>
      <c r="W206" s="374"/>
      <c r="X206" s="374"/>
      <c r="Y206" s="374"/>
      <c r="Z206" s="374"/>
    </row>
    <row r="207" spans="21:26">
      <c r="U207" s="374"/>
      <c r="V207" s="374"/>
      <c r="W207" s="374"/>
      <c r="X207" s="374"/>
      <c r="Y207" s="374"/>
      <c r="Z207" s="374"/>
    </row>
    <row r="208" spans="21:26">
      <c r="U208" s="374"/>
      <c r="V208" s="374"/>
      <c r="W208" s="374"/>
      <c r="X208" s="374"/>
      <c r="Y208" s="374"/>
      <c r="Z208" s="374"/>
    </row>
    <row r="209" spans="21:26">
      <c r="U209" s="374"/>
      <c r="V209" s="374"/>
      <c r="W209" s="374"/>
      <c r="X209" s="374"/>
      <c r="Y209" s="374"/>
      <c r="Z209" s="374"/>
    </row>
    <row r="210" spans="21:26">
      <c r="U210" s="374"/>
      <c r="V210" s="374"/>
      <c r="W210" s="374"/>
      <c r="X210" s="374"/>
      <c r="Y210" s="374"/>
      <c r="Z210" s="374"/>
    </row>
    <row r="211" spans="21:26">
      <c r="U211" s="374"/>
      <c r="V211" s="374"/>
      <c r="W211" s="374"/>
      <c r="X211" s="374"/>
      <c r="Y211" s="374"/>
      <c r="Z211" s="374"/>
    </row>
    <row r="212" spans="21:26">
      <c r="U212" s="374"/>
      <c r="V212" s="374"/>
      <c r="W212" s="374"/>
      <c r="X212" s="374"/>
      <c r="Y212" s="374"/>
      <c r="Z212" s="374"/>
    </row>
    <row r="213" spans="21:26">
      <c r="U213" s="374"/>
      <c r="V213" s="374"/>
      <c r="W213" s="374"/>
      <c r="X213" s="374"/>
      <c r="Y213" s="374"/>
      <c r="Z213" s="374"/>
    </row>
    <row r="214" spans="21:26">
      <c r="U214" s="374"/>
      <c r="V214" s="374"/>
      <c r="W214" s="374"/>
      <c r="X214" s="374"/>
      <c r="Y214" s="374"/>
      <c r="Z214" s="374"/>
    </row>
    <row r="215" spans="21:26">
      <c r="U215" s="374"/>
      <c r="V215" s="374"/>
      <c r="W215" s="374"/>
      <c r="X215" s="374"/>
      <c r="Y215" s="374"/>
      <c r="Z215" s="374"/>
    </row>
    <row r="216" spans="21:26">
      <c r="U216" s="374"/>
      <c r="V216" s="374"/>
      <c r="W216" s="374"/>
      <c r="X216" s="374"/>
      <c r="Y216" s="374"/>
      <c r="Z216" s="374"/>
    </row>
    <row r="217" spans="21:26">
      <c r="U217" s="374"/>
      <c r="V217" s="374"/>
      <c r="W217" s="374"/>
      <c r="X217" s="374"/>
      <c r="Y217" s="374"/>
      <c r="Z217" s="374"/>
    </row>
    <row r="218" spans="21:26">
      <c r="U218" s="374"/>
      <c r="V218" s="374"/>
      <c r="W218" s="374"/>
      <c r="X218" s="374"/>
      <c r="Y218" s="374"/>
      <c r="Z218" s="374"/>
    </row>
    <row r="219" spans="21:26">
      <c r="U219" s="374"/>
      <c r="V219" s="374"/>
      <c r="W219" s="374"/>
      <c r="X219" s="374"/>
      <c r="Y219" s="374"/>
      <c r="Z219" s="374"/>
    </row>
    <row r="220" spans="21:26">
      <c r="U220" s="374"/>
      <c r="V220" s="374"/>
      <c r="W220" s="374"/>
      <c r="X220" s="374"/>
      <c r="Y220" s="374"/>
      <c r="Z220" s="374"/>
    </row>
    <row r="221" spans="21:26">
      <c r="U221" s="374"/>
      <c r="V221" s="374"/>
      <c r="W221" s="374"/>
      <c r="X221" s="374"/>
      <c r="Y221" s="374"/>
      <c r="Z221" s="374"/>
    </row>
    <row r="222" spans="21:26">
      <c r="U222" s="374"/>
      <c r="V222" s="374"/>
      <c r="W222" s="374"/>
      <c r="X222" s="374"/>
      <c r="Y222" s="374"/>
      <c r="Z222" s="374"/>
    </row>
    <row r="223" spans="21:26">
      <c r="U223" s="374"/>
      <c r="V223" s="374"/>
      <c r="W223" s="374"/>
      <c r="X223" s="374"/>
      <c r="Y223" s="374"/>
      <c r="Z223" s="374"/>
    </row>
    <row r="224" spans="21:26">
      <c r="U224" s="374"/>
      <c r="V224" s="374"/>
      <c r="W224" s="374"/>
      <c r="X224" s="374"/>
      <c r="Y224" s="374"/>
      <c r="Z224" s="374"/>
    </row>
    <row r="225" spans="21:26">
      <c r="U225" s="374"/>
      <c r="V225" s="374"/>
      <c r="W225" s="374"/>
      <c r="X225" s="374"/>
      <c r="Y225" s="374"/>
      <c r="Z225" s="374"/>
    </row>
    <row r="226" spans="21:26">
      <c r="U226" s="374"/>
      <c r="V226" s="374"/>
      <c r="W226" s="374"/>
      <c r="X226" s="374"/>
      <c r="Y226" s="374"/>
      <c r="Z226" s="374"/>
    </row>
    <row r="227" spans="21:26">
      <c r="U227" s="374"/>
      <c r="V227" s="374"/>
      <c r="W227" s="374"/>
      <c r="X227" s="374"/>
      <c r="Y227" s="374"/>
      <c r="Z227" s="374"/>
    </row>
    <row r="228" spans="21:26">
      <c r="U228" s="374"/>
      <c r="V228" s="374"/>
      <c r="W228" s="374"/>
      <c r="X228" s="374"/>
      <c r="Y228" s="374"/>
      <c r="Z228" s="374"/>
    </row>
    <row r="229" spans="21:26">
      <c r="U229" s="374"/>
      <c r="V229" s="374"/>
      <c r="W229" s="374"/>
      <c r="X229" s="374"/>
      <c r="Y229" s="374"/>
      <c r="Z229" s="374"/>
    </row>
    <row r="230" spans="21:26">
      <c r="U230" s="374"/>
      <c r="V230" s="374"/>
      <c r="W230" s="374"/>
      <c r="X230" s="374"/>
      <c r="Y230" s="374"/>
      <c r="Z230" s="374"/>
    </row>
    <row r="231" spans="21:26">
      <c r="U231" s="374"/>
      <c r="V231" s="374"/>
      <c r="W231" s="374"/>
      <c r="X231" s="374"/>
      <c r="Y231" s="374"/>
      <c r="Z231" s="374"/>
    </row>
    <row r="232" spans="21:26">
      <c r="U232" s="374"/>
      <c r="V232" s="374"/>
      <c r="W232" s="374"/>
      <c r="X232" s="374"/>
      <c r="Y232" s="374"/>
      <c r="Z232" s="374"/>
    </row>
    <row r="233" spans="21:26">
      <c r="U233" s="374"/>
      <c r="V233" s="374"/>
      <c r="W233" s="374"/>
      <c r="X233" s="374"/>
      <c r="Y233" s="374"/>
      <c r="Z233" s="374"/>
    </row>
    <row r="234" spans="21:26">
      <c r="U234" s="374"/>
      <c r="V234" s="374"/>
      <c r="W234" s="374"/>
      <c r="X234" s="374"/>
      <c r="Y234" s="374"/>
      <c r="Z234" s="374"/>
    </row>
    <row r="235" spans="21:26">
      <c r="U235" s="374"/>
      <c r="V235" s="374"/>
      <c r="W235" s="374"/>
      <c r="X235" s="374"/>
      <c r="Y235" s="374"/>
      <c r="Z235" s="374"/>
    </row>
    <row r="236" spans="21:26">
      <c r="U236" s="374"/>
      <c r="V236" s="374"/>
      <c r="W236" s="374"/>
      <c r="X236" s="374"/>
      <c r="Y236" s="374"/>
      <c r="Z236" s="374"/>
    </row>
    <row r="237" spans="21:26">
      <c r="U237" s="374"/>
      <c r="V237" s="374"/>
      <c r="W237" s="374"/>
      <c r="X237" s="374"/>
      <c r="Y237" s="374"/>
      <c r="Z237" s="374"/>
    </row>
    <row r="238" spans="21:26">
      <c r="U238" s="374"/>
      <c r="V238" s="374"/>
      <c r="W238" s="374"/>
      <c r="X238" s="374"/>
      <c r="Y238" s="374"/>
      <c r="Z238" s="374"/>
    </row>
    <row r="239" spans="21:26">
      <c r="U239" s="374"/>
      <c r="V239" s="374"/>
      <c r="W239" s="374"/>
      <c r="X239" s="374"/>
      <c r="Y239" s="374"/>
      <c r="Z239" s="374"/>
    </row>
    <row r="240" spans="21:26">
      <c r="U240" s="374"/>
      <c r="V240" s="374"/>
      <c r="W240" s="374"/>
      <c r="X240" s="374"/>
      <c r="Y240" s="374"/>
      <c r="Z240" s="374"/>
    </row>
    <row r="241" spans="21:26">
      <c r="U241" s="374"/>
      <c r="V241" s="374"/>
      <c r="W241" s="374"/>
      <c r="X241" s="374"/>
      <c r="Y241" s="374"/>
      <c r="Z241" s="374"/>
    </row>
    <row r="242" spans="21:26">
      <c r="U242" s="374"/>
      <c r="V242" s="374"/>
      <c r="W242" s="374"/>
      <c r="X242" s="374"/>
      <c r="Y242" s="374"/>
      <c r="Z242" s="374"/>
    </row>
    <row r="243" spans="21:26">
      <c r="U243" s="374"/>
      <c r="V243" s="374"/>
      <c r="W243" s="374"/>
      <c r="X243" s="374"/>
      <c r="Y243" s="374"/>
      <c r="Z243" s="374"/>
    </row>
    <row r="244" spans="21:26">
      <c r="U244" s="374"/>
      <c r="V244" s="374"/>
      <c r="W244" s="374"/>
      <c r="X244" s="374"/>
      <c r="Y244" s="374"/>
      <c r="Z244" s="374"/>
    </row>
    <row r="245" spans="21:26">
      <c r="U245" s="374"/>
      <c r="V245" s="374"/>
      <c r="W245" s="374"/>
      <c r="X245" s="374"/>
      <c r="Y245" s="374"/>
      <c r="Z245" s="374"/>
    </row>
    <row r="246" spans="21:26">
      <c r="U246" s="374"/>
      <c r="V246" s="374"/>
      <c r="W246" s="374"/>
      <c r="X246" s="374"/>
      <c r="Y246" s="374"/>
      <c r="Z246" s="374"/>
    </row>
    <row r="247" spans="21:26">
      <c r="U247" s="374"/>
      <c r="V247" s="374"/>
      <c r="W247" s="374"/>
      <c r="X247" s="374"/>
      <c r="Y247" s="374"/>
      <c r="Z247" s="374"/>
    </row>
    <row r="248" spans="21:26">
      <c r="U248" s="374"/>
      <c r="V248" s="374"/>
      <c r="W248" s="374"/>
      <c r="X248" s="374"/>
      <c r="Y248" s="374"/>
      <c r="Z248" s="374"/>
    </row>
    <row r="249" spans="21:26">
      <c r="U249" s="374"/>
      <c r="V249" s="374"/>
      <c r="W249" s="374"/>
      <c r="X249" s="374"/>
      <c r="Y249" s="374"/>
      <c r="Z249" s="374"/>
    </row>
    <row r="250" spans="21:26">
      <c r="U250" s="374"/>
      <c r="V250" s="374"/>
      <c r="W250" s="374"/>
      <c r="X250" s="374"/>
      <c r="Y250" s="374"/>
      <c r="Z250" s="374"/>
    </row>
    <row r="251" spans="21:26">
      <c r="U251" s="374"/>
      <c r="V251" s="374"/>
      <c r="W251" s="374"/>
      <c r="X251" s="374"/>
      <c r="Y251" s="374"/>
      <c r="Z251" s="374"/>
    </row>
    <row r="252" spans="21:26">
      <c r="U252" s="374"/>
      <c r="V252" s="374"/>
      <c r="W252" s="374"/>
      <c r="X252" s="374"/>
      <c r="Y252" s="374"/>
      <c r="Z252" s="374"/>
    </row>
    <row r="253" spans="21:26">
      <c r="U253" s="374"/>
      <c r="V253" s="374"/>
      <c r="W253" s="374"/>
      <c r="X253" s="374"/>
      <c r="Y253" s="374"/>
      <c r="Z253" s="374"/>
    </row>
    <row r="254" spans="21:26">
      <c r="U254" s="374"/>
      <c r="V254" s="374"/>
      <c r="W254" s="374"/>
      <c r="X254" s="374"/>
      <c r="Y254" s="374"/>
      <c r="Z254" s="374"/>
    </row>
    <row r="255" spans="21:26">
      <c r="U255" s="374"/>
      <c r="V255" s="374"/>
      <c r="W255" s="374"/>
      <c r="X255" s="374"/>
      <c r="Y255" s="374"/>
      <c r="Z255" s="374"/>
    </row>
    <row r="256" spans="21:26">
      <c r="U256" s="374"/>
      <c r="V256" s="374"/>
      <c r="W256" s="374"/>
      <c r="X256" s="374"/>
      <c r="Y256" s="374"/>
      <c r="Z256" s="374"/>
    </row>
    <row r="257" spans="21:26">
      <c r="U257" s="374"/>
      <c r="V257" s="374"/>
      <c r="W257" s="374"/>
      <c r="X257" s="374"/>
      <c r="Y257" s="374"/>
      <c r="Z257" s="374"/>
    </row>
    <row r="258" spans="21:26">
      <c r="U258" s="374"/>
      <c r="V258" s="374"/>
      <c r="W258" s="374"/>
      <c r="X258" s="374"/>
      <c r="Y258" s="374"/>
      <c r="Z258" s="374"/>
    </row>
    <row r="259" spans="21:26">
      <c r="U259" s="374"/>
      <c r="V259" s="374"/>
      <c r="W259" s="374"/>
      <c r="X259" s="374"/>
      <c r="Y259" s="374"/>
      <c r="Z259" s="374"/>
    </row>
    <row r="260" spans="21:26">
      <c r="U260" s="374"/>
      <c r="V260" s="374"/>
      <c r="W260" s="374"/>
      <c r="X260" s="374"/>
      <c r="Y260" s="374"/>
      <c r="Z260" s="374"/>
    </row>
    <row r="261" spans="21:26">
      <c r="U261" s="374"/>
      <c r="V261" s="374"/>
      <c r="W261" s="374"/>
      <c r="X261" s="374"/>
      <c r="Y261" s="374"/>
      <c r="Z261" s="374"/>
    </row>
    <row r="262" spans="21:26">
      <c r="U262" s="374"/>
      <c r="V262" s="374"/>
      <c r="W262" s="374"/>
      <c r="X262" s="374"/>
      <c r="Y262" s="374"/>
      <c r="Z262" s="374"/>
    </row>
    <row r="263" spans="21:26">
      <c r="U263" s="374"/>
      <c r="V263" s="374"/>
      <c r="W263" s="374"/>
      <c r="X263" s="374"/>
      <c r="Y263" s="374"/>
      <c r="Z263" s="374"/>
    </row>
    <row r="264" spans="21:26">
      <c r="U264" s="374"/>
      <c r="V264" s="374"/>
      <c r="W264" s="374"/>
      <c r="X264" s="374"/>
      <c r="Y264" s="374"/>
      <c r="Z264" s="374"/>
    </row>
    <row r="265" spans="21:26">
      <c r="U265" s="374"/>
      <c r="V265" s="374"/>
      <c r="W265" s="374"/>
      <c r="X265" s="374"/>
      <c r="Y265" s="374"/>
      <c r="Z265" s="374"/>
    </row>
    <row r="266" spans="21:26">
      <c r="U266" s="374"/>
      <c r="V266" s="374"/>
      <c r="W266" s="374"/>
      <c r="X266" s="374"/>
      <c r="Y266" s="374"/>
      <c r="Z266" s="374"/>
    </row>
    <row r="267" spans="21:26">
      <c r="U267" s="374"/>
      <c r="V267" s="374"/>
      <c r="W267" s="374"/>
      <c r="X267" s="374"/>
      <c r="Y267" s="374"/>
      <c r="Z267" s="374"/>
    </row>
    <row r="268" spans="21:26">
      <c r="U268" s="374"/>
      <c r="V268" s="374"/>
      <c r="W268" s="374"/>
      <c r="X268" s="374"/>
      <c r="Y268" s="374"/>
      <c r="Z268" s="374"/>
    </row>
    <row r="269" spans="21:26">
      <c r="U269" s="374"/>
      <c r="V269" s="374"/>
      <c r="W269" s="374"/>
      <c r="X269" s="374"/>
      <c r="Y269" s="374"/>
      <c r="Z269" s="374"/>
    </row>
    <row r="270" spans="21:26">
      <c r="U270" s="374"/>
      <c r="V270" s="374"/>
      <c r="W270" s="374"/>
      <c r="X270" s="374"/>
      <c r="Y270" s="374"/>
      <c r="Z270" s="374"/>
    </row>
    <row r="271" spans="21:26">
      <c r="U271" s="374"/>
      <c r="V271" s="374"/>
      <c r="W271" s="374"/>
      <c r="X271" s="374"/>
      <c r="Y271" s="374"/>
      <c r="Z271" s="374"/>
    </row>
    <row r="272" spans="21:26">
      <c r="U272" s="374"/>
      <c r="V272" s="374"/>
      <c r="W272" s="374"/>
      <c r="X272" s="374"/>
      <c r="Y272" s="374"/>
      <c r="Z272" s="374"/>
    </row>
    <row r="273" spans="21:26">
      <c r="U273" s="374"/>
      <c r="V273" s="374"/>
      <c r="W273" s="374"/>
      <c r="X273" s="374"/>
      <c r="Y273" s="374"/>
      <c r="Z273" s="374"/>
    </row>
    <row r="274" spans="21:26">
      <c r="U274" s="374"/>
      <c r="V274" s="374"/>
      <c r="W274" s="374"/>
      <c r="X274" s="374"/>
      <c r="Y274" s="374"/>
      <c r="Z274" s="374"/>
    </row>
    <row r="275" spans="21:26">
      <c r="U275" s="374"/>
      <c r="V275" s="374"/>
      <c r="W275" s="374"/>
      <c r="X275" s="374"/>
      <c r="Y275" s="374"/>
      <c r="Z275" s="374"/>
    </row>
    <row r="276" spans="21:26">
      <c r="U276" s="374"/>
      <c r="V276" s="374"/>
      <c r="W276" s="374"/>
      <c r="X276" s="374"/>
      <c r="Y276" s="374"/>
      <c r="Z276" s="374"/>
    </row>
    <row r="277" spans="21:26">
      <c r="U277" s="374"/>
      <c r="V277" s="374"/>
      <c r="W277" s="374"/>
      <c r="X277" s="374"/>
      <c r="Y277" s="374"/>
      <c r="Z277" s="374"/>
    </row>
    <row r="278" spans="21:26">
      <c r="U278" s="374"/>
      <c r="V278" s="374"/>
      <c r="W278" s="374"/>
      <c r="X278" s="374"/>
      <c r="Y278" s="374"/>
      <c r="Z278" s="374"/>
    </row>
    <row r="279" spans="21:26">
      <c r="U279" s="374"/>
      <c r="V279" s="374"/>
      <c r="W279" s="374"/>
      <c r="X279" s="374"/>
      <c r="Y279" s="374"/>
      <c r="Z279" s="374"/>
    </row>
    <row r="280" spans="21:26">
      <c r="U280" s="374"/>
      <c r="V280" s="374"/>
      <c r="W280" s="374"/>
      <c r="X280" s="374"/>
      <c r="Y280" s="374"/>
      <c r="Z280" s="374"/>
    </row>
    <row r="281" spans="21:26">
      <c r="U281" s="374"/>
      <c r="V281" s="374"/>
      <c r="W281" s="374"/>
      <c r="X281" s="374"/>
      <c r="Y281" s="374"/>
      <c r="Z281" s="374"/>
    </row>
    <row r="282" spans="21:26">
      <c r="U282" s="374"/>
      <c r="V282" s="374"/>
      <c r="W282" s="374"/>
      <c r="X282" s="374"/>
      <c r="Y282" s="374"/>
      <c r="Z282" s="374"/>
    </row>
    <row r="283" spans="21:26">
      <c r="U283" s="374"/>
      <c r="V283" s="374"/>
      <c r="W283" s="374"/>
      <c r="X283" s="374"/>
      <c r="Y283" s="374"/>
      <c r="Z283" s="374"/>
    </row>
    <row r="284" spans="21:26">
      <c r="U284" s="374"/>
      <c r="V284" s="374"/>
      <c r="W284" s="374"/>
      <c r="X284" s="374"/>
      <c r="Y284" s="374"/>
      <c r="Z284" s="374"/>
    </row>
    <row r="285" spans="21:26">
      <c r="U285" s="374"/>
      <c r="V285" s="374"/>
      <c r="W285" s="374"/>
      <c r="X285" s="374"/>
      <c r="Y285" s="374"/>
      <c r="Z285" s="374"/>
    </row>
    <row r="286" spans="21:26">
      <c r="U286" s="374"/>
      <c r="V286" s="374"/>
      <c r="W286" s="374"/>
      <c r="X286" s="374"/>
      <c r="Y286" s="374"/>
      <c r="Z286" s="374"/>
    </row>
    <row r="287" spans="21:26">
      <c r="U287" s="374"/>
      <c r="V287" s="374"/>
      <c r="W287" s="374"/>
      <c r="X287" s="374"/>
      <c r="Y287" s="374"/>
      <c r="Z287" s="374"/>
    </row>
    <row r="288" spans="21:26">
      <c r="U288" s="374"/>
      <c r="V288" s="374"/>
      <c r="W288" s="374"/>
      <c r="X288" s="374"/>
      <c r="Y288" s="374"/>
      <c r="Z288" s="374"/>
    </row>
    <row r="289" spans="21:26">
      <c r="U289" s="374"/>
      <c r="V289" s="374"/>
      <c r="W289" s="374"/>
      <c r="X289" s="374"/>
      <c r="Y289" s="374"/>
      <c r="Z289" s="374"/>
    </row>
    <row r="290" spans="21:26">
      <c r="U290" s="374"/>
      <c r="V290" s="374"/>
      <c r="W290" s="374"/>
      <c r="X290" s="374"/>
      <c r="Y290" s="374"/>
      <c r="Z290" s="374"/>
    </row>
    <row r="291" spans="21:26">
      <c r="U291" s="374"/>
      <c r="V291" s="374"/>
      <c r="W291" s="374"/>
      <c r="X291" s="374"/>
      <c r="Y291" s="374"/>
      <c r="Z291" s="374"/>
    </row>
    <row r="292" spans="21:26">
      <c r="U292" s="374"/>
      <c r="V292" s="374"/>
      <c r="W292" s="374"/>
      <c r="X292" s="374"/>
      <c r="Y292" s="374"/>
      <c r="Z292" s="374"/>
    </row>
    <row r="293" spans="21:26">
      <c r="U293" s="374"/>
      <c r="V293" s="374"/>
      <c r="W293" s="374"/>
      <c r="X293" s="374"/>
      <c r="Y293" s="374"/>
      <c r="Z293" s="374"/>
    </row>
    <row r="294" spans="21:26">
      <c r="U294" s="374"/>
      <c r="V294" s="374"/>
      <c r="W294" s="374"/>
      <c r="X294" s="374"/>
      <c r="Y294" s="374"/>
      <c r="Z294" s="374"/>
    </row>
    <row r="295" spans="21:26">
      <c r="U295" s="374"/>
      <c r="V295" s="374"/>
      <c r="W295" s="374"/>
      <c r="X295" s="374"/>
      <c r="Y295" s="374"/>
      <c r="Z295" s="374"/>
    </row>
    <row r="296" spans="21:26">
      <c r="U296" s="374"/>
      <c r="V296" s="374"/>
      <c r="W296" s="374"/>
      <c r="X296" s="374"/>
      <c r="Y296" s="374"/>
      <c r="Z296" s="374"/>
    </row>
    <row r="297" spans="21:26">
      <c r="U297" s="374"/>
      <c r="V297" s="374"/>
      <c r="W297" s="374"/>
      <c r="X297" s="374"/>
      <c r="Y297" s="374"/>
      <c r="Z297" s="374"/>
    </row>
    <row r="298" spans="21:26">
      <c r="U298" s="374"/>
      <c r="V298" s="374"/>
      <c r="W298" s="374"/>
      <c r="X298" s="374"/>
      <c r="Y298" s="374"/>
      <c r="Z298" s="374"/>
    </row>
    <row r="299" spans="21:26">
      <c r="U299" s="374"/>
      <c r="V299" s="374"/>
      <c r="W299" s="374"/>
      <c r="X299" s="374"/>
      <c r="Y299" s="374"/>
      <c r="Z299" s="374"/>
    </row>
    <row r="300" spans="21:26">
      <c r="U300" s="374"/>
      <c r="V300" s="374"/>
      <c r="W300" s="374"/>
      <c r="X300" s="374"/>
      <c r="Y300" s="374"/>
      <c r="Z300" s="374"/>
    </row>
    <row r="301" spans="21:26">
      <c r="U301" s="374"/>
      <c r="V301" s="374"/>
      <c r="W301" s="374"/>
      <c r="X301" s="374"/>
      <c r="Y301" s="374"/>
      <c r="Z301" s="374"/>
    </row>
    <row r="302" spans="21:26">
      <c r="U302" s="374"/>
      <c r="V302" s="374"/>
      <c r="W302" s="374"/>
      <c r="X302" s="374"/>
      <c r="Y302" s="374"/>
      <c r="Z302" s="374"/>
    </row>
    <row r="303" spans="21:26">
      <c r="U303" s="374"/>
      <c r="V303" s="374"/>
      <c r="W303" s="374"/>
      <c r="X303" s="374"/>
      <c r="Y303" s="374"/>
      <c r="Z303" s="374"/>
    </row>
    <row r="304" spans="21:26">
      <c r="U304" s="374"/>
      <c r="V304" s="374"/>
      <c r="W304" s="374"/>
      <c r="X304" s="374"/>
      <c r="Y304" s="374"/>
      <c r="Z304" s="374"/>
    </row>
    <row r="305" spans="21:26">
      <c r="U305" s="374"/>
      <c r="V305" s="374"/>
      <c r="W305" s="374"/>
      <c r="X305" s="374"/>
      <c r="Y305" s="374"/>
      <c r="Z305" s="374"/>
    </row>
    <row r="306" spans="21:26">
      <c r="U306" s="374"/>
      <c r="V306" s="374"/>
      <c r="W306" s="374"/>
      <c r="X306" s="374"/>
      <c r="Y306" s="374"/>
      <c r="Z306" s="374"/>
    </row>
    <row r="307" spans="21:26">
      <c r="U307" s="374"/>
      <c r="V307" s="374"/>
      <c r="W307" s="374"/>
      <c r="X307" s="374"/>
      <c r="Y307" s="374"/>
      <c r="Z307" s="374"/>
    </row>
    <row r="308" spans="21:26">
      <c r="U308" s="374"/>
      <c r="V308" s="374"/>
      <c r="W308" s="374"/>
      <c r="X308" s="374"/>
      <c r="Y308" s="374"/>
      <c r="Z308" s="374"/>
    </row>
    <row r="309" spans="21:26">
      <c r="U309" s="374"/>
      <c r="V309" s="374"/>
      <c r="W309" s="374"/>
      <c r="X309" s="374"/>
      <c r="Y309" s="374"/>
      <c r="Z309" s="374"/>
    </row>
    <row r="310" spans="21:26">
      <c r="U310" s="374"/>
      <c r="V310" s="374"/>
      <c r="W310" s="374"/>
      <c r="X310" s="374"/>
      <c r="Y310" s="374"/>
      <c r="Z310" s="374"/>
    </row>
    <row r="311" spans="21:26">
      <c r="U311" s="374"/>
      <c r="V311" s="374"/>
      <c r="W311" s="374"/>
      <c r="X311" s="374"/>
      <c r="Y311" s="374"/>
      <c r="Z311" s="374"/>
    </row>
    <row r="312" spans="21:26">
      <c r="U312" s="374"/>
      <c r="V312" s="374"/>
      <c r="W312" s="374"/>
      <c r="X312" s="374"/>
      <c r="Y312" s="374"/>
      <c r="Z312" s="374"/>
    </row>
    <row r="313" spans="21:26">
      <c r="U313" s="374"/>
      <c r="V313" s="374"/>
      <c r="W313" s="374"/>
      <c r="X313" s="374"/>
      <c r="Y313" s="374"/>
      <c r="Z313" s="374"/>
    </row>
    <row r="314" spans="21:26">
      <c r="U314" s="374"/>
      <c r="V314" s="374"/>
      <c r="W314" s="374"/>
      <c r="X314" s="374"/>
      <c r="Y314" s="374"/>
      <c r="Z314" s="374"/>
    </row>
    <row r="315" spans="21:26">
      <c r="U315" s="374"/>
      <c r="V315" s="374"/>
      <c r="W315" s="374"/>
      <c r="X315" s="374"/>
      <c r="Y315" s="374"/>
      <c r="Z315" s="374"/>
    </row>
    <row r="316" spans="21:26">
      <c r="U316" s="374"/>
      <c r="V316" s="374"/>
      <c r="W316" s="374"/>
      <c r="X316" s="374"/>
      <c r="Y316" s="374"/>
      <c r="Z316" s="374"/>
    </row>
    <row r="317" spans="21:26">
      <c r="U317" s="374"/>
      <c r="V317" s="374"/>
      <c r="W317" s="374"/>
      <c r="X317" s="374"/>
      <c r="Y317" s="374"/>
      <c r="Z317" s="374"/>
    </row>
    <row r="318" spans="21:26">
      <c r="U318" s="374"/>
      <c r="V318" s="374"/>
      <c r="W318" s="374"/>
      <c r="X318" s="374"/>
      <c r="Y318" s="374"/>
      <c r="Z318" s="374"/>
    </row>
    <row r="319" spans="21:26">
      <c r="U319" s="374"/>
      <c r="V319" s="374"/>
      <c r="W319" s="374"/>
      <c r="X319" s="374"/>
      <c r="Y319" s="374"/>
      <c r="Z319" s="374"/>
    </row>
    <row r="320" spans="21:26">
      <c r="U320" s="374"/>
      <c r="V320" s="374"/>
      <c r="W320" s="374"/>
      <c r="X320" s="374"/>
      <c r="Y320" s="374"/>
      <c r="Z320" s="374"/>
    </row>
    <row r="321" spans="21:26">
      <c r="U321" s="374"/>
      <c r="V321" s="374"/>
      <c r="W321" s="374"/>
      <c r="X321" s="374"/>
      <c r="Y321" s="374"/>
      <c r="Z321" s="374"/>
    </row>
    <row r="322" spans="21:26">
      <c r="U322" s="374"/>
      <c r="V322" s="374"/>
      <c r="W322" s="374"/>
      <c r="X322" s="374"/>
      <c r="Y322" s="374"/>
      <c r="Z322" s="374"/>
    </row>
    <row r="323" spans="21:26">
      <c r="U323" s="374"/>
      <c r="V323" s="374"/>
      <c r="W323" s="374"/>
      <c r="X323" s="374"/>
      <c r="Y323" s="374"/>
      <c r="Z323" s="374"/>
    </row>
    <row r="324" spans="21:26">
      <c r="U324" s="374"/>
      <c r="V324" s="374"/>
      <c r="W324" s="374"/>
      <c r="X324" s="374"/>
      <c r="Y324" s="374"/>
      <c r="Z324" s="374"/>
    </row>
    <row r="325" spans="21:26">
      <c r="U325" s="374"/>
      <c r="V325" s="374"/>
      <c r="W325" s="374"/>
      <c r="X325" s="374"/>
      <c r="Y325" s="374"/>
      <c r="Z325" s="374"/>
    </row>
    <row r="326" spans="21:26">
      <c r="U326" s="374"/>
      <c r="V326" s="374"/>
      <c r="W326" s="374"/>
      <c r="X326" s="374"/>
      <c r="Y326" s="374"/>
      <c r="Z326" s="374"/>
    </row>
    <row r="327" spans="21:26">
      <c r="U327" s="374"/>
      <c r="V327" s="374"/>
      <c r="W327" s="374"/>
      <c r="X327" s="374"/>
      <c r="Y327" s="374"/>
      <c r="Z327" s="374"/>
    </row>
    <row r="328" spans="21:26">
      <c r="U328" s="374"/>
      <c r="V328" s="374"/>
      <c r="W328" s="374"/>
      <c r="X328" s="374"/>
      <c r="Y328" s="374"/>
      <c r="Z328" s="374"/>
    </row>
    <row r="329" spans="21:26">
      <c r="U329" s="374"/>
      <c r="V329" s="374"/>
      <c r="W329" s="374"/>
      <c r="X329" s="374"/>
      <c r="Y329" s="374"/>
      <c r="Z329" s="374"/>
    </row>
    <row r="330" spans="21:26">
      <c r="U330" s="374"/>
      <c r="V330" s="374"/>
      <c r="W330" s="374"/>
      <c r="X330" s="374"/>
      <c r="Y330" s="374"/>
      <c r="Z330" s="374"/>
    </row>
    <row r="331" spans="21:26">
      <c r="U331" s="374"/>
      <c r="V331" s="374"/>
      <c r="W331" s="374"/>
      <c r="X331" s="374"/>
      <c r="Y331" s="374"/>
      <c r="Z331" s="374"/>
    </row>
    <row r="332" spans="21:26">
      <c r="U332" s="374"/>
      <c r="V332" s="374"/>
      <c r="W332" s="374"/>
      <c r="X332" s="374"/>
      <c r="Y332" s="374"/>
      <c r="Z332" s="374"/>
    </row>
    <row r="333" spans="21:26">
      <c r="U333" s="374"/>
      <c r="V333" s="374"/>
      <c r="W333" s="374"/>
      <c r="X333" s="374"/>
      <c r="Y333" s="374"/>
      <c r="Z333" s="374"/>
    </row>
    <row r="334" spans="21:26">
      <c r="U334" s="374"/>
      <c r="V334" s="374"/>
      <c r="W334" s="374"/>
      <c r="X334" s="374"/>
      <c r="Y334" s="374"/>
      <c r="Z334" s="374"/>
    </row>
    <row r="335" spans="21:26">
      <c r="U335" s="374"/>
      <c r="V335" s="374"/>
      <c r="W335" s="374"/>
      <c r="X335" s="374"/>
      <c r="Y335" s="374"/>
      <c r="Z335" s="374"/>
    </row>
    <row r="336" spans="21:26">
      <c r="U336" s="374"/>
      <c r="V336" s="374"/>
      <c r="W336" s="374"/>
      <c r="X336" s="374"/>
      <c r="Y336" s="374"/>
      <c r="Z336" s="374"/>
    </row>
    <row r="337" spans="21:26">
      <c r="U337" s="374"/>
      <c r="V337" s="374"/>
      <c r="W337" s="374"/>
      <c r="X337" s="374"/>
      <c r="Y337" s="374"/>
      <c r="Z337" s="374"/>
    </row>
    <row r="338" spans="21:26">
      <c r="U338" s="374"/>
      <c r="V338" s="374"/>
      <c r="W338" s="374"/>
      <c r="X338" s="374"/>
      <c r="Y338" s="374"/>
      <c r="Z338" s="374"/>
    </row>
    <row r="339" spans="21:26">
      <c r="U339" s="374"/>
      <c r="V339" s="374"/>
      <c r="W339" s="374"/>
      <c r="X339" s="374"/>
      <c r="Y339" s="374"/>
      <c r="Z339" s="374"/>
    </row>
    <row r="340" spans="21:26">
      <c r="U340" s="374"/>
      <c r="V340" s="374"/>
      <c r="W340" s="374"/>
      <c r="X340" s="374"/>
      <c r="Y340" s="374"/>
      <c r="Z340" s="374"/>
    </row>
    <row r="341" spans="21:26">
      <c r="U341" s="374"/>
      <c r="V341" s="374"/>
      <c r="W341" s="374"/>
      <c r="X341" s="374"/>
      <c r="Y341" s="374"/>
      <c r="Z341" s="374"/>
    </row>
    <row r="342" spans="21:26">
      <c r="U342" s="374"/>
      <c r="V342" s="374"/>
      <c r="W342" s="374"/>
      <c r="X342" s="374"/>
      <c r="Y342" s="374"/>
      <c r="Z342" s="374"/>
    </row>
    <row r="343" spans="21:26">
      <c r="U343" s="374"/>
      <c r="V343" s="374"/>
      <c r="W343" s="374"/>
      <c r="X343" s="374"/>
      <c r="Y343" s="374"/>
      <c r="Z343" s="374"/>
    </row>
    <row r="344" spans="21:26">
      <c r="U344" s="374"/>
      <c r="V344" s="374"/>
      <c r="W344" s="374"/>
      <c r="X344" s="374"/>
      <c r="Y344" s="374"/>
      <c r="Z344" s="374"/>
    </row>
    <row r="345" spans="21:26">
      <c r="U345" s="374"/>
      <c r="V345" s="374"/>
      <c r="W345" s="374"/>
      <c r="X345" s="374"/>
      <c r="Y345" s="374"/>
      <c r="Z345" s="374"/>
    </row>
    <row r="346" spans="21:26">
      <c r="U346" s="374"/>
      <c r="V346" s="374"/>
      <c r="W346" s="374"/>
      <c r="X346" s="374"/>
      <c r="Y346" s="374"/>
      <c r="Z346" s="374"/>
    </row>
    <row r="347" spans="21:26">
      <c r="U347" s="374"/>
      <c r="V347" s="374"/>
      <c r="W347" s="374"/>
      <c r="X347" s="374"/>
      <c r="Y347" s="374"/>
      <c r="Z347" s="374"/>
    </row>
    <row r="348" spans="21:26">
      <c r="U348" s="374"/>
      <c r="V348" s="374"/>
      <c r="W348" s="374"/>
      <c r="X348" s="374"/>
      <c r="Y348" s="374"/>
      <c r="Z348" s="374"/>
    </row>
    <row r="349" spans="21:26">
      <c r="U349" s="374"/>
      <c r="V349" s="374"/>
      <c r="W349" s="374"/>
      <c r="X349" s="374"/>
      <c r="Y349" s="374"/>
      <c r="Z349" s="374"/>
    </row>
    <row r="350" spans="21:26">
      <c r="U350" s="374"/>
      <c r="V350" s="374"/>
      <c r="W350" s="374"/>
      <c r="X350" s="374"/>
      <c r="Y350" s="374"/>
      <c r="Z350" s="374"/>
    </row>
    <row r="351" spans="21:26">
      <c r="U351" s="374"/>
      <c r="V351" s="374"/>
      <c r="W351" s="374"/>
      <c r="X351" s="374"/>
      <c r="Y351" s="374"/>
      <c r="Z351" s="374"/>
    </row>
    <row r="352" spans="21:26">
      <c r="U352" s="374"/>
      <c r="V352" s="374"/>
      <c r="W352" s="374"/>
      <c r="X352" s="374"/>
      <c r="Y352" s="374"/>
      <c r="Z352" s="374"/>
    </row>
    <row r="353" spans="21:26">
      <c r="U353" s="374"/>
      <c r="V353" s="374"/>
      <c r="W353" s="374"/>
      <c r="X353" s="374"/>
      <c r="Y353" s="374"/>
      <c r="Z353" s="374"/>
    </row>
    <row r="354" spans="21:26">
      <c r="U354" s="374"/>
      <c r="V354" s="374"/>
      <c r="W354" s="374"/>
      <c r="X354" s="374"/>
      <c r="Y354" s="374"/>
      <c r="Z354" s="374"/>
    </row>
    <row r="355" spans="21:26">
      <c r="U355" s="374"/>
      <c r="V355" s="374"/>
      <c r="W355" s="374"/>
      <c r="X355" s="374"/>
      <c r="Y355" s="374"/>
      <c r="Z355" s="374"/>
    </row>
    <row r="356" spans="21:26">
      <c r="U356" s="374"/>
      <c r="V356" s="374"/>
      <c r="W356" s="374"/>
      <c r="X356" s="374"/>
      <c r="Y356" s="374"/>
      <c r="Z356" s="374"/>
    </row>
    <row r="357" spans="21:26">
      <c r="U357" s="374"/>
      <c r="V357" s="374"/>
      <c r="W357" s="374"/>
      <c r="X357" s="374"/>
      <c r="Y357" s="374"/>
      <c r="Z357" s="374"/>
    </row>
    <row r="358" spans="21:26">
      <c r="U358" s="374"/>
      <c r="V358" s="374"/>
      <c r="W358" s="374"/>
      <c r="X358" s="374"/>
      <c r="Y358" s="374"/>
      <c r="Z358" s="374"/>
    </row>
    <row r="359" spans="21:26">
      <c r="U359" s="374"/>
      <c r="V359" s="374"/>
      <c r="W359" s="374"/>
      <c r="X359" s="374"/>
      <c r="Y359" s="374"/>
      <c r="Z359" s="374"/>
    </row>
    <row r="360" spans="21:26">
      <c r="U360" s="374"/>
      <c r="V360" s="374"/>
      <c r="W360" s="374"/>
      <c r="X360" s="374"/>
      <c r="Y360" s="374"/>
      <c r="Z360" s="374"/>
    </row>
    <row r="361" spans="21:26">
      <c r="U361" s="374"/>
      <c r="V361" s="374"/>
      <c r="W361" s="374"/>
      <c r="X361" s="374"/>
      <c r="Y361" s="374"/>
      <c r="Z361" s="374"/>
    </row>
    <row r="362" spans="21:26">
      <c r="U362" s="374"/>
      <c r="V362" s="374"/>
      <c r="W362" s="374"/>
      <c r="X362" s="374"/>
      <c r="Y362" s="374"/>
      <c r="Z362" s="374"/>
    </row>
    <row r="363" spans="21:26">
      <c r="U363" s="374"/>
      <c r="V363" s="374"/>
      <c r="W363" s="374"/>
      <c r="X363" s="374"/>
      <c r="Y363" s="374"/>
      <c r="Z363" s="374"/>
    </row>
    <row r="364" spans="21:26">
      <c r="U364" s="374"/>
      <c r="V364" s="374"/>
      <c r="W364" s="374"/>
      <c r="X364" s="374"/>
      <c r="Y364" s="374"/>
      <c r="Z364" s="374"/>
    </row>
    <row r="365" spans="21:26">
      <c r="U365" s="374"/>
      <c r="V365" s="374"/>
      <c r="W365" s="374"/>
      <c r="X365" s="374"/>
      <c r="Y365" s="374"/>
      <c r="Z365" s="374"/>
    </row>
    <row r="366" spans="21:26">
      <c r="U366" s="374"/>
      <c r="V366" s="374"/>
      <c r="W366" s="374"/>
      <c r="X366" s="374"/>
      <c r="Y366" s="374"/>
      <c r="Z366" s="374"/>
    </row>
    <row r="367" spans="21:26">
      <c r="U367" s="374"/>
      <c r="V367" s="374"/>
      <c r="W367" s="374"/>
      <c r="X367" s="374"/>
      <c r="Y367" s="374"/>
      <c r="Z367" s="374"/>
    </row>
    <row r="368" spans="21:26">
      <c r="U368" s="374"/>
      <c r="V368" s="374"/>
      <c r="W368" s="374"/>
      <c r="X368" s="374"/>
      <c r="Y368" s="374"/>
      <c r="Z368" s="374"/>
    </row>
    <row r="369" spans="21:26">
      <c r="U369" s="374"/>
      <c r="V369" s="374"/>
      <c r="W369" s="374"/>
      <c r="X369" s="374"/>
      <c r="Y369" s="374"/>
      <c r="Z369" s="374"/>
    </row>
    <row r="370" spans="21:26">
      <c r="U370" s="374"/>
      <c r="V370" s="374"/>
      <c r="W370" s="374"/>
      <c r="X370" s="374"/>
      <c r="Y370" s="374"/>
      <c r="Z370" s="374"/>
    </row>
    <row r="371" spans="21:26">
      <c r="U371" s="374"/>
      <c r="V371" s="374"/>
      <c r="W371" s="374"/>
      <c r="X371" s="374"/>
      <c r="Y371" s="374"/>
      <c r="Z371" s="374"/>
    </row>
    <row r="372" spans="21:26">
      <c r="U372" s="374"/>
      <c r="V372" s="374"/>
      <c r="W372" s="374"/>
      <c r="X372" s="374"/>
      <c r="Y372" s="374"/>
      <c r="Z372" s="374"/>
    </row>
    <row r="373" spans="21:26">
      <c r="U373" s="374"/>
      <c r="V373" s="374"/>
      <c r="W373" s="374"/>
      <c r="X373" s="374"/>
      <c r="Y373" s="374"/>
      <c r="Z373" s="374"/>
    </row>
    <row r="374" spans="21:26">
      <c r="U374" s="374"/>
      <c r="V374" s="374"/>
      <c r="W374" s="374"/>
      <c r="X374" s="374"/>
      <c r="Y374" s="374"/>
      <c r="Z374" s="374"/>
    </row>
    <row r="375" spans="21:26">
      <c r="U375" s="374"/>
      <c r="V375" s="374"/>
      <c r="W375" s="374"/>
      <c r="X375" s="374"/>
      <c r="Y375" s="374"/>
      <c r="Z375" s="374"/>
    </row>
    <row r="376" spans="21:26">
      <c r="U376" s="374"/>
      <c r="V376" s="374"/>
      <c r="W376" s="374"/>
      <c r="X376" s="374"/>
      <c r="Y376" s="374"/>
      <c r="Z376" s="374"/>
    </row>
    <row r="377" spans="21:26">
      <c r="U377" s="374"/>
      <c r="V377" s="374"/>
      <c r="W377" s="374"/>
      <c r="X377" s="374"/>
      <c r="Y377" s="374"/>
      <c r="Z377" s="374"/>
    </row>
    <row r="378" spans="21:26">
      <c r="U378" s="374"/>
      <c r="V378" s="374"/>
      <c r="W378" s="374"/>
      <c r="X378" s="374"/>
      <c r="Y378" s="374"/>
      <c r="Z378" s="374"/>
    </row>
    <row r="379" spans="21:26">
      <c r="U379" s="374"/>
      <c r="V379" s="374"/>
      <c r="W379" s="374"/>
      <c r="X379" s="374"/>
      <c r="Y379" s="374"/>
      <c r="Z379" s="374"/>
    </row>
    <row r="380" spans="21:26">
      <c r="U380" s="374"/>
      <c r="V380" s="374"/>
      <c r="W380" s="374"/>
      <c r="X380" s="374"/>
      <c r="Y380" s="374"/>
      <c r="Z380" s="374"/>
    </row>
    <row r="381" spans="21:26">
      <c r="U381" s="374"/>
      <c r="V381" s="374"/>
      <c r="W381" s="374"/>
      <c r="X381" s="374"/>
      <c r="Y381" s="374"/>
      <c r="Z381" s="374"/>
    </row>
    <row r="382" spans="21:26">
      <c r="U382" s="374"/>
      <c r="V382" s="374"/>
      <c r="W382" s="374"/>
      <c r="X382" s="374"/>
      <c r="Y382" s="374"/>
      <c r="Z382" s="374"/>
    </row>
    <row r="383" spans="21:26">
      <c r="U383" s="374"/>
      <c r="V383" s="374"/>
      <c r="W383" s="374"/>
      <c r="X383" s="374"/>
      <c r="Y383" s="374"/>
      <c r="Z383" s="374"/>
    </row>
    <row r="384" spans="21:26">
      <c r="U384" s="374"/>
      <c r="V384" s="374"/>
      <c r="W384" s="374"/>
      <c r="X384" s="374"/>
      <c r="Y384" s="374"/>
      <c r="Z384" s="374"/>
    </row>
    <row r="385" spans="21:26">
      <c r="U385" s="374"/>
      <c r="V385" s="374"/>
      <c r="W385" s="374"/>
      <c r="X385" s="374"/>
      <c r="Y385" s="374"/>
      <c r="Z385" s="374"/>
    </row>
    <row r="386" spans="21:26">
      <c r="U386" s="374"/>
      <c r="V386" s="374"/>
      <c r="W386" s="374"/>
      <c r="X386" s="374"/>
      <c r="Y386" s="374"/>
      <c r="Z386" s="374"/>
    </row>
    <row r="387" spans="21:26">
      <c r="U387" s="374"/>
      <c r="V387" s="374"/>
      <c r="W387" s="374"/>
      <c r="X387" s="374"/>
      <c r="Y387" s="374"/>
      <c r="Z387" s="374"/>
    </row>
    <row r="388" spans="21:26">
      <c r="U388" s="374"/>
      <c r="V388" s="374"/>
      <c r="W388" s="374"/>
      <c r="X388" s="374"/>
      <c r="Y388" s="374"/>
      <c r="Z388" s="374"/>
    </row>
    <row r="389" spans="21:26">
      <c r="U389" s="374"/>
      <c r="V389" s="374"/>
      <c r="W389" s="374"/>
      <c r="X389" s="374"/>
      <c r="Y389" s="374"/>
      <c r="Z389" s="374"/>
    </row>
    <row r="390" spans="21:26">
      <c r="U390" s="374"/>
      <c r="V390" s="374"/>
      <c r="W390" s="374"/>
      <c r="X390" s="374"/>
      <c r="Y390" s="374"/>
      <c r="Z390" s="374"/>
    </row>
    <row r="391" spans="21:26">
      <c r="U391" s="374"/>
      <c r="V391" s="374"/>
      <c r="W391" s="374"/>
      <c r="X391" s="374"/>
      <c r="Y391" s="374"/>
      <c r="Z391" s="374"/>
    </row>
    <row r="392" spans="21:26">
      <c r="U392" s="374"/>
      <c r="V392" s="374"/>
      <c r="W392" s="374"/>
      <c r="X392" s="374"/>
      <c r="Y392" s="374"/>
      <c r="Z392" s="374"/>
    </row>
    <row r="393" spans="21:26">
      <c r="U393" s="374"/>
      <c r="V393" s="374"/>
      <c r="W393" s="374"/>
      <c r="X393" s="374"/>
      <c r="Y393" s="374"/>
      <c r="Z393" s="374"/>
    </row>
    <row r="394" spans="21:26">
      <c r="U394" s="374"/>
      <c r="V394" s="374"/>
      <c r="W394" s="374"/>
      <c r="X394" s="374"/>
      <c r="Y394" s="374"/>
      <c r="Z394" s="374"/>
    </row>
    <row r="395" spans="21:26">
      <c r="U395" s="374"/>
      <c r="V395" s="374"/>
      <c r="W395" s="374"/>
      <c r="X395" s="374"/>
      <c r="Y395" s="374"/>
      <c r="Z395" s="374"/>
    </row>
    <row r="396" spans="21:26">
      <c r="U396" s="374"/>
      <c r="V396" s="374"/>
      <c r="W396" s="374"/>
      <c r="X396" s="374"/>
      <c r="Y396" s="374"/>
      <c r="Z396" s="374"/>
    </row>
    <row r="397" spans="21:26">
      <c r="U397" s="374"/>
      <c r="V397" s="374"/>
      <c r="W397" s="374"/>
      <c r="X397" s="374"/>
      <c r="Y397" s="374"/>
      <c r="Z397" s="374"/>
    </row>
    <row r="398" spans="21:26">
      <c r="U398" s="374"/>
      <c r="V398" s="374"/>
      <c r="W398" s="374"/>
      <c r="X398" s="374"/>
      <c r="Y398" s="374"/>
      <c r="Z398" s="374"/>
    </row>
    <row r="399" spans="21:26">
      <c r="U399" s="374"/>
      <c r="V399" s="374"/>
      <c r="W399" s="374"/>
      <c r="X399" s="374"/>
      <c r="Y399" s="374"/>
      <c r="Z399" s="374"/>
    </row>
    <row r="400" spans="21:26">
      <c r="U400" s="374"/>
      <c r="V400" s="374"/>
      <c r="W400" s="374"/>
      <c r="X400" s="374"/>
      <c r="Y400" s="374"/>
      <c r="Z400" s="374"/>
    </row>
    <row r="401" spans="21:26">
      <c r="U401" s="374"/>
      <c r="V401" s="374"/>
      <c r="W401" s="374"/>
      <c r="X401" s="374"/>
      <c r="Y401" s="374"/>
      <c r="Z401" s="374"/>
    </row>
    <row r="402" spans="21:26">
      <c r="U402" s="374"/>
      <c r="V402" s="374"/>
      <c r="W402" s="374"/>
      <c r="X402" s="374"/>
      <c r="Y402" s="374"/>
      <c r="Z402" s="374"/>
    </row>
    <row r="403" spans="21:26">
      <c r="U403" s="374"/>
      <c r="V403" s="374"/>
      <c r="W403" s="374"/>
      <c r="X403" s="374"/>
      <c r="Y403" s="374"/>
      <c r="Z403" s="374"/>
    </row>
    <row r="404" spans="21:26">
      <c r="U404" s="374"/>
      <c r="V404" s="374"/>
      <c r="W404" s="374"/>
      <c r="X404" s="374"/>
      <c r="Y404" s="374"/>
      <c r="Z404" s="374"/>
    </row>
    <row r="405" spans="21:26">
      <c r="U405" s="374"/>
      <c r="V405" s="374"/>
      <c r="W405" s="374"/>
      <c r="X405" s="374"/>
      <c r="Y405" s="374"/>
      <c r="Z405" s="374"/>
    </row>
    <row r="406" spans="21:26">
      <c r="U406" s="374"/>
      <c r="V406" s="374"/>
      <c r="W406" s="374"/>
      <c r="X406" s="374"/>
      <c r="Y406" s="374"/>
      <c r="Z406" s="374"/>
    </row>
    <row r="407" spans="21:26">
      <c r="U407" s="374"/>
      <c r="V407" s="374"/>
      <c r="W407" s="374"/>
      <c r="X407" s="374"/>
      <c r="Y407" s="374"/>
      <c r="Z407" s="374"/>
    </row>
    <row r="408" spans="21:26">
      <c r="U408" s="374"/>
      <c r="V408" s="374"/>
      <c r="W408" s="374"/>
      <c r="X408" s="374"/>
      <c r="Y408" s="374"/>
      <c r="Z408" s="374"/>
    </row>
    <row r="409" spans="21:26">
      <c r="U409" s="374"/>
      <c r="V409" s="374"/>
      <c r="W409" s="374"/>
      <c r="X409" s="374"/>
      <c r="Y409" s="374"/>
      <c r="Z409" s="374"/>
    </row>
    <row r="410" spans="21:26">
      <c r="U410" s="374"/>
      <c r="V410" s="374"/>
      <c r="W410" s="374"/>
      <c r="X410" s="374"/>
      <c r="Y410" s="374"/>
      <c r="Z410" s="374"/>
    </row>
    <row r="411" spans="21:26">
      <c r="U411" s="374"/>
      <c r="V411" s="374"/>
      <c r="W411" s="374"/>
      <c r="X411" s="374"/>
      <c r="Y411" s="374"/>
      <c r="Z411" s="374"/>
    </row>
    <row r="412" spans="21:26">
      <c r="U412" s="374"/>
      <c r="V412" s="374"/>
      <c r="W412" s="374"/>
      <c r="X412" s="374"/>
      <c r="Y412" s="374"/>
      <c r="Z412" s="374"/>
    </row>
    <row r="413" spans="21:26">
      <c r="U413" s="374"/>
      <c r="V413" s="374"/>
      <c r="W413" s="374"/>
      <c r="X413" s="374"/>
      <c r="Y413" s="374"/>
      <c r="Z413" s="374"/>
    </row>
    <row r="414" spans="21:26">
      <c r="U414" s="374"/>
      <c r="V414" s="374"/>
      <c r="W414" s="374"/>
      <c r="X414" s="374"/>
      <c r="Y414" s="374"/>
      <c r="Z414" s="374"/>
    </row>
    <row r="415" spans="21:26">
      <c r="U415" s="374"/>
      <c r="V415" s="374"/>
      <c r="W415" s="374"/>
      <c r="X415" s="374"/>
      <c r="Y415" s="374"/>
      <c r="Z415" s="374"/>
    </row>
    <row r="416" spans="21:26">
      <c r="U416" s="374"/>
      <c r="V416" s="374"/>
      <c r="W416" s="374"/>
      <c r="X416" s="374"/>
      <c r="Y416" s="374"/>
      <c r="Z416" s="374"/>
    </row>
    <row r="417" spans="21:26">
      <c r="U417" s="374"/>
      <c r="V417" s="374"/>
      <c r="W417" s="374"/>
      <c r="X417" s="374"/>
      <c r="Y417" s="374"/>
      <c r="Z417" s="374"/>
    </row>
    <row r="418" spans="21:26">
      <c r="U418" s="374"/>
      <c r="V418" s="374"/>
      <c r="W418" s="374"/>
      <c r="X418" s="374"/>
      <c r="Y418" s="374"/>
      <c r="Z418" s="374"/>
    </row>
    <row r="419" spans="21:26">
      <c r="U419" s="374"/>
      <c r="V419" s="374"/>
      <c r="W419" s="374"/>
      <c r="X419" s="374"/>
      <c r="Y419" s="374"/>
      <c r="Z419" s="374"/>
    </row>
    <row r="420" spans="21:26">
      <c r="U420" s="374"/>
      <c r="V420" s="374"/>
      <c r="W420" s="374"/>
      <c r="X420" s="374"/>
      <c r="Y420" s="374"/>
      <c r="Z420" s="374"/>
    </row>
    <row r="421" spans="21:26">
      <c r="U421" s="374"/>
      <c r="V421" s="374"/>
      <c r="W421" s="374"/>
      <c r="X421" s="374"/>
      <c r="Y421" s="374"/>
      <c r="Z421" s="374"/>
    </row>
    <row r="422" spans="21:26">
      <c r="U422" s="374"/>
      <c r="V422" s="374"/>
      <c r="W422" s="374"/>
      <c r="X422" s="374"/>
      <c r="Y422" s="374"/>
      <c r="Z422" s="374"/>
    </row>
    <row r="423" spans="21:26">
      <c r="U423" s="374"/>
      <c r="V423" s="374"/>
      <c r="W423" s="374"/>
      <c r="X423" s="374"/>
      <c r="Y423" s="374"/>
      <c r="Z423" s="374"/>
    </row>
    <row r="424" spans="21:26">
      <c r="U424" s="374"/>
      <c r="V424" s="374"/>
      <c r="W424" s="374"/>
      <c r="X424" s="374"/>
      <c r="Y424" s="374"/>
      <c r="Z424" s="374"/>
    </row>
    <row r="425" spans="21:26">
      <c r="U425" s="374"/>
      <c r="V425" s="374"/>
      <c r="W425" s="374"/>
      <c r="X425" s="374"/>
      <c r="Y425" s="374"/>
      <c r="Z425" s="374"/>
    </row>
    <row r="426" spans="21:26">
      <c r="U426" s="374"/>
      <c r="V426" s="374"/>
      <c r="W426" s="374"/>
      <c r="X426" s="374"/>
      <c r="Y426" s="374"/>
      <c r="Z426" s="374"/>
    </row>
    <row r="427" spans="21:26">
      <c r="U427" s="374"/>
      <c r="V427" s="374"/>
      <c r="W427" s="374"/>
      <c r="X427" s="374"/>
      <c r="Y427" s="374"/>
      <c r="Z427" s="374"/>
    </row>
    <row r="428" spans="21:26">
      <c r="U428" s="374"/>
      <c r="V428" s="374"/>
      <c r="W428" s="374"/>
      <c r="X428" s="374"/>
      <c r="Y428" s="374"/>
      <c r="Z428" s="374"/>
    </row>
    <row r="429" spans="21:26">
      <c r="U429" s="374"/>
      <c r="V429" s="374"/>
      <c r="W429" s="374"/>
      <c r="X429" s="374"/>
      <c r="Y429" s="374"/>
      <c r="Z429" s="374"/>
    </row>
    <row r="430" spans="21:26">
      <c r="U430" s="374"/>
      <c r="V430" s="374"/>
      <c r="W430" s="374"/>
      <c r="X430" s="374"/>
      <c r="Y430" s="374"/>
      <c r="Z430" s="374"/>
    </row>
    <row r="431" spans="21:26">
      <c r="U431" s="374"/>
      <c r="V431" s="374"/>
      <c r="W431" s="374"/>
      <c r="X431" s="374"/>
      <c r="Y431" s="374"/>
      <c r="Z431" s="374"/>
    </row>
    <row r="432" spans="21:26">
      <c r="U432" s="374"/>
      <c r="V432" s="374"/>
      <c r="W432" s="374"/>
      <c r="X432" s="374"/>
      <c r="Y432" s="374"/>
      <c r="Z432" s="374"/>
    </row>
    <row r="433" spans="21:26">
      <c r="U433" s="374"/>
      <c r="V433" s="374"/>
      <c r="W433" s="374"/>
      <c r="X433" s="374"/>
      <c r="Y433" s="374"/>
      <c r="Z433" s="374"/>
    </row>
    <row r="434" spans="21:26">
      <c r="U434" s="374"/>
      <c r="V434" s="374"/>
      <c r="W434" s="374"/>
      <c r="X434" s="374"/>
      <c r="Y434" s="374"/>
      <c r="Z434" s="374"/>
    </row>
    <row r="435" spans="21:26">
      <c r="U435" s="374"/>
      <c r="V435" s="374"/>
      <c r="W435" s="374"/>
      <c r="X435" s="374"/>
      <c r="Y435" s="374"/>
      <c r="Z435" s="374"/>
    </row>
    <row r="436" spans="21:26">
      <c r="U436" s="374"/>
      <c r="V436" s="374"/>
      <c r="W436" s="374"/>
      <c r="X436" s="374"/>
      <c r="Y436" s="374"/>
      <c r="Z436" s="374"/>
    </row>
    <row r="437" spans="21:26">
      <c r="U437" s="374"/>
      <c r="V437" s="374"/>
      <c r="W437" s="374"/>
      <c r="X437" s="374"/>
      <c r="Y437" s="374"/>
      <c r="Z437" s="374"/>
    </row>
    <row r="438" spans="21:26">
      <c r="U438" s="374"/>
      <c r="V438" s="374"/>
      <c r="W438" s="374"/>
      <c r="X438" s="374"/>
      <c r="Y438" s="374"/>
      <c r="Z438" s="374"/>
    </row>
    <row r="439" spans="21:26">
      <c r="U439" s="374"/>
      <c r="V439" s="374"/>
      <c r="W439" s="374"/>
      <c r="X439" s="374"/>
      <c r="Y439" s="374"/>
      <c r="Z439" s="374"/>
    </row>
    <row r="440" spans="21:26">
      <c r="U440" s="374"/>
      <c r="V440" s="374"/>
      <c r="W440" s="374"/>
      <c r="X440" s="374"/>
      <c r="Y440" s="374"/>
      <c r="Z440" s="374"/>
    </row>
    <row r="441" spans="21:26">
      <c r="U441" s="374"/>
      <c r="V441" s="374"/>
      <c r="W441" s="374"/>
      <c r="X441" s="374"/>
      <c r="Y441" s="374"/>
      <c r="Z441" s="374"/>
    </row>
    <row r="442" spans="21:26">
      <c r="U442" s="374"/>
      <c r="V442" s="374"/>
      <c r="W442" s="374"/>
      <c r="X442" s="374"/>
      <c r="Y442" s="374"/>
      <c r="Z442" s="374"/>
    </row>
    <row r="443" spans="21:26">
      <c r="U443" s="374"/>
      <c r="V443" s="374"/>
      <c r="W443" s="374"/>
      <c r="X443" s="374"/>
      <c r="Y443" s="374"/>
      <c r="Z443" s="374"/>
    </row>
    <row r="444" spans="21:26">
      <c r="U444" s="374"/>
      <c r="V444" s="374"/>
      <c r="W444" s="374"/>
      <c r="X444" s="374"/>
      <c r="Y444" s="374"/>
      <c r="Z444" s="374"/>
    </row>
    <row r="445" spans="21:26">
      <c r="U445" s="374"/>
      <c r="V445" s="374"/>
      <c r="W445" s="374"/>
      <c r="X445" s="374"/>
      <c r="Y445" s="374"/>
      <c r="Z445" s="374"/>
    </row>
    <row r="446" spans="21:26">
      <c r="U446" s="374"/>
      <c r="V446" s="374"/>
      <c r="W446" s="374"/>
      <c r="X446" s="374"/>
      <c r="Y446" s="374"/>
      <c r="Z446" s="374"/>
    </row>
    <row r="447" spans="21:26">
      <c r="U447" s="374"/>
      <c r="V447" s="374"/>
      <c r="W447" s="374"/>
      <c r="X447" s="374"/>
      <c r="Y447" s="374"/>
      <c r="Z447" s="374"/>
    </row>
    <row r="448" spans="21:26">
      <c r="U448" s="374"/>
      <c r="V448" s="374"/>
      <c r="W448" s="374"/>
      <c r="X448" s="374"/>
      <c r="Y448" s="374"/>
      <c r="Z448" s="374"/>
    </row>
    <row r="449" spans="21:26">
      <c r="U449" s="374"/>
      <c r="V449" s="374"/>
      <c r="W449" s="374"/>
      <c r="X449" s="374"/>
      <c r="Y449" s="374"/>
      <c r="Z449" s="374"/>
    </row>
    <row r="450" spans="21:26">
      <c r="U450" s="374"/>
      <c r="V450" s="374"/>
      <c r="W450" s="374"/>
      <c r="X450" s="374"/>
      <c r="Y450" s="374"/>
      <c r="Z450" s="374"/>
    </row>
    <row r="451" spans="21:26">
      <c r="U451" s="374"/>
      <c r="V451" s="374"/>
      <c r="W451" s="374"/>
      <c r="X451" s="374"/>
      <c r="Y451" s="374"/>
      <c r="Z451" s="374"/>
    </row>
    <row r="452" spans="21:26">
      <c r="U452" s="374"/>
      <c r="V452" s="374"/>
      <c r="W452" s="374"/>
      <c r="X452" s="374"/>
      <c r="Y452" s="374"/>
      <c r="Z452" s="374"/>
    </row>
    <row r="453" spans="21:26">
      <c r="U453" s="374"/>
      <c r="V453" s="374"/>
      <c r="W453" s="374"/>
      <c r="X453" s="374"/>
      <c r="Y453" s="374"/>
      <c r="Z453" s="374"/>
    </row>
    <row r="454" spans="21:26">
      <c r="U454" s="374"/>
      <c r="V454" s="374"/>
      <c r="W454" s="374"/>
      <c r="X454" s="374"/>
      <c r="Y454" s="374"/>
      <c r="Z454" s="374"/>
    </row>
    <row r="455" spans="21:26">
      <c r="U455" s="374"/>
      <c r="V455" s="374"/>
      <c r="W455" s="374"/>
      <c r="X455" s="374"/>
      <c r="Y455" s="374"/>
      <c r="Z455" s="374"/>
    </row>
    <row r="456" spans="21:26">
      <c r="U456" s="374"/>
      <c r="V456" s="374"/>
      <c r="W456" s="374"/>
      <c r="X456" s="374"/>
      <c r="Y456" s="374"/>
      <c r="Z456" s="374"/>
    </row>
    <row r="457" spans="21:26">
      <c r="U457" s="374"/>
      <c r="V457" s="374"/>
      <c r="W457" s="374"/>
      <c r="X457" s="374"/>
      <c r="Y457" s="374"/>
      <c r="Z457" s="374"/>
    </row>
    <row r="458" spans="21:26">
      <c r="U458" s="374"/>
      <c r="V458" s="374"/>
      <c r="W458" s="374"/>
      <c r="X458" s="374"/>
      <c r="Y458" s="374"/>
      <c r="Z458" s="374"/>
    </row>
    <row r="459" spans="21:26">
      <c r="U459" s="374"/>
      <c r="V459" s="374"/>
      <c r="W459" s="374"/>
      <c r="X459" s="374"/>
      <c r="Y459" s="374"/>
      <c r="Z459" s="374"/>
    </row>
    <row r="460" spans="21:26">
      <c r="U460" s="374"/>
      <c r="V460" s="374"/>
      <c r="W460" s="374"/>
      <c r="X460" s="374"/>
      <c r="Y460" s="374"/>
      <c r="Z460" s="374"/>
    </row>
    <row r="461" spans="21:26">
      <c r="U461" s="374"/>
      <c r="V461" s="374"/>
      <c r="W461" s="374"/>
      <c r="X461" s="374"/>
      <c r="Y461" s="374"/>
      <c r="Z461" s="374"/>
    </row>
    <row r="462" spans="21:26">
      <c r="U462" s="374"/>
      <c r="V462" s="374"/>
      <c r="W462" s="374"/>
      <c r="X462" s="374"/>
      <c r="Y462" s="374"/>
      <c r="Z462" s="374"/>
    </row>
    <row r="463" spans="21:26">
      <c r="U463" s="374"/>
      <c r="V463" s="374"/>
      <c r="W463" s="374"/>
      <c r="X463" s="374"/>
      <c r="Y463" s="374"/>
      <c r="Z463" s="374"/>
    </row>
    <row r="464" spans="21:26">
      <c r="U464" s="374"/>
      <c r="V464" s="374"/>
      <c r="W464" s="374"/>
      <c r="X464" s="374"/>
      <c r="Y464" s="374"/>
      <c r="Z464" s="374"/>
    </row>
    <row r="465" spans="21:26">
      <c r="U465" s="374"/>
      <c r="V465" s="374"/>
      <c r="W465" s="374"/>
      <c r="X465" s="374"/>
      <c r="Y465" s="374"/>
      <c r="Z465" s="374"/>
    </row>
    <row r="466" spans="21:26">
      <c r="U466" s="374"/>
      <c r="V466" s="374"/>
      <c r="W466" s="374"/>
      <c r="X466" s="374"/>
      <c r="Y466" s="374"/>
      <c r="Z466" s="374"/>
    </row>
    <row r="467" spans="21:26">
      <c r="U467" s="374"/>
      <c r="V467" s="374"/>
      <c r="W467" s="374"/>
      <c r="X467" s="374"/>
      <c r="Y467" s="374"/>
      <c r="Z467" s="374"/>
    </row>
    <row r="468" spans="21:26">
      <c r="U468" s="374"/>
      <c r="V468" s="374"/>
      <c r="W468" s="374"/>
      <c r="X468" s="374"/>
      <c r="Y468" s="374"/>
      <c r="Z468" s="374"/>
    </row>
    <row r="469" spans="21:26">
      <c r="U469" s="374"/>
      <c r="V469" s="374"/>
      <c r="W469" s="374"/>
      <c r="X469" s="374"/>
      <c r="Y469" s="374"/>
      <c r="Z469" s="374"/>
    </row>
    <row r="470" spans="21:26">
      <c r="U470" s="374"/>
      <c r="V470" s="374"/>
      <c r="W470" s="374"/>
      <c r="X470" s="374"/>
      <c r="Y470" s="374"/>
      <c r="Z470" s="374"/>
    </row>
    <row r="471" spans="21:26">
      <c r="U471" s="374"/>
      <c r="V471" s="374"/>
      <c r="W471" s="374"/>
      <c r="X471" s="374"/>
      <c r="Y471" s="374"/>
      <c r="Z471" s="374"/>
    </row>
    <row r="472" spans="21:26">
      <c r="U472" s="374"/>
      <c r="V472" s="374"/>
      <c r="W472" s="374"/>
      <c r="X472" s="374"/>
      <c r="Y472" s="374"/>
      <c r="Z472" s="374"/>
    </row>
    <row r="473" spans="21:26">
      <c r="U473" s="374"/>
      <c r="V473" s="374"/>
      <c r="W473" s="374"/>
      <c r="X473" s="374"/>
      <c r="Y473" s="374"/>
      <c r="Z473" s="374"/>
    </row>
    <row r="474" spans="21:26">
      <c r="U474" s="374"/>
      <c r="V474" s="374"/>
      <c r="W474" s="374"/>
      <c r="X474" s="374"/>
      <c r="Y474" s="374"/>
      <c r="Z474" s="374"/>
    </row>
    <row r="475" spans="21:26">
      <c r="U475" s="374"/>
      <c r="V475" s="374"/>
      <c r="W475" s="374"/>
      <c r="X475" s="374"/>
      <c r="Y475" s="374"/>
      <c r="Z475" s="374"/>
    </row>
    <row r="476" spans="21:26">
      <c r="U476" s="374"/>
      <c r="V476" s="374"/>
      <c r="W476" s="374"/>
      <c r="X476" s="374"/>
      <c r="Y476" s="374"/>
      <c r="Z476" s="374"/>
    </row>
    <row r="477" spans="21:26">
      <c r="U477" s="374"/>
      <c r="V477" s="374"/>
      <c r="W477" s="374"/>
      <c r="X477" s="374"/>
      <c r="Y477" s="374"/>
      <c r="Z477" s="374"/>
    </row>
    <row r="478" spans="21:26">
      <c r="U478" s="374"/>
      <c r="V478" s="374"/>
      <c r="W478" s="374"/>
      <c r="X478" s="374"/>
      <c r="Y478" s="374"/>
      <c r="Z478" s="374"/>
    </row>
    <row r="479" spans="21:26">
      <c r="U479" s="374"/>
      <c r="V479" s="374"/>
      <c r="W479" s="374"/>
      <c r="X479" s="374"/>
      <c r="Y479" s="374"/>
      <c r="Z479" s="374"/>
    </row>
    <row r="480" spans="21:26">
      <c r="U480" s="374"/>
      <c r="V480" s="374"/>
      <c r="W480" s="374"/>
      <c r="X480" s="374"/>
      <c r="Y480" s="374"/>
      <c r="Z480" s="374"/>
    </row>
    <row r="481" spans="21:26">
      <c r="U481" s="374"/>
      <c r="V481" s="374"/>
      <c r="W481" s="374"/>
      <c r="X481" s="374"/>
      <c r="Y481" s="374"/>
      <c r="Z481" s="374"/>
    </row>
    <row r="482" spans="21:26">
      <c r="U482" s="374"/>
      <c r="V482" s="374"/>
      <c r="W482" s="374"/>
      <c r="X482" s="374"/>
      <c r="Y482" s="374"/>
      <c r="Z482" s="374"/>
    </row>
    <row r="483" spans="21:26">
      <c r="U483" s="374"/>
      <c r="V483" s="374"/>
      <c r="W483" s="374"/>
      <c r="X483" s="374"/>
      <c r="Y483" s="374"/>
      <c r="Z483" s="374"/>
    </row>
    <row r="484" spans="21:26">
      <c r="U484" s="374"/>
      <c r="V484" s="374"/>
      <c r="W484" s="374"/>
      <c r="X484" s="374"/>
      <c r="Y484" s="374"/>
      <c r="Z484" s="374"/>
    </row>
    <row r="485" spans="21:26">
      <c r="U485" s="374"/>
      <c r="V485" s="374"/>
      <c r="W485" s="374"/>
      <c r="X485" s="374"/>
      <c r="Y485" s="374"/>
      <c r="Z485" s="374"/>
    </row>
    <row r="486" spans="21:26">
      <c r="U486" s="374"/>
      <c r="V486" s="374"/>
      <c r="W486" s="374"/>
      <c r="X486" s="374"/>
      <c r="Y486" s="374"/>
      <c r="Z486" s="374"/>
    </row>
    <row r="487" spans="21:26">
      <c r="U487" s="374"/>
      <c r="V487" s="374"/>
      <c r="W487" s="374"/>
      <c r="X487" s="374"/>
      <c r="Y487" s="374"/>
      <c r="Z487" s="374"/>
    </row>
    <row r="488" spans="21:26">
      <c r="U488" s="374"/>
      <c r="V488" s="374"/>
      <c r="W488" s="374"/>
      <c r="X488" s="374"/>
      <c r="Y488" s="374"/>
      <c r="Z488" s="374"/>
    </row>
    <row r="489" spans="21:26">
      <c r="U489" s="374"/>
      <c r="V489" s="374"/>
      <c r="W489" s="374"/>
      <c r="X489" s="374"/>
      <c r="Y489" s="374"/>
      <c r="Z489" s="374"/>
    </row>
    <row r="490" spans="21:26">
      <c r="U490" s="374"/>
      <c r="V490" s="374"/>
      <c r="W490" s="374"/>
      <c r="X490" s="374"/>
      <c r="Y490" s="374"/>
      <c r="Z490" s="374"/>
    </row>
    <row r="491" spans="21:26">
      <c r="U491" s="374"/>
      <c r="V491" s="374"/>
      <c r="W491" s="374"/>
      <c r="X491" s="374"/>
      <c r="Y491" s="374"/>
      <c r="Z491" s="374"/>
    </row>
    <row r="492" spans="21:26">
      <c r="U492" s="374"/>
      <c r="V492" s="374"/>
      <c r="W492" s="374"/>
      <c r="X492" s="374"/>
      <c r="Y492" s="374"/>
      <c r="Z492" s="374"/>
    </row>
    <row r="493" spans="21:26">
      <c r="U493" s="374"/>
      <c r="V493" s="374"/>
      <c r="W493" s="374"/>
      <c r="X493" s="374"/>
      <c r="Y493" s="374"/>
      <c r="Z493" s="374"/>
    </row>
    <row r="494" spans="21:26">
      <c r="U494" s="374"/>
      <c r="V494" s="374"/>
      <c r="W494" s="374"/>
      <c r="X494" s="374"/>
      <c r="Y494" s="374"/>
      <c r="Z494" s="374"/>
    </row>
    <row r="495" spans="21:26">
      <c r="U495" s="374"/>
      <c r="V495" s="374"/>
      <c r="W495" s="374"/>
      <c r="X495" s="374"/>
      <c r="Y495" s="374"/>
      <c r="Z495" s="374"/>
    </row>
    <row r="496" spans="21:26">
      <c r="U496" s="374"/>
      <c r="V496" s="374"/>
      <c r="W496" s="374"/>
      <c r="X496" s="374"/>
      <c r="Y496" s="374"/>
      <c r="Z496" s="374"/>
    </row>
    <row r="497" spans="21:26">
      <c r="U497" s="374"/>
      <c r="V497" s="374"/>
      <c r="W497" s="374"/>
      <c r="X497" s="374"/>
      <c r="Y497" s="374"/>
      <c r="Z497" s="374"/>
    </row>
    <row r="498" spans="21:26">
      <c r="U498" s="374"/>
      <c r="V498" s="374"/>
      <c r="W498" s="374"/>
      <c r="X498" s="374"/>
      <c r="Y498" s="374"/>
      <c r="Z498" s="374"/>
    </row>
    <row r="499" spans="21:26">
      <c r="U499" s="374"/>
      <c r="V499" s="374"/>
      <c r="W499" s="374"/>
      <c r="X499" s="374"/>
      <c r="Y499" s="374"/>
      <c r="Z499" s="374"/>
    </row>
    <row r="500" spans="21:26">
      <c r="U500" s="374"/>
      <c r="V500" s="374"/>
      <c r="W500" s="374"/>
      <c r="X500" s="374"/>
      <c r="Y500" s="374"/>
      <c r="Z500" s="374"/>
    </row>
    <row r="501" spans="21:26">
      <c r="U501" s="374"/>
      <c r="V501" s="374"/>
      <c r="W501" s="374"/>
      <c r="X501" s="374"/>
      <c r="Y501" s="374"/>
      <c r="Z501" s="374"/>
    </row>
    <row r="502" spans="21:26">
      <c r="U502" s="374"/>
      <c r="V502" s="374"/>
      <c r="W502" s="374"/>
      <c r="X502" s="374"/>
      <c r="Y502" s="374"/>
      <c r="Z502" s="374"/>
    </row>
    <row r="503" spans="21:26">
      <c r="U503" s="374"/>
      <c r="V503" s="374"/>
      <c r="W503" s="374"/>
      <c r="X503" s="374"/>
      <c r="Y503" s="374"/>
      <c r="Z503" s="374"/>
    </row>
    <row r="504" spans="21:26">
      <c r="U504" s="374"/>
      <c r="V504" s="374"/>
      <c r="W504" s="374"/>
      <c r="X504" s="374"/>
      <c r="Y504" s="374"/>
      <c r="Z504" s="374"/>
    </row>
    <row r="505" spans="21:26">
      <c r="U505" s="374"/>
      <c r="V505" s="374"/>
      <c r="W505" s="374"/>
      <c r="X505" s="374"/>
      <c r="Y505" s="374"/>
      <c r="Z505" s="374"/>
    </row>
    <row r="506" spans="21:26">
      <c r="U506" s="374"/>
      <c r="V506" s="374"/>
      <c r="W506" s="374"/>
      <c r="X506" s="374"/>
      <c r="Y506" s="374"/>
      <c r="Z506" s="374"/>
    </row>
    <row r="507" spans="21:26">
      <c r="U507" s="374"/>
      <c r="V507" s="374"/>
      <c r="W507" s="374"/>
      <c r="X507" s="374"/>
      <c r="Y507" s="374"/>
      <c r="Z507" s="374"/>
    </row>
    <row r="508" spans="21:26">
      <c r="U508" s="374"/>
      <c r="V508" s="374"/>
      <c r="W508" s="374"/>
      <c r="X508" s="374"/>
      <c r="Y508" s="374"/>
      <c r="Z508" s="374"/>
    </row>
    <row r="509" spans="21:26">
      <c r="U509" s="374"/>
      <c r="V509" s="374"/>
      <c r="W509" s="374"/>
      <c r="X509" s="374"/>
      <c r="Y509" s="374"/>
      <c r="Z509" s="374"/>
    </row>
    <row r="510" spans="21:26">
      <c r="U510" s="374"/>
      <c r="V510" s="374"/>
      <c r="W510" s="374"/>
      <c r="X510" s="374"/>
      <c r="Y510" s="374"/>
      <c r="Z510" s="374"/>
    </row>
    <row r="511" spans="21:26">
      <c r="U511" s="374"/>
      <c r="V511" s="374"/>
      <c r="W511" s="374"/>
      <c r="X511" s="374"/>
      <c r="Y511" s="374"/>
      <c r="Z511" s="374"/>
    </row>
    <row r="512" spans="21:26">
      <c r="U512" s="374"/>
      <c r="V512" s="374"/>
      <c r="W512" s="374"/>
      <c r="X512" s="374"/>
      <c r="Y512" s="374"/>
      <c r="Z512" s="374"/>
    </row>
    <row r="513" spans="21:26">
      <c r="U513" s="374"/>
      <c r="V513" s="374"/>
      <c r="W513" s="374"/>
      <c r="X513" s="374"/>
      <c r="Y513" s="374"/>
      <c r="Z513" s="374"/>
    </row>
    <row r="514" spans="21:26">
      <c r="U514" s="374"/>
      <c r="V514" s="374"/>
      <c r="W514" s="374"/>
      <c r="X514" s="374"/>
      <c r="Y514" s="374"/>
      <c r="Z514" s="374"/>
    </row>
    <row r="515" spans="21:26">
      <c r="U515" s="374"/>
      <c r="V515" s="374"/>
      <c r="W515" s="374"/>
      <c r="X515" s="374"/>
      <c r="Y515" s="374"/>
      <c r="Z515" s="374"/>
    </row>
    <row r="516" spans="21:26">
      <c r="U516" s="374"/>
      <c r="V516" s="374"/>
      <c r="W516" s="374"/>
      <c r="X516" s="374"/>
      <c r="Y516" s="374"/>
      <c r="Z516" s="374"/>
    </row>
    <row r="517" spans="21:26">
      <c r="U517" s="374"/>
      <c r="V517" s="374"/>
      <c r="W517" s="374"/>
      <c r="X517" s="374"/>
      <c r="Y517" s="374"/>
      <c r="Z517" s="374"/>
    </row>
    <row r="518" spans="21:26">
      <c r="U518" s="374"/>
      <c r="V518" s="374"/>
      <c r="W518" s="374"/>
      <c r="X518" s="374"/>
      <c r="Y518" s="374"/>
      <c r="Z518" s="374"/>
    </row>
    <row r="519" spans="21:26">
      <c r="U519" s="374"/>
      <c r="V519" s="374"/>
      <c r="W519" s="374"/>
      <c r="X519" s="374"/>
      <c r="Y519" s="374"/>
      <c r="Z519" s="374"/>
    </row>
    <row r="520" spans="21:26">
      <c r="U520" s="374"/>
      <c r="V520" s="374"/>
      <c r="W520" s="374"/>
      <c r="X520" s="374"/>
      <c r="Y520" s="374"/>
      <c r="Z520" s="374"/>
    </row>
    <row r="521" spans="21:26">
      <c r="U521" s="374"/>
      <c r="V521" s="374"/>
      <c r="W521" s="374"/>
      <c r="X521" s="374"/>
      <c r="Y521" s="374"/>
      <c r="Z521" s="374"/>
    </row>
    <row r="522" spans="21:26">
      <c r="U522" s="374"/>
      <c r="V522" s="374"/>
      <c r="W522" s="374"/>
      <c r="X522" s="374"/>
      <c r="Y522" s="374"/>
      <c r="Z522" s="374"/>
    </row>
    <row r="523" spans="21:26">
      <c r="U523" s="374"/>
      <c r="V523" s="374"/>
      <c r="W523" s="374"/>
      <c r="X523" s="374"/>
      <c r="Y523" s="374"/>
      <c r="Z523" s="374"/>
    </row>
    <row r="524" spans="21:26">
      <c r="U524" s="374"/>
      <c r="V524" s="374"/>
      <c r="W524" s="374"/>
      <c r="X524" s="374"/>
      <c r="Y524" s="374"/>
      <c r="Z524" s="374"/>
    </row>
    <row r="525" spans="21:26">
      <c r="U525" s="374"/>
      <c r="V525" s="374"/>
      <c r="W525" s="374"/>
      <c r="X525" s="374"/>
      <c r="Y525" s="374"/>
      <c r="Z525" s="374"/>
    </row>
    <row r="526" spans="21:26">
      <c r="U526" s="374"/>
      <c r="V526" s="374"/>
      <c r="W526" s="374"/>
      <c r="X526" s="374"/>
      <c r="Y526" s="374"/>
      <c r="Z526" s="374"/>
    </row>
    <row r="527" spans="21:26">
      <c r="U527" s="374"/>
      <c r="V527" s="374"/>
      <c r="W527" s="374"/>
      <c r="X527" s="374"/>
      <c r="Y527" s="374"/>
      <c r="Z527" s="374"/>
    </row>
    <row r="528" spans="21:26">
      <c r="U528" s="374"/>
      <c r="V528" s="374"/>
      <c r="W528" s="374"/>
      <c r="X528" s="374"/>
      <c r="Y528" s="374"/>
      <c r="Z528" s="374"/>
    </row>
    <row r="529" spans="21:26">
      <c r="U529" s="374"/>
      <c r="V529" s="374"/>
      <c r="W529" s="374"/>
      <c r="X529" s="374"/>
      <c r="Y529" s="374"/>
      <c r="Z529" s="374"/>
    </row>
    <row r="530" spans="21:26">
      <c r="U530" s="374"/>
      <c r="V530" s="374"/>
      <c r="W530" s="374"/>
      <c r="X530" s="374"/>
      <c r="Y530" s="374"/>
      <c r="Z530" s="374"/>
    </row>
    <row r="531" spans="21:26">
      <c r="U531" s="374"/>
      <c r="V531" s="374"/>
      <c r="W531" s="374"/>
      <c r="X531" s="374"/>
      <c r="Y531" s="374"/>
      <c r="Z531" s="374"/>
    </row>
    <row r="532" spans="21:26">
      <c r="U532" s="374"/>
      <c r="V532" s="374"/>
      <c r="W532" s="374"/>
      <c r="X532" s="374"/>
      <c r="Y532" s="374"/>
      <c r="Z532" s="374"/>
    </row>
    <row r="533" spans="21:26">
      <c r="U533" s="374"/>
      <c r="V533" s="374"/>
      <c r="W533" s="374"/>
      <c r="X533" s="374"/>
      <c r="Y533" s="374"/>
      <c r="Z533" s="374"/>
    </row>
    <row r="534" spans="21:26">
      <c r="U534" s="374"/>
      <c r="V534" s="374"/>
      <c r="W534" s="374"/>
      <c r="X534" s="374"/>
      <c r="Y534" s="374"/>
      <c r="Z534" s="374"/>
    </row>
    <row r="535" spans="21:26">
      <c r="U535" s="374"/>
      <c r="V535" s="374"/>
      <c r="W535" s="374"/>
      <c r="X535" s="374"/>
      <c r="Y535" s="374"/>
      <c r="Z535" s="374"/>
    </row>
    <row r="536" spans="21:26">
      <c r="U536" s="374"/>
      <c r="V536" s="374"/>
      <c r="W536" s="374"/>
      <c r="X536" s="374"/>
      <c r="Y536" s="374"/>
      <c r="Z536" s="374"/>
    </row>
    <row r="537" spans="21:26">
      <c r="U537" s="374"/>
      <c r="V537" s="374"/>
      <c r="W537" s="374"/>
      <c r="X537" s="374"/>
      <c r="Y537" s="374"/>
      <c r="Z537" s="374"/>
    </row>
    <row r="538" spans="21:26">
      <c r="U538" s="374"/>
      <c r="V538" s="374"/>
      <c r="W538" s="374"/>
      <c r="X538" s="374"/>
      <c r="Y538" s="374"/>
      <c r="Z538" s="374"/>
    </row>
    <row r="539" spans="21:26">
      <c r="U539" s="374"/>
      <c r="V539" s="374"/>
      <c r="W539" s="374"/>
      <c r="X539" s="374"/>
      <c r="Y539" s="374"/>
      <c r="Z539" s="374"/>
    </row>
    <row r="540" spans="21:26">
      <c r="U540" s="374"/>
      <c r="V540" s="374"/>
      <c r="W540" s="374"/>
      <c r="X540" s="374"/>
      <c r="Y540" s="374"/>
      <c r="Z540" s="374"/>
    </row>
    <row r="541" spans="21:26">
      <c r="U541" s="374"/>
      <c r="V541" s="374"/>
      <c r="W541" s="374"/>
      <c r="X541" s="374"/>
      <c r="Y541" s="374"/>
      <c r="Z541" s="374"/>
    </row>
    <row r="542" spans="21:26">
      <c r="U542" s="374"/>
      <c r="V542" s="374"/>
      <c r="W542" s="374"/>
      <c r="X542" s="374"/>
      <c r="Y542" s="374"/>
      <c r="Z542" s="374"/>
    </row>
    <row r="543" spans="21:26">
      <c r="U543" s="374"/>
      <c r="V543" s="374"/>
      <c r="W543" s="374"/>
      <c r="X543" s="374"/>
      <c r="Y543" s="374"/>
      <c r="Z543" s="374"/>
    </row>
    <row r="544" spans="21:26">
      <c r="U544" s="374"/>
      <c r="V544" s="374"/>
      <c r="W544" s="374"/>
      <c r="X544" s="374"/>
      <c r="Y544" s="374"/>
      <c r="Z544" s="374"/>
    </row>
    <row r="545" spans="21:26">
      <c r="U545" s="374"/>
      <c r="V545" s="374"/>
      <c r="W545" s="374"/>
      <c r="X545" s="374"/>
      <c r="Y545" s="374"/>
      <c r="Z545" s="374"/>
    </row>
    <row r="546" spans="21:26">
      <c r="U546" s="374"/>
      <c r="V546" s="374"/>
      <c r="W546" s="374"/>
      <c r="X546" s="374"/>
      <c r="Y546" s="374"/>
      <c r="Z546" s="374"/>
    </row>
    <row r="547" spans="21:26">
      <c r="U547" s="374"/>
      <c r="V547" s="374"/>
      <c r="W547" s="374"/>
      <c r="X547" s="374"/>
      <c r="Y547" s="374"/>
      <c r="Z547" s="374"/>
    </row>
    <row r="548" spans="21:26">
      <c r="U548" s="374"/>
      <c r="V548" s="374"/>
      <c r="W548" s="374"/>
      <c r="X548" s="374"/>
      <c r="Y548" s="374"/>
      <c r="Z548" s="374"/>
    </row>
    <row r="549" spans="21:26">
      <c r="U549" s="374"/>
      <c r="V549" s="374"/>
      <c r="W549" s="374"/>
      <c r="X549" s="374"/>
      <c r="Y549" s="374"/>
      <c r="Z549" s="374"/>
    </row>
    <row r="550" spans="21:26">
      <c r="U550" s="374"/>
      <c r="V550" s="374"/>
      <c r="W550" s="374"/>
      <c r="X550" s="374"/>
      <c r="Y550" s="374"/>
      <c r="Z550" s="374"/>
    </row>
    <row r="551" spans="21:26">
      <c r="U551" s="374"/>
      <c r="V551" s="374"/>
      <c r="W551" s="374"/>
      <c r="X551" s="374"/>
      <c r="Y551" s="374"/>
      <c r="Z551" s="374"/>
    </row>
    <row r="552" spans="21:26">
      <c r="U552" s="374"/>
      <c r="V552" s="374"/>
      <c r="W552" s="374"/>
      <c r="X552" s="374"/>
      <c r="Y552" s="374"/>
      <c r="Z552" s="374"/>
    </row>
    <row r="553" spans="21:26">
      <c r="U553" s="374"/>
      <c r="V553" s="374"/>
      <c r="W553" s="374"/>
      <c r="X553" s="374"/>
      <c r="Y553" s="374"/>
      <c r="Z553" s="374"/>
    </row>
    <row r="554" spans="21:26">
      <c r="U554" s="374"/>
      <c r="V554" s="374"/>
      <c r="W554" s="374"/>
      <c r="X554" s="374"/>
      <c r="Y554" s="374"/>
      <c r="Z554" s="374"/>
    </row>
    <row r="555" spans="21:26">
      <c r="U555" s="374"/>
      <c r="V555" s="374"/>
      <c r="W555" s="374"/>
      <c r="X555" s="374"/>
      <c r="Y555" s="374"/>
      <c r="Z555" s="374"/>
    </row>
    <row r="556" spans="21:26">
      <c r="U556" s="374"/>
      <c r="V556" s="374"/>
      <c r="W556" s="374"/>
      <c r="X556" s="374"/>
      <c r="Y556" s="374"/>
      <c r="Z556" s="374"/>
    </row>
    <row r="557" spans="21:26">
      <c r="U557" s="374"/>
      <c r="V557" s="374"/>
      <c r="W557" s="374"/>
      <c r="X557" s="374"/>
      <c r="Y557" s="374"/>
      <c r="Z557" s="374"/>
    </row>
    <row r="558" spans="21:26">
      <c r="U558" s="374"/>
      <c r="V558" s="374"/>
      <c r="W558" s="374"/>
      <c r="X558" s="374"/>
      <c r="Y558" s="374"/>
      <c r="Z558" s="374"/>
    </row>
    <row r="559" spans="21:26">
      <c r="U559" s="374"/>
      <c r="V559" s="374"/>
      <c r="W559" s="374"/>
      <c r="X559" s="374"/>
      <c r="Y559" s="374"/>
      <c r="Z559" s="374"/>
    </row>
    <row r="560" spans="21:26">
      <c r="U560" s="374"/>
      <c r="V560" s="374"/>
      <c r="W560" s="374"/>
      <c r="X560" s="374"/>
      <c r="Y560" s="374"/>
      <c r="Z560" s="374"/>
    </row>
    <row r="561" spans="21:26">
      <c r="U561" s="374"/>
      <c r="V561" s="374"/>
      <c r="W561" s="374"/>
      <c r="X561" s="374"/>
      <c r="Y561" s="374"/>
      <c r="Z561" s="374"/>
    </row>
    <row r="562" spans="21:26">
      <c r="U562" s="374"/>
      <c r="V562" s="374"/>
      <c r="W562" s="374"/>
      <c r="X562" s="374"/>
      <c r="Y562" s="374"/>
      <c r="Z562" s="374"/>
    </row>
    <row r="563" spans="21:26">
      <c r="U563" s="374"/>
      <c r="V563" s="374"/>
      <c r="W563" s="374"/>
      <c r="X563" s="374"/>
      <c r="Y563" s="374"/>
      <c r="Z563" s="374"/>
    </row>
    <row r="564" spans="21:26">
      <c r="U564" s="374"/>
      <c r="V564" s="374"/>
      <c r="W564" s="374"/>
      <c r="X564" s="374"/>
      <c r="Y564" s="374"/>
      <c r="Z564" s="374"/>
    </row>
    <row r="565" spans="21:26">
      <c r="U565" s="374"/>
      <c r="V565" s="374"/>
      <c r="W565" s="374"/>
      <c r="X565" s="374"/>
      <c r="Y565" s="374"/>
      <c r="Z565" s="374"/>
    </row>
    <row r="566" spans="21:26">
      <c r="U566" s="374"/>
      <c r="V566" s="374"/>
      <c r="W566" s="374"/>
      <c r="X566" s="374"/>
      <c r="Y566" s="374"/>
      <c r="Z566" s="374"/>
    </row>
    <row r="567" spans="21:26">
      <c r="U567" s="374"/>
      <c r="V567" s="374"/>
      <c r="W567" s="374"/>
      <c r="X567" s="374"/>
      <c r="Y567" s="374"/>
      <c r="Z567" s="374"/>
    </row>
    <row r="568" spans="21:26">
      <c r="U568" s="374"/>
      <c r="V568" s="374"/>
      <c r="W568" s="374"/>
      <c r="X568" s="374"/>
      <c r="Y568" s="374"/>
      <c r="Z568" s="374"/>
    </row>
    <row r="569" spans="21:26">
      <c r="U569" s="374"/>
      <c r="V569" s="374"/>
      <c r="W569" s="374"/>
      <c r="X569" s="374"/>
      <c r="Y569" s="374"/>
      <c r="Z569" s="374"/>
    </row>
    <row r="570" spans="21:26">
      <c r="U570" s="374"/>
      <c r="V570" s="374"/>
      <c r="W570" s="374"/>
      <c r="X570" s="374"/>
      <c r="Y570" s="374"/>
      <c r="Z570" s="374"/>
    </row>
    <row r="571" spans="21:26">
      <c r="U571" s="374"/>
      <c r="V571" s="374"/>
      <c r="W571" s="374"/>
      <c r="X571" s="374"/>
      <c r="Y571" s="374"/>
      <c r="Z571" s="374"/>
    </row>
    <row r="572" spans="21:26">
      <c r="U572" s="374"/>
      <c r="V572" s="374"/>
      <c r="W572" s="374"/>
      <c r="X572" s="374"/>
      <c r="Y572" s="374"/>
      <c r="Z572" s="374"/>
    </row>
    <row r="573" spans="21:26">
      <c r="U573" s="374"/>
      <c r="V573" s="374"/>
      <c r="W573" s="374"/>
      <c r="X573" s="374"/>
      <c r="Y573" s="374"/>
      <c r="Z573" s="374"/>
    </row>
    <row r="574" spans="21:26">
      <c r="U574" s="374"/>
      <c r="V574" s="374"/>
      <c r="W574" s="374"/>
      <c r="X574" s="374"/>
      <c r="Y574" s="374"/>
      <c r="Z574" s="374"/>
    </row>
    <row r="575" spans="21:26">
      <c r="U575" s="374"/>
      <c r="V575" s="374"/>
      <c r="W575" s="374"/>
      <c r="X575" s="374"/>
      <c r="Y575" s="374"/>
      <c r="Z575" s="374"/>
    </row>
    <row r="576" spans="21:26">
      <c r="U576" s="374"/>
      <c r="V576" s="374"/>
      <c r="W576" s="374"/>
      <c r="X576" s="374"/>
      <c r="Y576" s="374"/>
      <c r="Z576" s="374"/>
    </row>
    <row r="577" spans="21:26">
      <c r="U577" s="374"/>
      <c r="V577" s="374"/>
      <c r="W577" s="374"/>
      <c r="X577" s="374"/>
      <c r="Y577" s="374"/>
      <c r="Z577" s="374"/>
    </row>
    <row r="578" spans="21:26">
      <c r="U578" s="374"/>
      <c r="V578" s="374"/>
      <c r="W578" s="374"/>
      <c r="X578" s="374"/>
      <c r="Y578" s="374"/>
      <c r="Z578" s="374"/>
    </row>
    <row r="579" spans="21:26">
      <c r="U579" s="374"/>
      <c r="V579" s="374"/>
      <c r="W579" s="374"/>
      <c r="X579" s="374"/>
      <c r="Y579" s="374"/>
      <c r="Z579" s="374"/>
    </row>
    <row r="580" spans="21:26">
      <c r="U580" s="374"/>
      <c r="V580" s="374"/>
      <c r="W580" s="374"/>
      <c r="X580" s="374"/>
      <c r="Y580" s="374"/>
      <c r="Z580" s="374"/>
    </row>
    <row r="581" spans="21:26">
      <c r="U581" s="374"/>
      <c r="V581" s="374"/>
      <c r="W581" s="374"/>
      <c r="X581" s="374"/>
      <c r="Y581" s="374"/>
      <c r="Z581" s="374"/>
    </row>
    <row r="582" spans="21:26">
      <c r="U582" s="374"/>
      <c r="V582" s="374"/>
      <c r="W582" s="374"/>
      <c r="X582" s="374"/>
      <c r="Y582" s="374"/>
      <c r="Z582" s="374"/>
    </row>
    <row r="583" spans="21:26">
      <c r="U583" s="374"/>
      <c r="V583" s="374"/>
      <c r="W583" s="374"/>
      <c r="X583" s="374"/>
      <c r="Y583" s="374"/>
      <c r="Z583" s="374"/>
    </row>
    <row r="584" spans="21:26">
      <c r="U584" s="374"/>
      <c r="V584" s="374"/>
      <c r="W584" s="374"/>
      <c r="X584" s="374"/>
      <c r="Y584" s="374"/>
      <c r="Z584" s="374"/>
    </row>
    <row r="585" spans="21:26">
      <c r="U585" s="374"/>
      <c r="V585" s="374"/>
      <c r="W585" s="374"/>
      <c r="X585" s="374"/>
      <c r="Y585" s="374"/>
      <c r="Z585" s="374"/>
    </row>
    <row r="586" spans="21:26">
      <c r="U586" s="374"/>
      <c r="V586" s="374"/>
      <c r="W586" s="374"/>
      <c r="X586" s="374"/>
      <c r="Y586" s="374"/>
      <c r="Z586" s="374"/>
    </row>
    <row r="587" spans="21:26">
      <c r="U587" s="374"/>
      <c r="V587" s="374"/>
      <c r="W587" s="374"/>
      <c r="X587" s="374"/>
      <c r="Y587" s="374"/>
      <c r="Z587" s="374"/>
    </row>
    <row r="588" spans="21:26">
      <c r="U588" s="374"/>
      <c r="V588" s="374"/>
      <c r="W588" s="374"/>
      <c r="X588" s="374"/>
      <c r="Y588" s="374"/>
      <c r="Z588" s="374"/>
    </row>
    <row r="589" spans="21:26">
      <c r="U589" s="374"/>
      <c r="V589" s="374"/>
      <c r="W589" s="374"/>
      <c r="X589" s="374"/>
      <c r="Y589" s="374"/>
      <c r="Z589" s="374"/>
    </row>
    <row r="590" spans="21:26">
      <c r="U590" s="374"/>
      <c r="V590" s="374"/>
      <c r="W590" s="374"/>
      <c r="X590" s="374"/>
      <c r="Y590" s="374"/>
      <c r="Z590" s="374"/>
    </row>
    <row r="591" spans="21:26">
      <c r="U591" s="374"/>
      <c r="V591" s="374"/>
      <c r="W591" s="374"/>
      <c r="X591" s="374"/>
      <c r="Y591" s="374"/>
      <c r="Z591" s="374"/>
    </row>
    <row r="592" spans="21:26">
      <c r="U592" s="374"/>
      <c r="V592" s="374"/>
      <c r="W592" s="374"/>
      <c r="X592" s="374"/>
      <c r="Y592" s="374"/>
      <c r="Z592" s="374"/>
    </row>
    <row r="593" spans="21:26">
      <c r="U593" s="374"/>
      <c r="V593" s="374"/>
      <c r="W593" s="374"/>
      <c r="X593" s="374"/>
      <c r="Y593" s="374"/>
      <c r="Z593" s="374"/>
    </row>
    <row r="594" spans="21:26">
      <c r="U594" s="374"/>
      <c r="V594" s="374"/>
      <c r="W594" s="374"/>
      <c r="X594" s="374"/>
      <c r="Y594" s="374"/>
      <c r="Z594" s="374"/>
    </row>
    <row r="595" spans="21:26">
      <c r="U595" s="374"/>
      <c r="V595" s="374"/>
      <c r="W595" s="374"/>
      <c r="X595" s="374"/>
      <c r="Y595" s="374"/>
      <c r="Z595" s="374"/>
    </row>
    <row r="596" spans="21:26">
      <c r="U596" s="374"/>
      <c r="V596" s="374"/>
      <c r="W596" s="374"/>
      <c r="X596" s="374"/>
      <c r="Y596" s="374"/>
      <c r="Z596" s="374"/>
    </row>
    <row r="597" spans="21:26">
      <c r="U597" s="374"/>
      <c r="V597" s="374"/>
      <c r="W597" s="374"/>
      <c r="X597" s="374"/>
      <c r="Y597" s="374"/>
      <c r="Z597" s="374"/>
    </row>
    <row r="598" spans="21:26">
      <c r="U598" s="374"/>
      <c r="V598" s="374"/>
      <c r="W598" s="374"/>
      <c r="X598" s="374"/>
      <c r="Y598" s="374"/>
      <c r="Z598" s="374"/>
    </row>
    <row r="599" spans="21:26">
      <c r="U599" s="374"/>
      <c r="V599" s="374"/>
      <c r="W599" s="374"/>
      <c r="X599" s="374"/>
      <c r="Y599" s="374"/>
      <c r="Z599" s="374"/>
    </row>
    <row r="600" spans="21:26">
      <c r="U600" s="374"/>
      <c r="V600" s="374"/>
      <c r="W600" s="374"/>
      <c r="X600" s="374"/>
      <c r="Y600" s="374"/>
      <c r="Z600" s="374"/>
    </row>
    <row r="601" spans="21:26">
      <c r="U601" s="374"/>
      <c r="V601" s="374"/>
      <c r="W601" s="374"/>
      <c r="X601" s="374"/>
      <c r="Y601" s="374"/>
      <c r="Z601" s="374"/>
    </row>
    <row r="602" spans="21:26">
      <c r="U602" s="374"/>
      <c r="V602" s="374"/>
      <c r="W602" s="374"/>
      <c r="X602" s="374"/>
      <c r="Y602" s="374"/>
      <c r="Z602" s="374"/>
    </row>
    <row r="603" spans="21:26">
      <c r="U603" s="374"/>
      <c r="V603" s="374"/>
      <c r="W603" s="374"/>
      <c r="X603" s="374"/>
      <c r="Y603" s="374"/>
      <c r="Z603" s="374"/>
    </row>
    <row r="604" spans="21:26">
      <c r="U604" s="374"/>
      <c r="V604" s="374"/>
      <c r="W604" s="374"/>
      <c r="X604" s="374"/>
      <c r="Y604" s="374"/>
      <c r="Z604" s="374"/>
    </row>
    <row r="605" spans="21:26">
      <c r="U605" s="374"/>
      <c r="V605" s="374"/>
      <c r="W605" s="374"/>
      <c r="X605" s="374"/>
      <c r="Y605" s="374"/>
      <c r="Z605" s="374"/>
    </row>
    <row r="606" spans="21:26">
      <c r="U606" s="374"/>
      <c r="V606" s="374"/>
      <c r="W606" s="374"/>
      <c r="X606" s="374"/>
      <c r="Y606" s="374"/>
      <c r="Z606" s="374"/>
    </row>
    <row r="607" spans="21:26">
      <c r="U607" s="374"/>
      <c r="V607" s="374"/>
      <c r="W607" s="374"/>
      <c r="X607" s="374"/>
      <c r="Y607" s="374"/>
      <c r="Z607" s="374"/>
    </row>
    <row r="608" spans="21:26">
      <c r="U608" s="374"/>
      <c r="V608" s="374"/>
      <c r="W608" s="374"/>
      <c r="X608" s="374"/>
      <c r="Y608" s="374"/>
      <c r="Z608" s="374"/>
    </row>
    <row r="609" spans="21:26">
      <c r="U609" s="374"/>
      <c r="V609" s="374"/>
      <c r="W609" s="374"/>
      <c r="X609" s="374"/>
      <c r="Y609" s="374"/>
      <c r="Z609" s="374"/>
    </row>
    <row r="610" spans="21:26">
      <c r="U610" s="374"/>
      <c r="V610" s="374"/>
      <c r="W610" s="374"/>
      <c r="X610" s="374"/>
      <c r="Y610" s="374"/>
      <c r="Z610" s="374"/>
    </row>
    <row r="611" spans="21:26">
      <c r="U611" s="374"/>
      <c r="V611" s="374"/>
      <c r="W611" s="374"/>
      <c r="X611" s="374"/>
      <c r="Y611" s="374"/>
      <c r="Z611" s="374"/>
    </row>
    <row r="612" spans="21:26">
      <c r="U612" s="374"/>
      <c r="V612" s="374"/>
      <c r="W612" s="374"/>
      <c r="X612" s="374"/>
      <c r="Y612" s="374"/>
      <c r="Z612" s="374"/>
    </row>
    <row r="613" spans="21:26">
      <c r="U613" s="374"/>
      <c r="V613" s="374"/>
      <c r="W613" s="374"/>
      <c r="X613" s="374"/>
      <c r="Y613" s="374"/>
      <c r="Z613" s="374"/>
    </row>
    <row r="614" spans="21:26">
      <c r="U614" s="374"/>
      <c r="V614" s="374"/>
      <c r="W614" s="374"/>
      <c r="X614" s="374"/>
      <c r="Y614" s="374"/>
      <c r="Z614" s="374"/>
    </row>
    <row r="615" spans="21:26">
      <c r="U615" s="374"/>
      <c r="V615" s="374"/>
      <c r="W615" s="374"/>
      <c r="X615" s="374"/>
      <c r="Y615" s="374"/>
      <c r="Z615" s="374"/>
    </row>
    <row r="616" spans="21:26">
      <c r="U616" s="374"/>
      <c r="V616" s="374"/>
      <c r="W616" s="374"/>
      <c r="X616" s="374"/>
      <c r="Y616" s="374"/>
      <c r="Z616" s="374"/>
    </row>
    <row r="617" spans="21:26">
      <c r="U617" s="374"/>
      <c r="V617" s="374"/>
      <c r="W617" s="374"/>
      <c r="X617" s="374"/>
      <c r="Y617" s="374"/>
      <c r="Z617" s="374"/>
    </row>
    <row r="618" spans="21:26">
      <c r="U618" s="374"/>
      <c r="V618" s="374"/>
      <c r="W618" s="374"/>
      <c r="X618" s="374"/>
      <c r="Y618" s="374"/>
      <c r="Z618" s="374"/>
    </row>
    <row r="619" spans="21:26">
      <c r="U619" s="374"/>
      <c r="V619" s="374"/>
      <c r="W619" s="374"/>
      <c r="X619" s="374"/>
      <c r="Y619" s="374"/>
      <c r="Z619" s="374"/>
    </row>
    <row r="620" spans="21:26">
      <c r="U620" s="374"/>
      <c r="V620" s="374"/>
      <c r="W620" s="374"/>
      <c r="X620" s="374"/>
      <c r="Y620" s="374"/>
      <c r="Z620" s="374"/>
    </row>
    <row r="621" spans="21:26">
      <c r="U621" s="374"/>
      <c r="V621" s="374"/>
      <c r="W621" s="374"/>
      <c r="X621" s="374"/>
      <c r="Y621" s="374"/>
      <c r="Z621" s="374"/>
    </row>
    <row r="622" spans="21:26">
      <c r="U622" s="374"/>
      <c r="V622" s="374"/>
      <c r="W622" s="374"/>
      <c r="X622" s="374"/>
      <c r="Y622" s="374"/>
      <c r="Z622" s="374"/>
    </row>
    <row r="623" spans="21:26">
      <c r="U623" s="374"/>
      <c r="V623" s="374"/>
      <c r="W623" s="374"/>
      <c r="X623" s="374"/>
      <c r="Y623" s="374"/>
      <c r="Z623" s="374"/>
    </row>
    <row r="624" spans="21:26">
      <c r="U624" s="374"/>
      <c r="V624" s="374"/>
      <c r="W624" s="374"/>
      <c r="X624" s="374"/>
      <c r="Y624" s="374"/>
      <c r="Z624" s="374"/>
    </row>
    <row r="625" spans="21:26">
      <c r="U625" s="374"/>
      <c r="V625" s="374"/>
      <c r="W625" s="374"/>
      <c r="X625" s="374"/>
      <c r="Y625" s="374"/>
      <c r="Z625" s="374"/>
    </row>
    <row r="626" spans="21:26">
      <c r="U626" s="374"/>
      <c r="V626" s="374"/>
      <c r="W626" s="374"/>
      <c r="X626" s="374"/>
      <c r="Y626" s="374"/>
      <c r="Z626" s="374"/>
    </row>
    <row r="627" spans="21:26">
      <c r="U627" s="374"/>
      <c r="V627" s="374"/>
      <c r="W627" s="374"/>
      <c r="X627" s="374"/>
      <c r="Y627" s="374"/>
      <c r="Z627" s="374"/>
    </row>
    <row r="628" spans="21:26">
      <c r="U628" s="374"/>
      <c r="V628" s="374"/>
      <c r="W628" s="374"/>
      <c r="X628" s="374"/>
      <c r="Y628" s="374"/>
      <c r="Z628" s="374"/>
    </row>
    <row r="629" spans="21:26">
      <c r="U629" s="374"/>
      <c r="V629" s="374"/>
      <c r="W629" s="374"/>
      <c r="X629" s="374"/>
      <c r="Y629" s="374"/>
      <c r="Z629" s="374"/>
    </row>
    <row r="630" spans="21:26">
      <c r="U630" s="374"/>
      <c r="V630" s="374"/>
      <c r="W630" s="374"/>
      <c r="X630" s="374"/>
      <c r="Y630" s="374"/>
      <c r="Z630" s="374"/>
    </row>
    <row r="631" spans="21:26">
      <c r="U631" s="374"/>
      <c r="V631" s="374"/>
      <c r="W631" s="374"/>
      <c r="X631" s="374"/>
      <c r="Y631" s="374"/>
      <c r="Z631" s="374"/>
    </row>
    <row r="632" spans="21:26">
      <c r="U632" s="374"/>
      <c r="V632" s="374"/>
      <c r="W632" s="374"/>
      <c r="X632" s="374"/>
      <c r="Y632" s="374"/>
      <c r="Z632" s="374"/>
    </row>
    <row r="633" spans="21:26">
      <c r="U633" s="374"/>
      <c r="V633" s="374"/>
      <c r="W633" s="374"/>
      <c r="X633" s="374"/>
      <c r="Y633" s="374"/>
      <c r="Z633" s="374"/>
    </row>
    <row r="634" spans="21:26">
      <c r="U634" s="374"/>
      <c r="V634" s="374"/>
      <c r="W634" s="374"/>
      <c r="X634" s="374"/>
      <c r="Y634" s="374"/>
      <c r="Z634" s="374"/>
    </row>
    <row r="635" spans="21:26">
      <c r="U635" s="374"/>
      <c r="V635" s="374"/>
      <c r="W635" s="374"/>
      <c r="X635" s="374"/>
      <c r="Y635" s="374"/>
      <c r="Z635" s="374"/>
    </row>
    <row r="636" spans="21:26">
      <c r="U636" s="374"/>
      <c r="V636" s="374"/>
      <c r="W636" s="374"/>
      <c r="X636" s="374"/>
      <c r="Y636" s="374"/>
      <c r="Z636" s="374"/>
    </row>
    <row r="637" spans="21:26">
      <c r="U637" s="374"/>
      <c r="V637" s="374"/>
      <c r="W637" s="374"/>
      <c r="X637" s="374"/>
      <c r="Y637" s="374"/>
      <c r="Z637" s="374"/>
    </row>
    <row r="638" spans="21:26">
      <c r="U638" s="374"/>
      <c r="V638" s="374"/>
      <c r="W638" s="374"/>
      <c r="X638" s="374"/>
      <c r="Y638" s="374"/>
      <c r="Z638" s="374"/>
    </row>
    <row r="639" spans="21:26">
      <c r="U639" s="374"/>
      <c r="V639" s="374"/>
      <c r="W639" s="374"/>
      <c r="X639" s="374"/>
      <c r="Y639" s="374"/>
      <c r="Z639" s="374"/>
    </row>
    <row r="640" spans="21:26">
      <c r="U640" s="374"/>
      <c r="V640" s="374"/>
      <c r="W640" s="374"/>
      <c r="X640" s="374"/>
      <c r="Y640" s="374"/>
      <c r="Z640" s="374"/>
    </row>
    <row r="641" spans="21:26">
      <c r="U641" s="374"/>
      <c r="V641" s="374"/>
      <c r="W641" s="374"/>
      <c r="X641" s="374"/>
      <c r="Y641" s="374"/>
      <c r="Z641" s="374"/>
    </row>
    <row r="642" spans="21:26">
      <c r="U642" s="374"/>
      <c r="V642" s="374"/>
      <c r="W642" s="374"/>
      <c r="X642" s="374"/>
      <c r="Y642" s="374"/>
      <c r="Z642" s="374"/>
    </row>
    <row r="643" spans="21:26">
      <c r="U643" s="374"/>
      <c r="V643" s="374"/>
      <c r="W643" s="374"/>
      <c r="X643" s="374"/>
      <c r="Y643" s="374"/>
      <c r="Z643" s="374"/>
    </row>
    <row r="644" spans="21:26">
      <c r="U644" s="374"/>
      <c r="V644" s="374"/>
      <c r="W644" s="374"/>
      <c r="X644" s="374"/>
      <c r="Y644" s="374"/>
      <c r="Z644" s="374"/>
    </row>
    <row r="645" spans="21:26">
      <c r="U645" s="374"/>
      <c r="V645" s="374"/>
      <c r="W645" s="374"/>
      <c r="X645" s="374"/>
      <c r="Y645" s="374"/>
      <c r="Z645" s="374"/>
    </row>
    <row r="646" spans="21:26">
      <c r="U646" s="374"/>
      <c r="V646" s="374"/>
      <c r="W646" s="374"/>
      <c r="X646" s="374"/>
      <c r="Y646" s="374"/>
      <c r="Z646" s="374"/>
    </row>
    <row r="647" spans="21:26">
      <c r="U647" s="374"/>
      <c r="V647" s="374"/>
      <c r="W647" s="374"/>
      <c r="X647" s="374"/>
      <c r="Y647" s="374"/>
      <c r="Z647" s="374"/>
    </row>
    <row r="648" spans="21:26">
      <c r="U648" s="374"/>
      <c r="V648" s="374"/>
      <c r="W648" s="374"/>
      <c r="X648" s="374"/>
      <c r="Y648" s="374"/>
      <c r="Z648" s="374"/>
    </row>
    <row r="649" spans="21:26">
      <c r="U649" s="374"/>
      <c r="V649" s="374"/>
      <c r="W649" s="374"/>
      <c r="X649" s="374"/>
      <c r="Y649" s="374"/>
      <c r="Z649" s="374"/>
    </row>
    <row r="650" spans="21:26">
      <c r="U650" s="374"/>
      <c r="V650" s="374"/>
      <c r="W650" s="374"/>
      <c r="X650" s="374"/>
      <c r="Y650" s="374"/>
      <c r="Z650" s="374"/>
    </row>
    <row r="651" spans="21:26">
      <c r="U651" s="374"/>
      <c r="V651" s="374"/>
      <c r="W651" s="374"/>
      <c r="X651" s="374"/>
      <c r="Y651" s="374"/>
      <c r="Z651" s="374"/>
    </row>
    <row r="652" spans="21:26">
      <c r="U652" s="374"/>
      <c r="V652" s="374"/>
      <c r="W652" s="374"/>
      <c r="X652" s="374"/>
      <c r="Y652" s="374"/>
      <c r="Z652" s="374"/>
    </row>
    <row r="653" spans="21:26">
      <c r="U653" s="374"/>
      <c r="V653" s="374"/>
      <c r="W653" s="374"/>
      <c r="X653" s="374"/>
      <c r="Y653" s="374"/>
      <c r="Z653" s="374"/>
    </row>
    <row r="654" spans="21:26">
      <c r="U654" s="374"/>
      <c r="V654" s="374"/>
      <c r="W654" s="374"/>
      <c r="X654" s="374"/>
      <c r="Y654" s="374"/>
      <c r="Z654" s="374"/>
    </row>
    <row r="655" spans="21:26">
      <c r="U655" s="374"/>
      <c r="V655" s="374"/>
      <c r="W655" s="374"/>
      <c r="X655" s="374"/>
      <c r="Y655" s="374"/>
      <c r="Z655" s="374"/>
    </row>
    <row r="656" spans="21:26">
      <c r="U656" s="374"/>
      <c r="V656" s="374"/>
      <c r="W656" s="374"/>
      <c r="X656" s="374"/>
      <c r="Y656" s="374"/>
      <c r="Z656" s="374"/>
    </row>
    <row r="657" spans="21:26">
      <c r="U657" s="374"/>
      <c r="V657" s="374"/>
      <c r="W657" s="374"/>
      <c r="X657" s="374"/>
      <c r="Y657" s="374"/>
      <c r="Z657" s="374"/>
    </row>
    <row r="658" spans="21:26">
      <c r="U658" s="374"/>
      <c r="V658" s="374"/>
      <c r="W658" s="374"/>
      <c r="X658" s="374"/>
      <c r="Y658" s="374"/>
      <c r="Z658" s="374"/>
    </row>
    <row r="659" spans="21:26">
      <c r="U659" s="374"/>
      <c r="V659" s="374"/>
      <c r="W659" s="374"/>
      <c r="X659" s="374"/>
      <c r="Y659" s="374"/>
      <c r="Z659" s="374"/>
    </row>
    <row r="660" spans="21:26">
      <c r="U660" s="374"/>
      <c r="V660" s="374"/>
      <c r="W660" s="374"/>
      <c r="X660" s="374"/>
      <c r="Y660" s="374"/>
      <c r="Z660" s="374"/>
    </row>
    <row r="661" spans="21:26">
      <c r="U661" s="374"/>
      <c r="V661" s="374"/>
      <c r="W661" s="374"/>
      <c r="X661" s="374"/>
      <c r="Y661" s="374"/>
      <c r="Z661" s="374"/>
    </row>
    <row r="662" spans="21:26">
      <c r="U662" s="374"/>
      <c r="V662" s="374"/>
      <c r="W662" s="374"/>
      <c r="X662" s="374"/>
      <c r="Y662" s="374"/>
      <c r="Z662" s="374"/>
    </row>
    <row r="663" spans="21:26">
      <c r="U663" s="374"/>
      <c r="V663" s="374"/>
      <c r="W663" s="374"/>
      <c r="X663" s="374"/>
      <c r="Y663" s="374"/>
      <c r="Z663" s="374"/>
    </row>
    <row r="664" spans="21:26">
      <c r="U664" s="374"/>
      <c r="V664" s="374"/>
      <c r="W664" s="374"/>
      <c r="X664" s="374"/>
      <c r="Y664" s="374"/>
      <c r="Z664" s="374"/>
    </row>
    <row r="665" spans="21:26">
      <c r="U665" s="374"/>
      <c r="V665" s="374"/>
      <c r="W665" s="374"/>
      <c r="X665" s="374"/>
      <c r="Y665" s="374"/>
      <c r="Z665" s="374"/>
    </row>
    <row r="666" spans="21:26">
      <c r="U666" s="374"/>
      <c r="V666" s="374"/>
      <c r="W666" s="374"/>
      <c r="X666" s="374"/>
      <c r="Y666" s="374"/>
      <c r="Z666" s="374"/>
    </row>
    <row r="667" spans="21:26">
      <c r="U667" s="374"/>
      <c r="V667" s="374"/>
      <c r="W667" s="374"/>
      <c r="X667" s="374"/>
      <c r="Y667" s="374"/>
      <c r="Z667" s="374"/>
    </row>
    <row r="668" spans="21:26">
      <c r="U668" s="374"/>
      <c r="V668" s="374"/>
      <c r="W668" s="374"/>
      <c r="X668" s="374"/>
      <c r="Y668" s="374"/>
      <c r="Z668" s="374"/>
    </row>
    <row r="669" spans="21:26">
      <c r="U669" s="374"/>
      <c r="V669" s="374"/>
      <c r="W669" s="374"/>
      <c r="X669" s="374"/>
      <c r="Y669" s="374"/>
      <c r="Z669" s="374"/>
    </row>
    <row r="670" spans="21:26">
      <c r="U670" s="374"/>
      <c r="V670" s="374"/>
      <c r="W670" s="374"/>
      <c r="X670" s="374"/>
      <c r="Y670" s="374"/>
      <c r="Z670" s="374"/>
    </row>
    <row r="671" spans="21:26">
      <c r="U671" s="374"/>
      <c r="V671" s="374"/>
      <c r="W671" s="374"/>
      <c r="X671" s="374"/>
      <c r="Y671" s="374"/>
      <c r="Z671" s="374"/>
    </row>
    <row r="672" spans="21:26">
      <c r="U672" s="374"/>
      <c r="V672" s="374"/>
      <c r="W672" s="374"/>
      <c r="X672" s="374"/>
      <c r="Y672" s="374"/>
      <c r="Z672" s="374"/>
    </row>
    <row r="673" spans="21:26">
      <c r="U673" s="374"/>
      <c r="V673" s="374"/>
      <c r="W673" s="374"/>
      <c r="X673" s="374"/>
      <c r="Y673" s="374"/>
      <c r="Z673" s="374"/>
    </row>
    <row r="674" spans="21:26">
      <c r="U674" s="374"/>
      <c r="V674" s="374"/>
      <c r="W674" s="374"/>
      <c r="X674" s="374"/>
      <c r="Y674" s="374"/>
      <c r="Z674" s="374"/>
    </row>
    <row r="675" spans="21:26">
      <c r="U675" s="374"/>
      <c r="V675" s="374"/>
      <c r="W675" s="374"/>
      <c r="X675" s="374"/>
      <c r="Y675" s="374"/>
      <c r="Z675" s="374"/>
    </row>
    <row r="676" spans="21:26">
      <c r="U676" s="374"/>
      <c r="V676" s="374"/>
      <c r="W676" s="374"/>
      <c r="X676" s="374"/>
      <c r="Y676" s="374"/>
      <c r="Z676" s="374"/>
    </row>
    <row r="677" spans="21:26">
      <c r="U677" s="374"/>
      <c r="V677" s="374"/>
      <c r="W677" s="374"/>
      <c r="X677" s="374"/>
      <c r="Y677" s="374"/>
      <c r="Z677" s="374"/>
    </row>
    <row r="678" spans="21:26">
      <c r="U678" s="374"/>
      <c r="V678" s="374"/>
      <c r="W678" s="374"/>
      <c r="X678" s="374"/>
      <c r="Y678" s="374"/>
      <c r="Z678" s="374"/>
    </row>
    <row r="679" spans="21:26">
      <c r="U679" s="374"/>
      <c r="V679" s="374"/>
      <c r="W679" s="374"/>
      <c r="X679" s="374"/>
      <c r="Y679" s="374"/>
      <c r="Z679" s="374"/>
    </row>
    <row r="680" spans="21:26">
      <c r="U680" s="374"/>
      <c r="V680" s="374"/>
      <c r="W680" s="374"/>
      <c r="X680" s="374"/>
      <c r="Y680" s="374"/>
      <c r="Z680" s="374"/>
    </row>
    <row r="681" spans="21:26">
      <c r="U681" s="374"/>
      <c r="V681" s="374"/>
      <c r="W681" s="374"/>
      <c r="X681" s="374"/>
      <c r="Y681" s="374"/>
      <c r="Z681" s="374"/>
    </row>
    <row r="682" spans="21:26">
      <c r="U682" s="374"/>
      <c r="V682" s="374"/>
      <c r="W682" s="374"/>
      <c r="X682" s="374"/>
      <c r="Y682" s="374"/>
      <c r="Z682" s="374"/>
    </row>
    <row r="683" spans="21:26">
      <c r="U683" s="374"/>
      <c r="V683" s="374"/>
      <c r="W683" s="374"/>
      <c r="X683" s="374"/>
      <c r="Y683" s="374"/>
      <c r="Z683" s="374"/>
    </row>
    <row r="684" spans="21:26">
      <c r="U684" s="374"/>
      <c r="V684" s="374"/>
      <c r="W684" s="374"/>
      <c r="X684" s="374"/>
      <c r="Y684" s="374"/>
      <c r="Z684" s="374"/>
    </row>
    <row r="685" spans="21:26">
      <c r="U685" s="374"/>
      <c r="V685" s="374"/>
      <c r="W685" s="374"/>
      <c r="X685" s="374"/>
      <c r="Y685" s="374"/>
      <c r="Z685" s="374"/>
    </row>
    <row r="686" spans="21:26">
      <c r="U686" s="374"/>
      <c r="V686" s="374"/>
      <c r="W686" s="374"/>
      <c r="X686" s="374"/>
      <c r="Y686" s="374"/>
      <c r="Z686" s="374"/>
    </row>
    <row r="687" spans="21:26">
      <c r="U687" s="374"/>
      <c r="V687" s="374"/>
      <c r="W687" s="374"/>
      <c r="X687" s="374"/>
      <c r="Y687" s="374"/>
      <c r="Z687" s="374"/>
    </row>
    <row r="688" spans="21:26">
      <c r="U688" s="374"/>
      <c r="V688" s="374"/>
      <c r="W688" s="374"/>
      <c r="X688" s="374"/>
      <c r="Y688" s="374"/>
      <c r="Z688" s="374"/>
    </row>
    <row r="689" spans="21:26">
      <c r="U689" s="374"/>
      <c r="V689" s="374"/>
      <c r="W689" s="374"/>
      <c r="X689" s="374"/>
      <c r="Y689" s="374"/>
      <c r="Z689" s="374"/>
    </row>
    <row r="690" spans="21:26">
      <c r="U690" s="374"/>
      <c r="V690" s="374"/>
      <c r="W690" s="374"/>
      <c r="X690" s="374"/>
      <c r="Y690" s="374"/>
      <c r="Z690" s="374"/>
    </row>
    <row r="691" spans="21:26">
      <c r="U691" s="374"/>
      <c r="V691" s="374"/>
      <c r="W691" s="374"/>
      <c r="X691" s="374"/>
      <c r="Y691" s="374"/>
      <c r="Z691" s="374"/>
    </row>
    <row r="692" spans="21:26">
      <c r="U692" s="374"/>
      <c r="V692" s="374"/>
      <c r="W692" s="374"/>
      <c r="X692" s="374"/>
      <c r="Y692" s="374"/>
      <c r="Z692" s="374"/>
    </row>
    <row r="693" spans="21:26">
      <c r="U693" s="374"/>
      <c r="V693" s="374"/>
      <c r="W693" s="374"/>
      <c r="X693" s="374"/>
      <c r="Y693" s="374"/>
      <c r="Z693" s="374"/>
    </row>
    <row r="694" spans="21:26">
      <c r="U694" s="374"/>
      <c r="V694" s="374"/>
      <c r="W694" s="374"/>
      <c r="X694" s="374"/>
      <c r="Y694" s="374"/>
      <c r="Z694" s="374"/>
    </row>
    <row r="695" spans="21:26">
      <c r="U695" s="374"/>
      <c r="V695" s="374"/>
      <c r="W695" s="374"/>
      <c r="X695" s="374"/>
      <c r="Y695" s="374"/>
      <c r="Z695" s="374"/>
    </row>
    <row r="696" spans="21:26">
      <c r="U696" s="374"/>
      <c r="V696" s="374"/>
      <c r="W696" s="374"/>
      <c r="X696" s="374"/>
      <c r="Y696" s="374"/>
      <c r="Z696" s="374"/>
    </row>
    <row r="697" spans="21:26">
      <c r="U697" s="374"/>
      <c r="V697" s="374"/>
      <c r="W697" s="374"/>
      <c r="X697" s="374"/>
      <c r="Y697" s="374"/>
      <c r="Z697" s="374"/>
    </row>
    <row r="698" spans="21:26">
      <c r="U698" s="374"/>
      <c r="V698" s="374"/>
      <c r="W698" s="374"/>
      <c r="X698" s="374"/>
      <c r="Y698" s="374"/>
      <c r="Z698" s="374"/>
    </row>
    <row r="699" spans="21:26">
      <c r="U699" s="374"/>
      <c r="V699" s="374"/>
      <c r="W699" s="374"/>
      <c r="X699" s="374"/>
      <c r="Y699" s="374"/>
      <c r="Z699" s="374"/>
    </row>
    <row r="700" spans="21:26">
      <c r="U700" s="374"/>
      <c r="V700" s="374"/>
      <c r="W700" s="374"/>
      <c r="X700" s="374"/>
      <c r="Y700" s="374"/>
      <c r="Z700" s="374"/>
    </row>
    <row r="701" spans="21:26">
      <c r="U701" s="374"/>
      <c r="V701" s="374"/>
      <c r="W701" s="374"/>
      <c r="X701" s="374"/>
      <c r="Y701" s="374"/>
      <c r="Z701" s="374"/>
    </row>
    <row r="702" spans="21:26">
      <c r="U702" s="374"/>
      <c r="V702" s="374"/>
      <c r="W702" s="374"/>
      <c r="X702" s="374"/>
      <c r="Y702" s="374"/>
      <c r="Z702" s="374"/>
    </row>
    <row r="703" spans="21:26">
      <c r="U703" s="374"/>
      <c r="V703" s="374"/>
      <c r="W703" s="374"/>
      <c r="X703" s="374"/>
      <c r="Y703" s="374"/>
      <c r="Z703" s="374"/>
    </row>
    <row r="704" spans="21:26">
      <c r="U704" s="374"/>
      <c r="V704" s="374"/>
      <c r="W704" s="374"/>
      <c r="X704" s="374"/>
      <c r="Y704" s="374"/>
      <c r="Z704" s="374"/>
    </row>
    <row r="705" spans="21:26">
      <c r="U705" s="374"/>
      <c r="V705" s="374"/>
      <c r="W705" s="374"/>
      <c r="X705" s="374"/>
      <c r="Y705" s="374"/>
      <c r="Z705" s="374"/>
    </row>
    <row r="706" spans="21:26">
      <c r="U706" s="374"/>
      <c r="V706" s="374"/>
      <c r="W706" s="374"/>
      <c r="X706" s="374"/>
      <c r="Y706" s="374"/>
      <c r="Z706" s="374"/>
    </row>
    <row r="707" spans="21:26">
      <c r="U707" s="374"/>
      <c r="V707" s="374"/>
      <c r="W707" s="374"/>
      <c r="X707" s="374"/>
      <c r="Y707" s="374"/>
      <c r="Z707" s="374"/>
    </row>
    <row r="708" spans="21:26">
      <c r="U708" s="374"/>
      <c r="V708" s="374"/>
      <c r="W708" s="374"/>
      <c r="X708" s="374"/>
      <c r="Y708" s="374"/>
      <c r="Z708" s="374"/>
    </row>
    <row r="709" spans="21:26">
      <c r="U709" s="374"/>
      <c r="V709" s="374"/>
      <c r="W709" s="374"/>
      <c r="X709" s="374"/>
      <c r="Y709" s="374"/>
      <c r="Z709" s="374"/>
    </row>
    <row r="710" spans="21:26">
      <c r="U710" s="374"/>
      <c r="V710" s="374"/>
      <c r="W710" s="374"/>
      <c r="X710" s="374"/>
      <c r="Y710" s="374"/>
      <c r="Z710" s="374"/>
    </row>
    <row r="711" spans="21:26">
      <c r="U711" s="374"/>
      <c r="V711" s="374"/>
      <c r="W711" s="374"/>
      <c r="X711" s="374"/>
      <c r="Y711" s="374"/>
      <c r="Z711" s="374"/>
    </row>
    <row r="712" spans="21:26">
      <c r="U712" s="374"/>
      <c r="V712" s="374"/>
      <c r="W712" s="374"/>
      <c r="X712" s="374"/>
      <c r="Y712" s="374"/>
      <c r="Z712" s="374"/>
    </row>
    <row r="713" spans="21:26">
      <c r="U713" s="374"/>
      <c r="V713" s="374"/>
      <c r="W713" s="374"/>
      <c r="X713" s="374"/>
      <c r="Y713" s="374"/>
      <c r="Z713" s="374"/>
    </row>
    <row r="714" spans="21:26">
      <c r="U714" s="374"/>
      <c r="V714" s="374"/>
      <c r="W714" s="374"/>
      <c r="X714" s="374"/>
      <c r="Y714" s="374"/>
      <c r="Z714" s="374"/>
    </row>
    <row r="715" spans="21:26">
      <c r="U715" s="374"/>
      <c r="V715" s="374"/>
      <c r="W715" s="374"/>
      <c r="X715" s="374"/>
      <c r="Y715" s="374"/>
      <c r="Z715" s="374"/>
    </row>
    <row r="716" spans="21:26">
      <c r="U716" s="374"/>
      <c r="V716" s="374"/>
      <c r="W716" s="374"/>
      <c r="X716" s="374"/>
      <c r="Y716" s="374"/>
      <c r="Z716" s="374"/>
    </row>
    <row r="717" spans="21:26">
      <c r="U717" s="374"/>
      <c r="V717" s="374"/>
      <c r="W717" s="374"/>
      <c r="X717" s="374"/>
      <c r="Y717" s="374"/>
      <c r="Z717" s="374"/>
    </row>
    <row r="718" spans="21:26">
      <c r="U718" s="374"/>
      <c r="V718" s="374"/>
      <c r="W718" s="374"/>
      <c r="X718" s="374"/>
      <c r="Y718" s="374"/>
      <c r="Z718" s="374"/>
    </row>
    <row r="719" spans="21:26">
      <c r="U719" s="374"/>
      <c r="V719" s="374"/>
      <c r="W719" s="374"/>
      <c r="X719" s="374"/>
      <c r="Y719" s="374"/>
      <c r="Z719" s="374"/>
    </row>
    <row r="720" spans="21:26">
      <c r="U720" s="374"/>
      <c r="V720" s="374"/>
      <c r="W720" s="374"/>
      <c r="X720" s="374"/>
      <c r="Y720" s="374"/>
      <c r="Z720" s="374"/>
    </row>
    <row r="721" spans="21:26">
      <c r="U721" s="374"/>
      <c r="V721" s="374"/>
      <c r="W721" s="374"/>
      <c r="X721" s="374"/>
      <c r="Y721" s="374"/>
      <c r="Z721" s="374"/>
    </row>
    <row r="722" spans="21:26">
      <c r="U722" s="374"/>
      <c r="V722" s="374"/>
      <c r="W722" s="374"/>
      <c r="X722" s="374"/>
      <c r="Y722" s="374"/>
      <c r="Z722" s="374"/>
    </row>
    <row r="723" spans="21:26">
      <c r="U723" s="374"/>
      <c r="V723" s="374"/>
      <c r="W723" s="374"/>
      <c r="X723" s="374"/>
      <c r="Y723" s="374"/>
      <c r="Z723" s="374"/>
    </row>
    <row r="724" spans="21:26">
      <c r="U724" s="374"/>
      <c r="V724" s="374"/>
      <c r="W724" s="374"/>
      <c r="X724" s="374"/>
      <c r="Y724" s="374"/>
      <c r="Z724" s="374"/>
    </row>
    <row r="725" spans="21:26">
      <c r="U725" s="374"/>
      <c r="V725" s="374"/>
      <c r="W725" s="374"/>
      <c r="X725" s="374"/>
      <c r="Y725" s="374"/>
      <c r="Z725" s="374"/>
    </row>
    <row r="726" spans="21:26">
      <c r="U726" s="374"/>
      <c r="V726" s="374"/>
      <c r="W726" s="374"/>
      <c r="X726" s="374"/>
      <c r="Y726" s="374"/>
      <c r="Z726" s="374"/>
    </row>
    <row r="727" spans="21:26">
      <c r="U727" s="374"/>
      <c r="V727" s="374"/>
      <c r="W727" s="374"/>
      <c r="X727" s="374"/>
      <c r="Y727" s="374"/>
      <c r="Z727" s="374"/>
    </row>
    <row r="728" spans="21:26">
      <c r="U728" s="374"/>
      <c r="V728" s="374"/>
      <c r="W728" s="374"/>
      <c r="X728" s="374"/>
      <c r="Y728" s="374"/>
      <c r="Z728" s="374"/>
    </row>
    <row r="729" spans="21:26">
      <c r="U729" s="374"/>
      <c r="V729" s="374"/>
      <c r="W729" s="374"/>
      <c r="X729" s="374"/>
      <c r="Y729" s="374"/>
      <c r="Z729" s="374"/>
    </row>
    <row r="730" spans="21:26">
      <c r="U730" s="374"/>
      <c r="V730" s="374"/>
      <c r="W730" s="374"/>
      <c r="X730" s="374"/>
      <c r="Y730" s="374"/>
      <c r="Z730" s="374"/>
    </row>
    <row r="731" spans="21:26">
      <c r="U731" s="374"/>
      <c r="V731" s="374"/>
      <c r="W731" s="374"/>
      <c r="X731" s="374"/>
      <c r="Y731" s="374"/>
      <c r="Z731" s="374"/>
    </row>
    <row r="732" spans="21:26">
      <c r="U732" s="374"/>
      <c r="V732" s="374"/>
      <c r="W732" s="374"/>
      <c r="X732" s="374"/>
      <c r="Y732" s="374"/>
      <c r="Z732" s="374"/>
    </row>
    <row r="733" spans="21:26">
      <c r="U733" s="374"/>
      <c r="V733" s="374"/>
      <c r="W733" s="374"/>
      <c r="X733" s="374"/>
      <c r="Y733" s="374"/>
      <c r="Z733" s="374"/>
    </row>
    <row r="734" spans="21:26">
      <c r="U734" s="374"/>
      <c r="V734" s="374"/>
      <c r="W734" s="374"/>
      <c r="X734" s="374"/>
      <c r="Y734" s="374"/>
      <c r="Z734" s="374"/>
    </row>
    <row r="735" spans="21:26">
      <c r="U735" s="374"/>
      <c r="V735" s="374"/>
      <c r="W735" s="374"/>
      <c r="X735" s="374"/>
      <c r="Y735" s="374"/>
      <c r="Z735" s="374"/>
    </row>
    <row r="736" spans="21:26">
      <c r="U736" s="374"/>
      <c r="V736" s="374"/>
      <c r="W736" s="374"/>
      <c r="X736" s="374"/>
      <c r="Y736" s="374"/>
      <c r="Z736" s="374"/>
    </row>
    <row r="737" spans="21:26">
      <c r="U737" s="374"/>
      <c r="V737" s="374"/>
      <c r="W737" s="374"/>
      <c r="X737" s="374"/>
      <c r="Y737" s="374"/>
      <c r="Z737" s="374"/>
    </row>
    <row r="738" spans="21:26">
      <c r="U738" s="374"/>
      <c r="V738" s="374"/>
      <c r="W738" s="374"/>
      <c r="X738" s="374"/>
      <c r="Y738" s="374"/>
      <c r="Z738" s="374"/>
    </row>
    <row r="739" spans="21:26">
      <c r="U739" s="374"/>
      <c r="V739" s="374"/>
      <c r="W739" s="374"/>
      <c r="X739" s="374"/>
      <c r="Y739" s="374"/>
      <c r="Z739" s="374"/>
    </row>
    <row r="740" spans="21:26">
      <c r="U740" s="374"/>
      <c r="V740" s="374"/>
      <c r="W740" s="374"/>
      <c r="X740" s="374"/>
      <c r="Y740" s="374"/>
      <c r="Z740" s="374"/>
    </row>
    <row r="741" spans="21:26">
      <c r="U741" s="374"/>
      <c r="V741" s="374"/>
      <c r="W741" s="374"/>
      <c r="X741" s="374"/>
      <c r="Y741" s="374"/>
      <c r="Z741" s="374"/>
    </row>
    <row r="742" spans="21:26">
      <c r="U742" s="374"/>
      <c r="V742" s="374"/>
      <c r="W742" s="374"/>
      <c r="X742" s="374"/>
      <c r="Y742" s="374"/>
      <c r="Z742" s="374"/>
    </row>
    <row r="743" spans="21:26">
      <c r="U743" s="374"/>
      <c r="V743" s="374"/>
      <c r="W743" s="374"/>
      <c r="X743" s="374"/>
      <c r="Y743" s="374"/>
      <c r="Z743" s="374"/>
    </row>
    <row r="744" spans="21:26">
      <c r="U744" s="374"/>
      <c r="V744" s="374"/>
      <c r="W744" s="374"/>
      <c r="X744" s="374"/>
      <c r="Y744" s="374"/>
      <c r="Z744" s="374"/>
    </row>
    <row r="745" spans="21:26">
      <c r="U745" s="374"/>
      <c r="V745" s="374"/>
      <c r="W745" s="374"/>
      <c r="X745" s="374"/>
      <c r="Y745" s="374"/>
      <c r="Z745" s="374"/>
    </row>
    <row r="746" spans="21:26">
      <c r="U746" s="374"/>
      <c r="V746" s="374"/>
      <c r="W746" s="374"/>
      <c r="X746" s="374"/>
      <c r="Y746" s="374"/>
      <c r="Z746" s="374"/>
    </row>
    <row r="747" spans="21:26">
      <c r="U747" s="374"/>
      <c r="V747" s="374"/>
      <c r="W747" s="374"/>
      <c r="X747" s="374"/>
      <c r="Y747" s="374"/>
      <c r="Z747" s="374"/>
    </row>
    <row r="748" spans="21:26">
      <c r="U748" s="374"/>
      <c r="V748" s="374"/>
      <c r="W748" s="374"/>
      <c r="X748" s="374"/>
      <c r="Y748" s="374"/>
      <c r="Z748" s="374"/>
    </row>
    <row r="749" spans="21:26">
      <c r="U749" s="374"/>
      <c r="V749" s="374"/>
      <c r="W749" s="374"/>
      <c r="X749" s="374"/>
      <c r="Y749" s="374"/>
      <c r="Z749" s="374"/>
    </row>
    <row r="750" spans="21:26">
      <c r="U750" s="374"/>
      <c r="V750" s="374"/>
      <c r="W750" s="374"/>
      <c r="X750" s="374"/>
      <c r="Y750" s="374"/>
      <c r="Z750" s="374"/>
    </row>
    <row r="751" spans="21:26">
      <c r="U751" s="374"/>
      <c r="V751" s="374"/>
      <c r="W751" s="374"/>
      <c r="X751" s="374"/>
      <c r="Y751" s="374"/>
      <c r="Z751" s="374"/>
    </row>
    <row r="752" spans="21:26">
      <c r="U752" s="374"/>
      <c r="V752" s="374"/>
      <c r="W752" s="374"/>
      <c r="X752" s="374"/>
      <c r="Y752" s="374"/>
      <c r="Z752" s="374"/>
    </row>
    <row r="753" spans="21:26">
      <c r="U753" s="374"/>
      <c r="V753" s="374"/>
      <c r="W753" s="374"/>
      <c r="X753" s="374"/>
      <c r="Y753" s="374"/>
      <c r="Z753" s="374"/>
    </row>
    <row r="754" spans="21:26">
      <c r="U754" s="374"/>
      <c r="V754" s="374"/>
      <c r="W754" s="374"/>
      <c r="X754" s="374"/>
      <c r="Y754" s="374"/>
      <c r="Z754" s="374"/>
    </row>
    <row r="755" spans="21:26">
      <c r="U755" s="374"/>
      <c r="V755" s="374"/>
      <c r="W755" s="374"/>
      <c r="X755" s="374"/>
      <c r="Y755" s="374"/>
      <c r="Z755" s="374"/>
    </row>
    <row r="756" spans="21:26">
      <c r="U756" s="374"/>
      <c r="V756" s="374"/>
      <c r="W756" s="374"/>
      <c r="X756" s="374"/>
      <c r="Y756" s="374"/>
      <c r="Z756" s="374"/>
    </row>
    <row r="757" spans="21:26">
      <c r="U757" s="374"/>
      <c r="V757" s="374"/>
      <c r="W757" s="374"/>
      <c r="X757" s="374"/>
      <c r="Y757" s="374"/>
      <c r="Z757" s="374"/>
    </row>
    <row r="758" spans="21:26">
      <c r="U758" s="374"/>
      <c r="V758" s="374"/>
      <c r="W758" s="374"/>
      <c r="X758" s="374"/>
      <c r="Y758" s="374"/>
      <c r="Z758" s="374"/>
    </row>
    <row r="759" spans="21:26">
      <c r="U759" s="374"/>
      <c r="V759" s="374"/>
      <c r="W759" s="374"/>
      <c r="X759" s="374"/>
      <c r="Y759" s="374"/>
      <c r="Z759" s="374"/>
    </row>
    <row r="760" spans="21:26">
      <c r="U760" s="374"/>
      <c r="V760" s="374"/>
      <c r="W760" s="374"/>
      <c r="X760" s="374"/>
      <c r="Y760" s="374"/>
      <c r="Z760" s="374"/>
    </row>
    <row r="761" spans="21:26">
      <c r="U761" s="374"/>
      <c r="V761" s="374"/>
      <c r="W761" s="374"/>
      <c r="X761" s="374"/>
      <c r="Y761" s="374"/>
      <c r="Z761" s="374"/>
    </row>
    <row r="762" spans="21:26">
      <c r="U762" s="374"/>
      <c r="V762" s="374"/>
      <c r="W762" s="374"/>
      <c r="X762" s="374"/>
      <c r="Y762" s="374"/>
      <c r="Z762" s="374"/>
    </row>
    <row r="763" spans="21:26">
      <c r="U763" s="374"/>
      <c r="V763" s="374"/>
      <c r="W763" s="374"/>
      <c r="X763" s="374"/>
      <c r="Y763" s="374"/>
      <c r="Z763" s="374"/>
    </row>
    <row r="764" spans="21:26">
      <c r="U764" s="374"/>
      <c r="V764" s="374"/>
      <c r="W764" s="374"/>
      <c r="X764" s="374"/>
      <c r="Y764" s="374"/>
      <c r="Z764" s="374"/>
    </row>
    <row r="765" spans="21:26">
      <c r="U765" s="374"/>
      <c r="V765" s="374"/>
      <c r="W765" s="374"/>
      <c r="X765" s="374"/>
      <c r="Y765" s="374"/>
      <c r="Z765" s="374"/>
    </row>
    <row r="766" spans="21:26">
      <c r="U766" s="374"/>
      <c r="V766" s="374"/>
      <c r="W766" s="374"/>
      <c r="X766" s="374"/>
      <c r="Y766" s="374"/>
      <c r="Z766" s="374"/>
    </row>
    <row r="767" spans="21:26">
      <c r="U767" s="374"/>
      <c r="V767" s="374"/>
      <c r="W767" s="374"/>
      <c r="X767" s="374"/>
      <c r="Y767" s="374"/>
      <c r="Z767" s="374"/>
    </row>
    <row r="768" spans="21:26">
      <c r="U768" s="374"/>
      <c r="V768" s="374"/>
      <c r="W768" s="374"/>
      <c r="X768" s="374"/>
      <c r="Y768" s="374"/>
      <c r="Z768" s="374"/>
    </row>
    <row r="769" spans="21:26">
      <c r="U769" s="374"/>
      <c r="V769" s="374"/>
      <c r="W769" s="374"/>
      <c r="X769" s="374"/>
      <c r="Y769" s="374"/>
      <c r="Z769" s="374"/>
    </row>
    <row r="770" spans="21:26">
      <c r="U770" s="374"/>
      <c r="V770" s="374"/>
      <c r="W770" s="374"/>
      <c r="X770" s="374"/>
      <c r="Y770" s="374"/>
      <c r="Z770" s="374"/>
    </row>
    <row r="771" spans="21:26">
      <c r="U771" s="374"/>
      <c r="V771" s="374"/>
      <c r="W771" s="374"/>
      <c r="X771" s="374"/>
      <c r="Y771" s="374"/>
      <c r="Z771" s="374"/>
    </row>
    <row r="772" spans="21:26">
      <c r="U772" s="374"/>
      <c r="V772" s="374"/>
      <c r="W772" s="374"/>
      <c r="X772" s="374"/>
      <c r="Y772" s="374"/>
      <c r="Z772" s="374"/>
    </row>
    <row r="773" spans="21:26">
      <c r="U773" s="374"/>
      <c r="V773" s="374"/>
      <c r="W773" s="374"/>
      <c r="X773" s="374"/>
      <c r="Y773" s="374"/>
      <c r="Z773" s="421"/>
    </row>
    <row r="774" spans="21:26">
      <c r="U774" s="421"/>
      <c r="V774" s="374"/>
      <c r="W774" s="374"/>
      <c r="X774" s="374"/>
      <c r="Y774" s="374"/>
      <c r="Z774" s="374"/>
    </row>
    <row r="775" spans="21:26">
      <c r="U775" s="374"/>
      <c r="V775" s="374"/>
      <c r="W775" s="374"/>
      <c r="X775" s="374"/>
      <c r="Y775" s="374"/>
      <c r="Z775" s="374"/>
    </row>
    <row r="776" spans="21:26">
      <c r="U776" s="374"/>
      <c r="V776" s="374"/>
      <c r="W776" s="374"/>
      <c r="X776" s="374"/>
      <c r="Y776" s="374"/>
      <c r="Z776" s="374"/>
    </row>
    <row r="777" spans="21:26">
      <c r="U777" s="374"/>
      <c r="V777" s="374"/>
      <c r="W777" s="374"/>
      <c r="X777" s="374"/>
      <c r="Y777" s="374"/>
      <c r="Z777" s="374"/>
    </row>
    <row r="778" spans="21:26">
      <c r="U778" s="374"/>
      <c r="V778" s="374"/>
      <c r="W778" s="374"/>
      <c r="X778" s="374"/>
      <c r="Y778" s="374"/>
      <c r="Z778" s="374"/>
    </row>
    <row r="779" spans="21:26">
      <c r="U779" s="374"/>
      <c r="V779" s="374"/>
      <c r="W779" s="374"/>
      <c r="X779" s="374"/>
      <c r="Y779" s="374"/>
      <c r="Z779" s="374"/>
    </row>
    <row r="780" spans="21:26">
      <c r="U780" s="374"/>
      <c r="V780" s="374"/>
      <c r="W780" s="374"/>
      <c r="X780" s="374"/>
      <c r="Y780" s="374"/>
      <c r="Z780" s="374"/>
    </row>
    <row r="781" spans="21:26">
      <c r="U781" s="374"/>
      <c r="V781" s="374"/>
      <c r="W781" s="374"/>
      <c r="X781" s="374"/>
      <c r="Y781" s="374"/>
      <c r="Z781" s="374"/>
    </row>
    <row r="782" spans="21:26">
      <c r="U782" s="374"/>
      <c r="V782" s="374"/>
      <c r="W782" s="374"/>
      <c r="X782" s="374"/>
      <c r="Y782" s="374"/>
      <c r="Z782" s="374"/>
    </row>
    <row r="783" spans="21:26">
      <c r="U783" s="374"/>
      <c r="V783" s="374"/>
      <c r="W783" s="374"/>
      <c r="X783" s="374"/>
      <c r="Y783" s="374"/>
      <c r="Z783" s="374"/>
    </row>
    <row r="784" spans="21:26">
      <c r="U784" s="374"/>
      <c r="V784" s="374"/>
      <c r="W784" s="374"/>
      <c r="X784" s="374"/>
      <c r="Y784" s="374"/>
      <c r="Z784" s="374"/>
    </row>
    <row r="785" spans="21:26">
      <c r="U785" s="374"/>
      <c r="V785" s="374"/>
      <c r="W785" s="374"/>
      <c r="X785" s="374"/>
      <c r="Y785" s="374"/>
      <c r="Z785" s="374"/>
    </row>
    <row r="786" spans="21:26">
      <c r="U786" s="374"/>
      <c r="V786" s="374"/>
      <c r="W786" s="374"/>
      <c r="X786" s="374"/>
      <c r="Y786" s="374"/>
      <c r="Z786" s="374"/>
    </row>
    <row r="787" spans="21:26">
      <c r="U787" s="374"/>
      <c r="V787" s="374"/>
      <c r="W787" s="374"/>
      <c r="X787" s="374"/>
      <c r="Y787" s="374"/>
      <c r="Z787" s="374"/>
    </row>
    <row r="788" spans="21:26">
      <c r="U788" s="374"/>
      <c r="V788" s="374"/>
      <c r="W788" s="374"/>
      <c r="X788" s="374"/>
      <c r="Y788" s="374"/>
      <c r="Z788" s="374"/>
    </row>
    <row r="789" spans="21:26">
      <c r="U789" s="374"/>
      <c r="V789" s="374"/>
      <c r="W789" s="374"/>
      <c r="X789" s="374"/>
      <c r="Y789" s="374"/>
      <c r="Z789" s="374"/>
    </row>
    <row r="790" spans="21:26">
      <c r="U790" s="374"/>
      <c r="V790" s="374"/>
      <c r="W790" s="374"/>
      <c r="X790" s="374"/>
      <c r="Y790" s="374"/>
      <c r="Z790" s="374"/>
    </row>
    <row r="791" spans="21:26">
      <c r="U791" s="374"/>
      <c r="V791" s="374"/>
      <c r="W791" s="374"/>
      <c r="X791" s="374"/>
      <c r="Y791" s="374"/>
      <c r="Z791" s="374"/>
    </row>
    <row r="792" spans="21:26">
      <c r="U792" s="374"/>
      <c r="V792" s="374"/>
      <c r="W792" s="374"/>
      <c r="X792" s="374"/>
      <c r="Y792" s="374"/>
      <c r="Z792" s="374"/>
    </row>
    <row r="793" spans="21:26">
      <c r="U793" s="374"/>
      <c r="V793" s="374"/>
      <c r="W793" s="374"/>
      <c r="X793" s="374"/>
      <c r="Y793" s="374"/>
      <c r="Z793" s="374"/>
    </row>
    <row r="794" spans="21:26">
      <c r="U794" s="374"/>
      <c r="V794" s="374"/>
      <c r="W794" s="374"/>
      <c r="X794" s="374"/>
      <c r="Y794" s="374"/>
      <c r="Z794" s="374"/>
    </row>
    <row r="795" spans="21:26">
      <c r="U795" s="374"/>
      <c r="V795" s="374"/>
      <c r="W795" s="374"/>
      <c r="X795" s="374"/>
      <c r="Y795" s="374"/>
      <c r="Z795" s="374"/>
    </row>
    <row r="796" spans="21:26">
      <c r="U796" s="374"/>
      <c r="V796" s="374"/>
      <c r="W796" s="374"/>
      <c r="X796" s="374"/>
      <c r="Y796" s="374"/>
      <c r="Z796" s="374"/>
    </row>
    <row r="797" spans="21:26">
      <c r="U797" s="374"/>
      <c r="V797" s="374"/>
      <c r="W797" s="374"/>
      <c r="X797" s="374"/>
      <c r="Y797" s="374"/>
      <c r="Z797" s="374"/>
    </row>
    <row r="798" spans="21:26">
      <c r="U798" s="374"/>
      <c r="V798" s="374"/>
      <c r="W798" s="374"/>
      <c r="X798" s="374"/>
      <c r="Y798" s="374"/>
      <c r="Z798" s="374"/>
    </row>
    <row r="799" spans="21:26">
      <c r="U799" s="374"/>
      <c r="V799" s="374"/>
      <c r="W799" s="374"/>
      <c r="X799" s="374"/>
      <c r="Y799" s="374"/>
      <c r="Z799" s="374"/>
    </row>
    <row r="800" spans="21:26">
      <c r="U800" s="374"/>
      <c r="V800" s="374"/>
      <c r="W800" s="374"/>
      <c r="X800" s="374"/>
      <c r="Y800" s="374"/>
      <c r="Z800" s="374"/>
    </row>
    <row r="801" spans="21:26">
      <c r="U801" s="374"/>
      <c r="V801" s="374"/>
      <c r="W801" s="374"/>
      <c r="X801" s="374"/>
      <c r="Y801" s="374"/>
      <c r="Z801" s="374"/>
    </row>
    <row r="802" spans="21:26">
      <c r="U802" s="374"/>
      <c r="V802" s="374"/>
      <c r="W802" s="374"/>
      <c r="X802" s="374"/>
      <c r="Y802" s="374"/>
      <c r="Z802" s="374"/>
    </row>
    <row r="803" spans="21:26">
      <c r="U803" s="374"/>
      <c r="V803" s="374"/>
      <c r="W803" s="374"/>
      <c r="X803" s="374"/>
      <c r="Y803" s="374"/>
      <c r="Z803" s="374"/>
    </row>
    <row r="804" spans="21:26">
      <c r="U804" s="374"/>
      <c r="V804" s="374"/>
      <c r="W804" s="374"/>
      <c r="X804" s="374"/>
      <c r="Y804" s="374"/>
      <c r="Z804" s="374"/>
    </row>
    <row r="805" spans="21:26">
      <c r="U805" s="374"/>
      <c r="V805" s="374"/>
      <c r="W805" s="374"/>
      <c r="X805" s="374"/>
      <c r="Y805" s="374"/>
      <c r="Z805" s="374"/>
    </row>
    <row r="806" spans="21:26">
      <c r="U806" s="374"/>
      <c r="V806" s="374"/>
      <c r="W806" s="374"/>
      <c r="X806" s="374"/>
      <c r="Y806" s="374"/>
      <c r="Z806" s="374"/>
    </row>
    <row r="807" spans="21:26">
      <c r="U807" s="374"/>
      <c r="V807" s="374"/>
      <c r="W807" s="374"/>
      <c r="X807" s="374"/>
      <c r="Y807" s="374"/>
      <c r="Z807" s="374"/>
    </row>
    <row r="808" spans="21:26">
      <c r="U808" s="374"/>
      <c r="V808" s="374"/>
      <c r="W808" s="374"/>
      <c r="X808" s="374"/>
      <c r="Y808" s="374"/>
      <c r="Z808" s="374"/>
    </row>
    <row r="809" spans="21:26">
      <c r="U809" s="374"/>
      <c r="V809" s="374"/>
      <c r="W809" s="374"/>
      <c r="X809" s="374"/>
      <c r="Y809" s="374"/>
      <c r="Z809" s="374"/>
    </row>
    <row r="810" spans="21:26">
      <c r="U810" s="374"/>
      <c r="V810" s="374"/>
      <c r="W810" s="374"/>
      <c r="X810" s="374"/>
      <c r="Y810" s="374"/>
      <c r="Z810" s="374"/>
    </row>
    <row r="811" spans="21:26">
      <c r="U811" s="374"/>
      <c r="V811" s="374"/>
      <c r="W811" s="374"/>
      <c r="X811" s="374"/>
      <c r="Y811" s="374"/>
      <c r="Z811" s="374"/>
    </row>
    <row r="812" spans="21:26">
      <c r="U812" s="374"/>
      <c r="V812" s="374"/>
      <c r="W812" s="374"/>
      <c r="X812" s="374"/>
      <c r="Y812" s="374"/>
      <c r="Z812" s="374"/>
    </row>
    <row r="813" spans="21:26">
      <c r="U813" s="374"/>
      <c r="V813" s="374"/>
      <c r="W813" s="374"/>
      <c r="X813" s="374"/>
      <c r="Y813" s="374"/>
      <c r="Z813" s="374"/>
    </row>
  </sheetData>
  <mergeCells count="3">
    <mergeCell ref="C3:C4"/>
    <mergeCell ref="D3:D4"/>
    <mergeCell ref="E3:E4"/>
  </mergeCells>
  <pageMargins left="0.75" right="0.75" top="1" bottom="1" header="0.5" footer="0.5"/>
  <pageSetup paperSize="9" orientation="portrait" horizontalDpi="4294967292" verticalDpi="429496729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EE22-6F52-47B7-BF54-95D4386DAAAE}">
  <sheetPr>
    <tabColor rgb="FF9BBB59"/>
  </sheetPr>
  <dimension ref="A1"/>
  <sheetViews>
    <sheetView workbookViewId="0">
      <selection activeCell="K18" sqref="K18"/>
    </sheetView>
  </sheetViews>
  <sheetFormatPr baseColWidth="10" defaultColWidth="8.83203125" defaultRowHeight="1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EE96D-10B5-40CF-81FF-68B19F5DC0E7}">
  <sheetPr>
    <tabColor rgb="FF9BBB59"/>
  </sheetPr>
  <dimension ref="A1"/>
  <sheetViews>
    <sheetView workbookViewId="0">
      <selection activeCell="I16" sqref="I16"/>
    </sheetView>
  </sheetViews>
  <sheetFormatPr baseColWidth="10" defaultColWidth="8.83203125" defaultRowHeight="1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7086F-6152-43C7-B9A8-5F205E29F823}">
  <sheetPr>
    <tabColor rgb="FF9BBB59"/>
  </sheetPr>
  <dimension ref="A1:F76"/>
  <sheetViews>
    <sheetView workbookViewId="0">
      <selection activeCell="D11" sqref="D11"/>
    </sheetView>
  </sheetViews>
  <sheetFormatPr baseColWidth="10" defaultColWidth="8.83203125" defaultRowHeight="13"/>
  <cols>
    <col min="1" max="1" width="22.6640625" style="270" customWidth="1"/>
    <col min="2" max="2" width="15.5" style="270" customWidth="1"/>
    <col min="3" max="3" width="13.1640625" style="270" customWidth="1"/>
    <col min="4" max="4" width="15.83203125" style="464" customWidth="1"/>
    <col min="5" max="5" width="14" style="708" customWidth="1"/>
    <col min="6" max="6" width="15.5" style="708" customWidth="1"/>
  </cols>
  <sheetData>
    <row r="1" spans="1:6">
      <c r="A1" s="476" t="s">
        <v>847</v>
      </c>
      <c r="B1" s="476"/>
      <c r="C1" s="476"/>
      <c r="E1" s="464"/>
      <c r="F1" s="464"/>
    </row>
    <row r="2" spans="1:6">
      <c r="A2" s="58" t="s">
        <v>465</v>
      </c>
      <c r="B2" s="228" t="s">
        <v>466</v>
      </c>
      <c r="C2" s="58" t="s">
        <v>467</v>
      </c>
      <c r="D2" s="58" t="s">
        <v>291</v>
      </c>
      <c r="E2" s="464"/>
      <c r="F2" s="464"/>
    </row>
    <row r="3" spans="1:6" ht="15">
      <c r="A3" s="739" t="s">
        <v>878</v>
      </c>
      <c r="B3" s="478">
        <v>0.77529999999999999</v>
      </c>
      <c r="C3" s="477" t="s">
        <v>595</v>
      </c>
      <c r="D3" s="544" t="s">
        <v>848</v>
      </c>
      <c r="E3" s="480"/>
      <c r="F3" s="480"/>
    </row>
    <row r="4" spans="1:6" ht="16">
      <c r="A4" s="251" t="s">
        <v>637</v>
      </c>
      <c r="B4" s="253"/>
      <c r="C4" s="251" t="s">
        <v>585</v>
      </c>
      <c r="D4" s="252"/>
      <c r="E4" s="252"/>
    </row>
    <row r="5" spans="1:6" ht="15">
      <c r="A5" s="251" t="s">
        <v>207</v>
      </c>
      <c r="B5" s="188">
        <v>0.5</v>
      </c>
      <c r="C5" s="251" t="s">
        <v>596</v>
      </c>
      <c r="E5" s="464"/>
      <c r="F5" s="464"/>
    </row>
    <row r="6" spans="1:6">
      <c r="A6" s="708" t="s">
        <v>336</v>
      </c>
      <c r="B6" s="192">
        <v>0.2</v>
      </c>
      <c r="C6" s="708" t="s">
        <v>335</v>
      </c>
      <c r="E6" s="464"/>
      <c r="F6" s="464"/>
    </row>
    <row r="7" spans="1:6">
      <c r="A7" s="464"/>
      <c r="B7" s="464"/>
      <c r="C7" s="464"/>
      <c r="E7" s="464"/>
      <c r="F7" s="464"/>
    </row>
    <row r="8" spans="1:6">
      <c r="A8" s="464"/>
      <c r="B8" s="464"/>
      <c r="C8" s="464"/>
      <c r="E8" s="464"/>
      <c r="F8" s="464"/>
    </row>
    <row r="9" spans="1:6" ht="16">
      <c r="A9" s="464"/>
      <c r="B9" s="290"/>
      <c r="C9" s="290"/>
      <c r="D9" s="290"/>
      <c r="E9" s="291" t="s">
        <v>642</v>
      </c>
      <c r="F9" s="267">
        <f>AVERAGE(F16:F46)</f>
        <v>0</v>
      </c>
    </row>
    <row r="10" spans="1:6" ht="16">
      <c r="A10" s="476"/>
      <c r="B10" s="482"/>
      <c r="C10" s="482"/>
      <c r="D10" s="482"/>
      <c r="E10" s="483" t="s">
        <v>643</v>
      </c>
      <c r="F10" s="481">
        <f>F9*$B$6*44/12</f>
        <v>0</v>
      </c>
    </row>
    <row r="11" spans="1:6">
      <c r="A11" s="464"/>
      <c r="B11" s="464"/>
      <c r="C11" s="464"/>
      <c r="E11" s="464"/>
      <c r="F11" s="464"/>
    </row>
    <row r="12" spans="1:6">
      <c r="A12" s="464"/>
      <c r="B12" s="464"/>
      <c r="C12" s="464"/>
      <c r="E12" s="464"/>
      <c r="F12" s="464"/>
    </row>
    <row r="13" spans="1:6">
      <c r="A13" s="463" t="s">
        <v>782</v>
      </c>
      <c r="B13" s="463" t="s">
        <v>786</v>
      </c>
      <c r="C13" s="192" t="s">
        <v>321</v>
      </c>
      <c r="D13" s="192" t="s">
        <v>321</v>
      </c>
      <c r="E13" s="192" t="s">
        <v>337</v>
      </c>
      <c r="F13" s="428" t="s">
        <v>337</v>
      </c>
    </row>
    <row r="14" spans="1:6" ht="15">
      <c r="A14" s="463"/>
      <c r="B14" s="463" t="s">
        <v>781</v>
      </c>
      <c r="C14" s="192" t="s">
        <v>634</v>
      </c>
      <c r="D14" s="192" t="s">
        <v>635</v>
      </c>
      <c r="E14" s="192" t="s">
        <v>634</v>
      </c>
      <c r="F14" s="428" t="s">
        <v>636</v>
      </c>
    </row>
    <row r="15" spans="1:6" ht="15">
      <c r="A15" s="466" t="s">
        <v>176</v>
      </c>
      <c r="B15" s="466" t="s">
        <v>785</v>
      </c>
      <c r="C15" s="29" t="s">
        <v>591</v>
      </c>
      <c r="D15" s="29" t="s">
        <v>591</v>
      </c>
      <c r="E15" s="29" t="s">
        <v>333</v>
      </c>
      <c r="F15" s="471" t="s">
        <v>584</v>
      </c>
    </row>
    <row r="16" spans="1:6">
      <c r="A16" s="463">
        <v>0</v>
      </c>
      <c r="B16" s="472">
        <f>A16*$AD$3</f>
        <v>0</v>
      </c>
      <c r="C16" s="111">
        <f t="shared" ref="C16:C46" si="0">0.048*(B16^2.68)/1000</f>
        <v>0</v>
      </c>
      <c r="D16" s="111">
        <f t="shared" ref="D16:D46" si="1">C16*(1+$B$7)</f>
        <v>0</v>
      </c>
      <c r="E16" s="111">
        <f>C16</f>
        <v>0</v>
      </c>
      <c r="F16" s="481">
        <f t="shared" ref="F16:F46" si="2">E16*(1+$B$7)</f>
        <v>0</v>
      </c>
    </row>
    <row r="17" spans="1:6">
      <c r="A17" s="463">
        <v>1</v>
      </c>
      <c r="B17" s="472">
        <f t="shared" ref="B17:B31" si="3">A17*$AD$3</f>
        <v>0</v>
      </c>
      <c r="C17" s="111">
        <f t="shared" si="0"/>
        <v>0</v>
      </c>
      <c r="D17" s="111">
        <f t="shared" si="1"/>
        <v>0</v>
      </c>
      <c r="E17" s="111">
        <f>C17-C16</f>
        <v>0</v>
      </c>
      <c r="F17" s="481">
        <f t="shared" si="2"/>
        <v>0</v>
      </c>
    </row>
    <row r="18" spans="1:6">
      <c r="A18" s="463">
        <f t="shared" ref="A18:A46" si="4">A17+1</f>
        <v>2</v>
      </c>
      <c r="B18" s="472">
        <f t="shared" si="3"/>
        <v>0</v>
      </c>
      <c r="C18" s="111">
        <f t="shared" si="0"/>
        <v>0</v>
      </c>
      <c r="D18" s="111">
        <f t="shared" si="1"/>
        <v>0</v>
      </c>
      <c r="E18" s="111">
        <f t="shared" ref="E18:E46" si="5">C18-C17</f>
        <v>0</v>
      </c>
      <c r="F18" s="481">
        <f t="shared" si="2"/>
        <v>0</v>
      </c>
    </row>
    <row r="19" spans="1:6">
      <c r="A19" s="463">
        <f t="shared" si="4"/>
        <v>3</v>
      </c>
      <c r="B19" s="472">
        <f t="shared" si="3"/>
        <v>0</v>
      </c>
      <c r="C19" s="111">
        <f t="shared" si="0"/>
        <v>0</v>
      </c>
      <c r="D19" s="111">
        <f t="shared" si="1"/>
        <v>0</v>
      </c>
      <c r="E19" s="111">
        <f t="shared" si="5"/>
        <v>0</v>
      </c>
      <c r="F19" s="481">
        <f t="shared" si="2"/>
        <v>0</v>
      </c>
    </row>
    <row r="20" spans="1:6">
      <c r="A20" s="463">
        <f t="shared" si="4"/>
        <v>4</v>
      </c>
      <c r="B20" s="472">
        <f t="shared" si="3"/>
        <v>0</v>
      </c>
      <c r="C20" s="111">
        <f t="shared" si="0"/>
        <v>0</v>
      </c>
      <c r="D20" s="111">
        <f t="shared" si="1"/>
        <v>0</v>
      </c>
      <c r="E20" s="111">
        <f t="shared" si="5"/>
        <v>0</v>
      </c>
      <c r="F20" s="481">
        <f t="shared" si="2"/>
        <v>0</v>
      </c>
    </row>
    <row r="21" spans="1:6">
      <c r="A21" s="463">
        <f t="shared" si="4"/>
        <v>5</v>
      </c>
      <c r="B21" s="472">
        <f t="shared" si="3"/>
        <v>0</v>
      </c>
      <c r="C21" s="111">
        <f t="shared" si="0"/>
        <v>0</v>
      </c>
      <c r="D21" s="111">
        <f t="shared" si="1"/>
        <v>0</v>
      </c>
      <c r="E21" s="111">
        <f t="shared" si="5"/>
        <v>0</v>
      </c>
      <c r="F21" s="481">
        <f t="shared" si="2"/>
        <v>0</v>
      </c>
    </row>
    <row r="22" spans="1:6">
      <c r="A22" s="463">
        <f t="shared" si="4"/>
        <v>6</v>
      </c>
      <c r="B22" s="472">
        <f t="shared" si="3"/>
        <v>0</v>
      </c>
      <c r="C22" s="111">
        <f t="shared" si="0"/>
        <v>0</v>
      </c>
      <c r="D22" s="111">
        <f t="shared" si="1"/>
        <v>0</v>
      </c>
      <c r="E22" s="111">
        <f t="shared" si="5"/>
        <v>0</v>
      </c>
      <c r="F22" s="481">
        <f t="shared" si="2"/>
        <v>0</v>
      </c>
    </row>
    <row r="23" spans="1:6">
      <c r="A23" s="463">
        <f t="shared" si="4"/>
        <v>7</v>
      </c>
      <c r="B23" s="472">
        <f t="shared" si="3"/>
        <v>0</v>
      </c>
      <c r="C23" s="111">
        <f t="shared" si="0"/>
        <v>0</v>
      </c>
      <c r="D23" s="111">
        <f t="shared" si="1"/>
        <v>0</v>
      </c>
      <c r="E23" s="111">
        <f t="shared" si="5"/>
        <v>0</v>
      </c>
      <c r="F23" s="481">
        <f t="shared" si="2"/>
        <v>0</v>
      </c>
    </row>
    <row r="24" spans="1:6">
      <c r="A24" s="463">
        <f t="shared" si="4"/>
        <v>8</v>
      </c>
      <c r="B24" s="472">
        <f t="shared" si="3"/>
        <v>0</v>
      </c>
      <c r="C24" s="111">
        <f t="shared" si="0"/>
        <v>0</v>
      </c>
      <c r="D24" s="111">
        <f t="shared" si="1"/>
        <v>0</v>
      </c>
      <c r="E24" s="111">
        <f t="shared" si="5"/>
        <v>0</v>
      </c>
      <c r="F24" s="481">
        <f t="shared" si="2"/>
        <v>0</v>
      </c>
    </row>
    <row r="25" spans="1:6">
      <c r="A25" s="463">
        <f t="shared" si="4"/>
        <v>9</v>
      </c>
      <c r="B25" s="472">
        <f t="shared" si="3"/>
        <v>0</v>
      </c>
      <c r="C25" s="111">
        <f t="shared" si="0"/>
        <v>0</v>
      </c>
      <c r="D25" s="111">
        <f t="shared" si="1"/>
        <v>0</v>
      </c>
      <c r="E25" s="111">
        <f t="shared" si="5"/>
        <v>0</v>
      </c>
      <c r="F25" s="481">
        <f t="shared" si="2"/>
        <v>0</v>
      </c>
    </row>
    <row r="26" spans="1:6">
      <c r="A26" s="463">
        <f t="shared" si="4"/>
        <v>10</v>
      </c>
      <c r="B26" s="472">
        <f t="shared" si="3"/>
        <v>0</v>
      </c>
      <c r="C26" s="111">
        <f t="shared" si="0"/>
        <v>0</v>
      </c>
      <c r="D26" s="111">
        <f t="shared" si="1"/>
        <v>0</v>
      </c>
      <c r="E26" s="111">
        <f t="shared" si="5"/>
        <v>0</v>
      </c>
      <c r="F26" s="481">
        <f t="shared" si="2"/>
        <v>0</v>
      </c>
    </row>
    <row r="27" spans="1:6">
      <c r="A27" s="463">
        <f t="shared" si="4"/>
        <v>11</v>
      </c>
      <c r="B27" s="472">
        <f t="shared" si="3"/>
        <v>0</v>
      </c>
      <c r="C27" s="111">
        <f t="shared" si="0"/>
        <v>0</v>
      </c>
      <c r="D27" s="111">
        <f t="shared" si="1"/>
        <v>0</v>
      </c>
      <c r="E27" s="111">
        <f t="shared" si="5"/>
        <v>0</v>
      </c>
      <c r="F27" s="481">
        <f t="shared" si="2"/>
        <v>0</v>
      </c>
    </row>
    <row r="28" spans="1:6">
      <c r="A28" s="463">
        <f t="shared" si="4"/>
        <v>12</v>
      </c>
      <c r="B28" s="472">
        <f t="shared" si="3"/>
        <v>0</v>
      </c>
      <c r="C28" s="111">
        <f t="shared" si="0"/>
        <v>0</v>
      </c>
      <c r="D28" s="111">
        <f t="shared" si="1"/>
        <v>0</v>
      </c>
      <c r="E28" s="111">
        <f t="shared" si="5"/>
        <v>0</v>
      </c>
      <c r="F28" s="481">
        <f t="shared" si="2"/>
        <v>0</v>
      </c>
    </row>
    <row r="29" spans="1:6">
      <c r="A29" s="463">
        <f t="shared" si="4"/>
        <v>13</v>
      </c>
      <c r="B29" s="472">
        <f t="shared" si="3"/>
        <v>0</v>
      </c>
      <c r="C29" s="111">
        <f t="shared" si="0"/>
        <v>0</v>
      </c>
      <c r="D29" s="111">
        <f t="shared" si="1"/>
        <v>0</v>
      </c>
      <c r="E29" s="111">
        <f t="shared" si="5"/>
        <v>0</v>
      </c>
      <c r="F29" s="481">
        <f t="shared" si="2"/>
        <v>0</v>
      </c>
    </row>
    <row r="30" spans="1:6">
      <c r="A30" s="463">
        <f t="shared" si="4"/>
        <v>14</v>
      </c>
      <c r="B30" s="472">
        <f t="shared" si="3"/>
        <v>0</v>
      </c>
      <c r="C30" s="111">
        <f t="shared" si="0"/>
        <v>0</v>
      </c>
      <c r="D30" s="111">
        <f t="shared" si="1"/>
        <v>0</v>
      </c>
      <c r="E30" s="111">
        <f t="shared" si="5"/>
        <v>0</v>
      </c>
      <c r="F30" s="481">
        <f t="shared" si="2"/>
        <v>0</v>
      </c>
    </row>
    <row r="31" spans="1:6">
      <c r="A31" s="463">
        <f t="shared" si="4"/>
        <v>15</v>
      </c>
      <c r="B31" s="472">
        <f t="shared" si="3"/>
        <v>0</v>
      </c>
      <c r="C31" s="111">
        <f t="shared" si="0"/>
        <v>0</v>
      </c>
      <c r="D31" s="111">
        <f t="shared" si="1"/>
        <v>0</v>
      </c>
      <c r="E31" s="111">
        <f t="shared" si="5"/>
        <v>0</v>
      </c>
      <c r="F31" s="481">
        <f t="shared" si="2"/>
        <v>0</v>
      </c>
    </row>
    <row r="32" spans="1:6">
      <c r="A32" s="463">
        <f t="shared" si="4"/>
        <v>16</v>
      </c>
      <c r="B32" s="472">
        <f>B31+$AD$6</f>
        <v>0</v>
      </c>
      <c r="C32" s="111">
        <f t="shared" si="0"/>
        <v>0</v>
      </c>
      <c r="D32" s="111">
        <f t="shared" si="1"/>
        <v>0</v>
      </c>
      <c r="E32" s="111">
        <f t="shared" si="5"/>
        <v>0</v>
      </c>
      <c r="F32" s="267">
        <f t="shared" si="2"/>
        <v>0</v>
      </c>
    </row>
    <row r="33" spans="1:6">
      <c r="A33" s="463">
        <f t="shared" si="4"/>
        <v>17</v>
      </c>
      <c r="B33" s="472">
        <f t="shared" ref="B33:B46" si="6">B32+$AD$6</f>
        <v>0</v>
      </c>
      <c r="C33" s="111">
        <f t="shared" si="0"/>
        <v>0</v>
      </c>
      <c r="D33" s="111">
        <f t="shared" si="1"/>
        <v>0</v>
      </c>
      <c r="E33" s="111">
        <f t="shared" si="5"/>
        <v>0</v>
      </c>
      <c r="F33" s="267">
        <f t="shared" si="2"/>
        <v>0</v>
      </c>
    </row>
    <row r="34" spans="1:6">
      <c r="A34" s="463">
        <f t="shared" si="4"/>
        <v>18</v>
      </c>
      <c r="B34" s="472">
        <f t="shared" si="6"/>
        <v>0</v>
      </c>
      <c r="C34" s="111">
        <f t="shared" si="0"/>
        <v>0</v>
      </c>
      <c r="D34" s="111">
        <f t="shared" si="1"/>
        <v>0</v>
      </c>
      <c r="E34" s="111">
        <f t="shared" si="5"/>
        <v>0</v>
      </c>
      <c r="F34" s="267">
        <f t="shared" si="2"/>
        <v>0</v>
      </c>
    </row>
    <row r="35" spans="1:6">
      <c r="A35" s="463">
        <f t="shared" si="4"/>
        <v>19</v>
      </c>
      <c r="B35" s="472">
        <f t="shared" si="6"/>
        <v>0</v>
      </c>
      <c r="C35" s="111">
        <f t="shared" si="0"/>
        <v>0</v>
      </c>
      <c r="D35" s="111">
        <f t="shared" si="1"/>
        <v>0</v>
      </c>
      <c r="E35" s="111">
        <f t="shared" si="5"/>
        <v>0</v>
      </c>
      <c r="F35" s="267">
        <f t="shared" si="2"/>
        <v>0</v>
      </c>
    </row>
    <row r="36" spans="1:6">
      <c r="A36" s="463">
        <f t="shared" si="4"/>
        <v>20</v>
      </c>
      <c r="B36" s="472">
        <f t="shared" si="6"/>
        <v>0</v>
      </c>
      <c r="C36" s="111">
        <f t="shared" si="0"/>
        <v>0</v>
      </c>
      <c r="D36" s="111">
        <f t="shared" si="1"/>
        <v>0</v>
      </c>
      <c r="E36" s="111">
        <f t="shared" si="5"/>
        <v>0</v>
      </c>
      <c r="F36" s="267">
        <f t="shared" si="2"/>
        <v>0</v>
      </c>
    </row>
    <row r="37" spans="1:6">
      <c r="A37" s="463">
        <f t="shared" si="4"/>
        <v>21</v>
      </c>
      <c r="B37" s="472">
        <f t="shared" si="6"/>
        <v>0</v>
      </c>
      <c r="C37" s="111">
        <f t="shared" si="0"/>
        <v>0</v>
      </c>
      <c r="D37" s="111">
        <f t="shared" si="1"/>
        <v>0</v>
      </c>
      <c r="E37" s="111">
        <f t="shared" si="5"/>
        <v>0</v>
      </c>
      <c r="F37" s="267">
        <f t="shared" si="2"/>
        <v>0</v>
      </c>
    </row>
    <row r="38" spans="1:6">
      <c r="A38" s="463">
        <f t="shared" si="4"/>
        <v>22</v>
      </c>
      <c r="B38" s="472">
        <f t="shared" si="6"/>
        <v>0</v>
      </c>
      <c r="C38" s="111">
        <f t="shared" si="0"/>
        <v>0</v>
      </c>
      <c r="D38" s="111">
        <f t="shared" si="1"/>
        <v>0</v>
      </c>
      <c r="E38" s="111">
        <f t="shared" si="5"/>
        <v>0</v>
      </c>
      <c r="F38" s="267">
        <f t="shared" si="2"/>
        <v>0</v>
      </c>
    </row>
    <row r="39" spans="1:6">
      <c r="A39" s="463">
        <f t="shared" si="4"/>
        <v>23</v>
      </c>
      <c r="B39" s="472">
        <f t="shared" si="6"/>
        <v>0</v>
      </c>
      <c r="C39" s="111">
        <f t="shared" si="0"/>
        <v>0</v>
      </c>
      <c r="D39" s="111">
        <f t="shared" si="1"/>
        <v>0</v>
      </c>
      <c r="E39" s="111">
        <f t="shared" si="5"/>
        <v>0</v>
      </c>
      <c r="F39" s="267">
        <f t="shared" si="2"/>
        <v>0</v>
      </c>
    </row>
    <row r="40" spans="1:6">
      <c r="A40" s="463">
        <f t="shared" si="4"/>
        <v>24</v>
      </c>
      <c r="B40" s="472">
        <f t="shared" si="6"/>
        <v>0</v>
      </c>
      <c r="C40" s="111">
        <f t="shared" si="0"/>
        <v>0</v>
      </c>
      <c r="D40" s="111">
        <f t="shared" si="1"/>
        <v>0</v>
      </c>
      <c r="E40" s="111">
        <f t="shared" si="5"/>
        <v>0</v>
      </c>
      <c r="F40" s="267">
        <f t="shared" si="2"/>
        <v>0</v>
      </c>
    </row>
    <row r="41" spans="1:6">
      <c r="A41" s="463">
        <f t="shared" si="4"/>
        <v>25</v>
      </c>
      <c r="B41" s="472">
        <f t="shared" si="6"/>
        <v>0</v>
      </c>
      <c r="C41" s="111">
        <f t="shared" si="0"/>
        <v>0</v>
      </c>
      <c r="D41" s="111">
        <f t="shared" si="1"/>
        <v>0</v>
      </c>
      <c r="E41" s="111">
        <f t="shared" si="5"/>
        <v>0</v>
      </c>
      <c r="F41" s="267">
        <f t="shared" si="2"/>
        <v>0</v>
      </c>
    </row>
    <row r="42" spans="1:6">
      <c r="A42" s="463">
        <f t="shared" si="4"/>
        <v>26</v>
      </c>
      <c r="B42" s="472">
        <f t="shared" si="6"/>
        <v>0</v>
      </c>
      <c r="C42" s="111">
        <f t="shared" si="0"/>
        <v>0</v>
      </c>
      <c r="D42" s="111">
        <f t="shared" si="1"/>
        <v>0</v>
      </c>
      <c r="E42" s="111">
        <f t="shared" si="5"/>
        <v>0</v>
      </c>
      <c r="F42" s="267">
        <f t="shared" si="2"/>
        <v>0</v>
      </c>
    </row>
    <row r="43" spans="1:6">
      <c r="A43" s="463">
        <f t="shared" si="4"/>
        <v>27</v>
      </c>
      <c r="B43" s="472">
        <f t="shared" si="6"/>
        <v>0</v>
      </c>
      <c r="C43" s="111">
        <f t="shared" si="0"/>
        <v>0</v>
      </c>
      <c r="D43" s="111">
        <f t="shared" si="1"/>
        <v>0</v>
      </c>
      <c r="E43" s="111">
        <f t="shared" si="5"/>
        <v>0</v>
      </c>
      <c r="F43" s="267">
        <f t="shared" si="2"/>
        <v>0</v>
      </c>
    </row>
    <row r="44" spans="1:6">
      <c r="A44" s="463">
        <f t="shared" si="4"/>
        <v>28</v>
      </c>
      <c r="B44" s="472">
        <f t="shared" si="6"/>
        <v>0</v>
      </c>
      <c r="C44" s="111">
        <f t="shared" si="0"/>
        <v>0</v>
      </c>
      <c r="D44" s="111">
        <f t="shared" si="1"/>
        <v>0</v>
      </c>
      <c r="E44" s="111">
        <f t="shared" si="5"/>
        <v>0</v>
      </c>
      <c r="F44" s="267">
        <f t="shared" si="2"/>
        <v>0</v>
      </c>
    </row>
    <row r="45" spans="1:6">
      <c r="A45" s="463">
        <f t="shared" si="4"/>
        <v>29</v>
      </c>
      <c r="B45" s="472">
        <f t="shared" si="6"/>
        <v>0</v>
      </c>
      <c r="C45" s="111">
        <f t="shared" si="0"/>
        <v>0</v>
      </c>
      <c r="D45" s="111">
        <f t="shared" si="1"/>
        <v>0</v>
      </c>
      <c r="E45" s="111">
        <f t="shared" si="5"/>
        <v>0</v>
      </c>
      <c r="F45" s="267">
        <f t="shared" si="2"/>
        <v>0</v>
      </c>
    </row>
    <row r="46" spans="1:6">
      <c r="A46" s="463">
        <f t="shared" si="4"/>
        <v>30</v>
      </c>
      <c r="B46" s="472">
        <f t="shared" si="6"/>
        <v>0</v>
      </c>
      <c r="C46" s="111">
        <f t="shared" si="0"/>
        <v>0</v>
      </c>
      <c r="D46" s="111">
        <f t="shared" si="1"/>
        <v>0</v>
      </c>
      <c r="E46" s="111">
        <f t="shared" si="5"/>
        <v>0</v>
      </c>
      <c r="F46" s="267">
        <f t="shared" si="2"/>
        <v>0</v>
      </c>
    </row>
    <row r="47" spans="1:6" ht="15">
      <c r="A47" s="464"/>
      <c r="B47" s="464"/>
      <c r="C47" s="464"/>
      <c r="E47" s="278"/>
      <c r="F47" s="279" t="s">
        <v>787</v>
      </c>
    </row>
    <row r="48" spans="1:6">
      <c r="A48" s="467"/>
      <c r="B48" s="467"/>
      <c r="C48" s="467"/>
      <c r="D48" s="467"/>
      <c r="E48" s="275"/>
      <c r="F48" s="270"/>
    </row>
    <row r="49" spans="1:6">
      <c r="A49" s="468"/>
      <c r="B49" s="468"/>
      <c r="C49" s="468"/>
      <c r="D49" s="468"/>
      <c r="E49" s="274"/>
      <c r="F49" s="270"/>
    </row>
    <row r="50" spans="1:6">
      <c r="A50" s="464"/>
      <c r="B50" s="464"/>
      <c r="C50" s="464"/>
      <c r="E50" s="270"/>
      <c r="F50" s="270"/>
    </row>
    <row r="51" spans="1:6">
      <c r="A51" s="464"/>
      <c r="B51" s="464"/>
      <c r="C51" s="464"/>
      <c r="E51" s="270"/>
      <c r="F51" s="270"/>
    </row>
    <row r="52" spans="1:6">
      <c r="A52" s="468"/>
      <c r="B52" s="468"/>
      <c r="C52" s="468"/>
      <c r="D52" s="468"/>
      <c r="E52" s="274"/>
      <c r="F52" s="270"/>
    </row>
    <row r="53" spans="1:6">
      <c r="A53" s="468"/>
      <c r="B53" s="468"/>
      <c r="C53" s="468"/>
      <c r="D53" s="468"/>
      <c r="E53" s="274"/>
      <c r="F53" s="274"/>
    </row>
    <row r="54" spans="1:6">
      <c r="A54" s="469"/>
      <c r="B54" s="469"/>
      <c r="C54" s="469"/>
      <c r="D54" s="469"/>
      <c r="E54" s="271"/>
      <c r="F54" s="271"/>
    </row>
    <row r="55" spans="1:6">
      <c r="A55" s="469"/>
      <c r="B55" s="469"/>
      <c r="C55" s="469"/>
      <c r="D55" s="469"/>
      <c r="E55" s="271"/>
      <c r="F55" s="271"/>
    </row>
    <row r="56" spans="1:6">
      <c r="A56" s="470"/>
      <c r="B56" s="470"/>
      <c r="C56" s="470"/>
      <c r="D56" s="470"/>
      <c r="E56" s="272"/>
      <c r="F56" s="272"/>
    </row>
    <row r="57" spans="1:6">
      <c r="A57" s="467"/>
      <c r="B57" s="467"/>
      <c r="C57" s="467"/>
      <c r="D57" s="467"/>
      <c r="E57" s="275"/>
      <c r="F57" s="275"/>
    </row>
    <row r="58" spans="1:6">
      <c r="A58" s="467"/>
      <c r="B58" s="467"/>
      <c r="C58" s="467"/>
      <c r="D58" s="467"/>
      <c r="E58" s="275"/>
      <c r="F58" s="275"/>
    </row>
    <row r="59" spans="1:6">
      <c r="A59" s="467"/>
      <c r="B59" s="467"/>
      <c r="C59" s="467"/>
      <c r="D59" s="467"/>
      <c r="E59" s="275"/>
      <c r="F59" s="275"/>
    </row>
    <row r="60" spans="1:6">
      <c r="A60" s="467"/>
      <c r="B60" s="467"/>
      <c r="C60" s="467"/>
      <c r="D60" s="467"/>
      <c r="E60" s="275"/>
      <c r="F60" s="275"/>
    </row>
    <row r="61" spans="1:6">
      <c r="A61" s="467"/>
      <c r="B61" s="467"/>
      <c r="C61" s="467"/>
      <c r="D61" s="467"/>
      <c r="E61" s="275"/>
      <c r="F61" s="275"/>
    </row>
    <row r="62" spans="1:6">
      <c r="A62" s="467"/>
      <c r="B62" s="467"/>
      <c r="C62" s="467"/>
      <c r="D62" s="467"/>
      <c r="E62" s="275"/>
      <c r="F62" s="275"/>
    </row>
    <row r="63" spans="1:6">
      <c r="A63" s="467"/>
      <c r="B63" s="467"/>
      <c r="C63" s="467"/>
      <c r="D63" s="467"/>
      <c r="E63" s="275"/>
      <c r="F63" s="275"/>
    </row>
    <row r="64" spans="1:6">
      <c r="A64" s="467"/>
      <c r="B64" s="467"/>
      <c r="C64" s="467"/>
      <c r="D64" s="467"/>
      <c r="E64" s="275"/>
      <c r="F64" s="275"/>
    </row>
    <row r="65" spans="1:6">
      <c r="A65" s="467"/>
      <c r="B65" s="467"/>
      <c r="C65" s="467"/>
      <c r="D65" s="467"/>
      <c r="E65" s="275"/>
      <c r="F65" s="275"/>
    </row>
    <row r="66" spans="1:6">
      <c r="A66" s="467"/>
      <c r="B66" s="467"/>
      <c r="C66" s="467"/>
      <c r="D66" s="467"/>
      <c r="E66" s="275"/>
      <c r="F66" s="275"/>
    </row>
    <row r="67" spans="1:6">
      <c r="A67" s="467"/>
      <c r="B67" s="467"/>
      <c r="C67" s="467"/>
      <c r="D67" s="467"/>
      <c r="E67" s="275"/>
      <c r="F67" s="275"/>
    </row>
    <row r="68" spans="1:6">
      <c r="A68" s="467"/>
      <c r="B68" s="467"/>
      <c r="C68" s="467"/>
      <c r="D68" s="467"/>
      <c r="E68" s="275"/>
      <c r="F68" s="275"/>
    </row>
    <row r="69" spans="1:6">
      <c r="A69" s="467"/>
      <c r="B69" s="467"/>
      <c r="C69" s="467"/>
      <c r="D69" s="467"/>
      <c r="E69" s="275"/>
      <c r="F69" s="275"/>
    </row>
    <row r="70" spans="1:6">
      <c r="A70" s="467"/>
      <c r="B70" s="467"/>
      <c r="C70" s="467"/>
      <c r="D70" s="467"/>
      <c r="E70" s="275"/>
      <c r="F70" s="275"/>
    </row>
    <row r="71" spans="1:6">
      <c r="A71" s="467"/>
      <c r="B71" s="467"/>
      <c r="C71" s="467"/>
      <c r="D71" s="467"/>
      <c r="E71" s="275"/>
      <c r="F71" s="275"/>
    </row>
    <row r="72" spans="1:6">
      <c r="A72" s="467"/>
      <c r="B72" s="467"/>
      <c r="C72" s="467"/>
      <c r="D72" s="467"/>
      <c r="E72" s="275"/>
      <c r="F72" s="275"/>
    </row>
    <row r="73" spans="1:6">
      <c r="A73" s="467"/>
      <c r="B73" s="467"/>
      <c r="C73" s="467"/>
      <c r="D73" s="467"/>
      <c r="E73" s="275"/>
      <c r="F73" s="275"/>
    </row>
    <row r="74" spans="1:6">
      <c r="A74" s="467"/>
      <c r="B74" s="467"/>
      <c r="C74" s="467"/>
      <c r="D74" s="467"/>
      <c r="E74" s="275"/>
      <c r="F74" s="275"/>
    </row>
    <row r="75" spans="1:6">
      <c r="A75" s="467"/>
      <c r="B75" s="467"/>
      <c r="C75" s="467"/>
      <c r="D75" s="467"/>
      <c r="E75" s="275"/>
      <c r="F75" s="275"/>
    </row>
    <row r="76" spans="1:6">
      <c r="A76" s="274"/>
      <c r="B76" s="274"/>
      <c r="C76" s="274"/>
      <c r="D76" s="468"/>
      <c r="E76" s="111"/>
      <c r="F76" s="10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6"/>
  </sheetPr>
  <dimension ref="A1:AW94"/>
  <sheetViews>
    <sheetView topLeftCell="X2" zoomScale="80" zoomScaleNormal="80" zoomScalePageLayoutView="96" workbookViewId="0">
      <selection activeCell="AH10" sqref="AH10"/>
    </sheetView>
  </sheetViews>
  <sheetFormatPr baseColWidth="10" defaultColWidth="11.1640625" defaultRowHeight="13"/>
  <cols>
    <col min="1" max="1" width="14.1640625" customWidth="1"/>
    <col min="2" max="2" width="13" customWidth="1"/>
    <col min="3" max="3" width="15" customWidth="1"/>
    <col min="4" max="4" width="14.5" style="33" customWidth="1"/>
    <col min="5" max="5" width="16.1640625" style="33" customWidth="1"/>
    <col min="6" max="6" width="15.83203125" style="33" customWidth="1"/>
    <col min="7" max="7" width="14.83203125" style="33" customWidth="1"/>
    <col min="8" max="8" width="10.83203125" style="33"/>
    <col min="9" max="9" width="11.1640625" style="33" customWidth="1"/>
    <col min="10" max="10" width="3.1640625" style="229" customWidth="1"/>
    <col min="11" max="11" width="10.83203125" style="33"/>
    <col min="12" max="12" width="17.83203125" style="464" customWidth="1"/>
    <col min="13" max="13" width="13.83203125" style="464" customWidth="1"/>
    <col min="14" max="15" width="10.83203125" style="464"/>
    <col min="16" max="16" width="14.1640625" style="464" customWidth="1"/>
    <col min="17" max="19" width="10.83203125" style="464"/>
    <col min="20" max="20" width="3.1640625" style="538" customWidth="1"/>
    <col min="21" max="21" width="21.5" style="464" customWidth="1"/>
    <col min="22" max="22" width="10.83203125" style="464"/>
    <col min="23" max="23" width="13.83203125" style="464" customWidth="1"/>
    <col min="24" max="24" width="14.83203125" style="464" customWidth="1"/>
    <col min="25" max="25" width="13.1640625" style="270" customWidth="1"/>
    <col min="26" max="26" width="14.83203125" style="270" customWidth="1"/>
    <col min="27" max="27" width="10.83203125" style="270"/>
    <col min="28" max="28" width="3.1640625" style="538" customWidth="1"/>
    <col min="29" max="29" width="22.6640625" style="270" customWidth="1"/>
    <col min="30" max="30" width="15.5" style="270" customWidth="1"/>
    <col min="31" max="31" width="10.83203125" style="270"/>
    <col min="32" max="32" width="15.83203125" style="464" customWidth="1"/>
    <col min="33" max="33" width="14" customWidth="1"/>
    <col min="34" max="34" width="15.5" customWidth="1"/>
    <col min="40" max="41" width="10.83203125" style="229"/>
    <col min="46" max="46" width="13.1640625" customWidth="1"/>
    <col min="47" max="47" width="13.5" customWidth="1"/>
  </cols>
  <sheetData>
    <row r="1" spans="1:34">
      <c r="A1" s="232" t="s">
        <v>323</v>
      </c>
      <c r="B1" s="232" t="s">
        <v>324</v>
      </c>
      <c r="C1" s="232"/>
      <c r="D1"/>
      <c r="H1" s="475"/>
      <c r="I1" s="475" t="s">
        <v>783</v>
      </c>
      <c r="J1" s="241"/>
      <c r="L1" s="653" t="s">
        <v>845</v>
      </c>
      <c r="M1" s="476"/>
      <c r="N1" s="476"/>
      <c r="U1" s="476" t="s">
        <v>846</v>
      </c>
      <c r="V1" s="476"/>
      <c r="W1" s="476"/>
      <c r="Y1" s="464"/>
      <c r="Z1" s="464"/>
      <c r="AC1" s="476" t="s">
        <v>847</v>
      </c>
      <c r="AD1" s="476"/>
      <c r="AE1" s="476"/>
      <c r="AG1" s="464"/>
      <c r="AH1" s="464"/>
    </row>
    <row r="2" spans="1:34">
      <c r="A2" s="58" t="s">
        <v>465</v>
      </c>
      <c r="B2" s="228" t="s">
        <v>466</v>
      </c>
      <c r="C2" s="58" t="s">
        <v>467</v>
      </c>
      <c r="D2" s="58" t="s">
        <v>468</v>
      </c>
      <c r="F2" s="89"/>
      <c r="J2" s="241"/>
      <c r="L2" s="58" t="s">
        <v>465</v>
      </c>
      <c r="M2" s="228" t="s">
        <v>466</v>
      </c>
      <c r="N2" s="58" t="s">
        <v>467</v>
      </c>
      <c r="O2" s="58" t="s">
        <v>468</v>
      </c>
      <c r="U2" s="58" t="s">
        <v>465</v>
      </c>
      <c r="V2" s="228" t="s">
        <v>466</v>
      </c>
      <c r="W2" s="58" t="s">
        <v>467</v>
      </c>
      <c r="X2" s="58" t="s">
        <v>291</v>
      </c>
      <c r="Y2" s="464"/>
      <c r="Z2" s="464"/>
      <c r="AC2" s="58" t="s">
        <v>465</v>
      </c>
      <c r="AD2" s="228" t="s">
        <v>466</v>
      </c>
      <c r="AE2" s="58" t="s">
        <v>467</v>
      </c>
      <c r="AF2" s="58" t="s">
        <v>291</v>
      </c>
      <c r="AG2" s="464"/>
      <c r="AH2" s="464"/>
    </row>
    <row r="3" spans="1:34" ht="15">
      <c r="A3" s="251" t="s">
        <v>376</v>
      </c>
      <c r="B3" s="188">
        <v>1.25</v>
      </c>
      <c r="C3" s="251" t="s">
        <v>595</v>
      </c>
      <c r="D3" s="252" t="s">
        <v>480</v>
      </c>
      <c r="E3" s="252"/>
      <c r="J3" s="241"/>
      <c r="K3" s="1"/>
      <c r="L3" s="477" t="s">
        <v>376</v>
      </c>
      <c r="M3" s="478">
        <v>1.845</v>
      </c>
      <c r="N3" s="477" t="s">
        <v>595</v>
      </c>
      <c r="O3" s="479" t="s">
        <v>784</v>
      </c>
      <c r="P3" s="480"/>
      <c r="Q3" s="480"/>
      <c r="R3" s="480"/>
      <c r="S3" s="480"/>
      <c r="T3" s="539"/>
      <c r="U3" s="477" t="s">
        <v>376</v>
      </c>
      <c r="V3" s="478">
        <v>1.7887999999999999</v>
      </c>
      <c r="W3" s="477" t="s">
        <v>595</v>
      </c>
      <c r="X3" s="544" t="s">
        <v>815</v>
      </c>
      <c r="Y3" s="480"/>
      <c r="Z3" s="480"/>
      <c r="AB3" s="539"/>
      <c r="AC3" s="477" t="s">
        <v>376</v>
      </c>
      <c r="AD3" s="478">
        <v>1.69</v>
      </c>
      <c r="AE3" s="477" t="s">
        <v>595</v>
      </c>
      <c r="AF3" s="544" t="s">
        <v>848</v>
      </c>
      <c r="AG3" s="480"/>
      <c r="AH3" s="480"/>
    </row>
    <row r="4" spans="1:34" s="33" customFormat="1" ht="15">
      <c r="A4" s="251" t="s">
        <v>377</v>
      </c>
      <c r="B4" s="188">
        <v>1</v>
      </c>
      <c r="C4" s="251" t="s">
        <v>595</v>
      </c>
      <c r="D4" s="252" t="s">
        <v>110</v>
      </c>
      <c r="E4" s="252"/>
      <c r="J4" s="241"/>
      <c r="K4" s="1"/>
      <c r="L4" s="251" t="s">
        <v>377</v>
      </c>
      <c r="M4" s="188">
        <f>1*M6</f>
        <v>1.476</v>
      </c>
      <c r="N4" s="251" t="s">
        <v>595</v>
      </c>
      <c r="O4" s="252" t="s">
        <v>110</v>
      </c>
      <c r="P4" s="252"/>
      <c r="Q4" s="453"/>
      <c r="R4" s="465"/>
      <c r="S4" s="465"/>
      <c r="T4" s="539"/>
      <c r="U4" s="251" t="s">
        <v>377</v>
      </c>
      <c r="V4" s="188">
        <f>M4</f>
        <v>1.476</v>
      </c>
      <c r="W4" s="251" t="s">
        <v>595</v>
      </c>
      <c r="X4" s="252" t="s">
        <v>110</v>
      </c>
      <c r="Y4" s="252"/>
      <c r="Z4" s="519"/>
      <c r="AA4" s="270"/>
      <c r="AB4" s="539"/>
      <c r="AC4" s="251" t="s">
        <v>377</v>
      </c>
      <c r="AD4" s="188">
        <f>AD6</f>
        <v>1.3519999999999999</v>
      </c>
      <c r="AE4" s="251" t="s">
        <v>595</v>
      </c>
      <c r="AF4" s="252" t="s">
        <v>110</v>
      </c>
      <c r="AG4" s="252"/>
      <c r="AH4" s="652"/>
    </row>
    <row r="5" spans="1:34" ht="17.25" customHeight="1">
      <c r="A5" s="251" t="s">
        <v>637</v>
      </c>
      <c r="B5" s="253" t="s">
        <v>508</v>
      </c>
      <c r="C5" s="251" t="s">
        <v>585</v>
      </c>
      <c r="D5" s="254" t="s">
        <v>586</v>
      </c>
      <c r="E5" s="251"/>
      <c r="F5" s="34"/>
      <c r="H5" s="34"/>
      <c r="I5" s="60"/>
      <c r="J5" s="241"/>
      <c r="K5" s="34"/>
      <c r="Y5" s="464"/>
      <c r="Z5" s="464"/>
      <c r="AC5" s="464"/>
      <c r="AD5" s="464"/>
      <c r="AE5" s="464"/>
      <c r="AG5" s="464"/>
      <c r="AH5" s="464"/>
    </row>
    <row r="6" spans="1:34" ht="15">
      <c r="A6" s="251" t="s">
        <v>374</v>
      </c>
      <c r="B6" s="188">
        <v>0.5</v>
      </c>
      <c r="C6" s="251" t="s">
        <v>596</v>
      </c>
      <c r="D6" s="251" t="s">
        <v>334</v>
      </c>
      <c r="E6" s="251"/>
      <c r="J6" s="242"/>
      <c r="L6" s="464" t="s">
        <v>789</v>
      </c>
      <c r="M6" s="463">
        <f>M3/B3</f>
        <v>1.476</v>
      </c>
      <c r="N6" s="464" t="s">
        <v>849</v>
      </c>
      <c r="U6" s="464" t="s">
        <v>789</v>
      </c>
      <c r="V6" s="463">
        <f>V4</f>
        <v>1.476</v>
      </c>
      <c r="W6" s="464" t="s">
        <v>849</v>
      </c>
      <c r="Y6" s="464"/>
      <c r="Z6" s="464"/>
      <c r="AC6" s="464" t="s">
        <v>789</v>
      </c>
      <c r="AD6" s="463">
        <f>AD3/B3</f>
        <v>1.3519999999999999</v>
      </c>
      <c r="AE6" s="464"/>
      <c r="AG6" s="464"/>
      <c r="AH6" s="464"/>
    </row>
    <row r="7" spans="1:34">
      <c r="A7" s="33" t="s">
        <v>336</v>
      </c>
      <c r="B7" s="2">
        <v>0.2</v>
      </c>
      <c r="C7" s="33" t="s">
        <v>335</v>
      </c>
      <c r="D7" s="33" t="s">
        <v>594</v>
      </c>
      <c r="J7" s="243"/>
      <c r="Y7" s="464"/>
      <c r="Z7" s="464"/>
      <c r="AC7" s="464"/>
      <c r="AD7" s="464"/>
      <c r="AE7" s="464"/>
      <c r="AG7" s="464"/>
      <c r="AH7" s="464"/>
    </row>
    <row r="8" spans="1:34" s="229" customFormat="1">
      <c r="B8" s="192"/>
      <c r="J8" s="243"/>
      <c r="L8" s="464"/>
      <c r="M8" s="464"/>
      <c r="N8" s="464"/>
      <c r="O8" s="464"/>
      <c r="P8" s="464"/>
      <c r="Q8" s="464"/>
      <c r="R8" s="464"/>
      <c r="S8" s="464"/>
      <c r="T8" s="538"/>
      <c r="U8" s="464"/>
      <c r="V8" s="464"/>
      <c r="W8" s="464"/>
      <c r="X8" s="464"/>
      <c r="Y8" s="464"/>
      <c r="Z8" s="464"/>
      <c r="AA8" s="270"/>
      <c r="AB8" s="538"/>
      <c r="AC8" s="464"/>
      <c r="AD8" s="464"/>
      <c r="AE8" s="464"/>
      <c r="AF8" s="464"/>
      <c r="AG8" s="464"/>
      <c r="AH8" s="464"/>
    </row>
    <row r="9" spans="1:34" s="229" customFormat="1" ht="16">
      <c r="A9" s="89"/>
      <c r="B9" s="290"/>
      <c r="C9" s="290"/>
      <c r="D9" s="290"/>
      <c r="E9" s="291" t="s">
        <v>642</v>
      </c>
      <c r="F9" s="267">
        <f>AVERAGE(F16:F46)</f>
        <v>2.3165117766054594E-2</v>
      </c>
      <c r="J9" s="243"/>
      <c r="L9" s="464"/>
      <c r="M9" s="290"/>
      <c r="N9" s="290"/>
      <c r="O9" s="290"/>
      <c r="P9" s="291" t="s">
        <v>642</v>
      </c>
      <c r="Q9" s="267">
        <f>AVERAGE(Q16:Q46)</f>
        <v>6.5763656229940265E-2</v>
      </c>
      <c r="R9" s="464"/>
      <c r="S9" s="464"/>
      <c r="T9" s="538"/>
      <c r="U9" s="464"/>
      <c r="V9" s="290"/>
      <c r="W9" s="290"/>
      <c r="X9" s="290"/>
      <c r="Y9" s="291" t="s">
        <v>642</v>
      </c>
      <c r="Z9" s="267">
        <f>AVERAGE(Z16:Z46)</f>
        <v>6.2823337261136744E-2</v>
      </c>
      <c r="AA9" s="270"/>
      <c r="AB9" s="538"/>
      <c r="AC9" s="464"/>
      <c r="AD9" s="290"/>
      <c r="AE9" s="290"/>
      <c r="AF9" s="290"/>
      <c r="AG9" s="291" t="s">
        <v>642</v>
      </c>
      <c r="AH9" s="267">
        <f>AVERAGE(AH16:AH46)</f>
        <v>5.1981887607849019E-2</v>
      </c>
    </row>
    <row r="10" spans="1:34" ht="16">
      <c r="A10" s="33"/>
      <c r="B10" s="232"/>
      <c r="C10" s="232"/>
      <c r="D10" s="232"/>
      <c r="E10" s="236" t="s">
        <v>643</v>
      </c>
      <c r="F10" s="237">
        <f>F9*B6*44/12</f>
        <v>4.2469382571100091E-2</v>
      </c>
      <c r="J10" s="244"/>
      <c r="L10" s="476"/>
      <c r="M10" s="482"/>
      <c r="N10" s="482"/>
      <c r="O10" s="482"/>
      <c r="P10" s="483" t="s">
        <v>643</v>
      </c>
      <c r="Q10" s="481">
        <f>Q9*$B$6*44/12</f>
        <v>0.12056670308822381</v>
      </c>
      <c r="U10" s="476"/>
      <c r="V10" s="482"/>
      <c r="W10" s="482"/>
      <c r="X10" s="482"/>
      <c r="Y10" s="483" t="s">
        <v>643</v>
      </c>
      <c r="Z10" s="481">
        <f>Z9*$B$6*44/12</f>
        <v>0.11517611831208403</v>
      </c>
      <c r="AC10" s="476"/>
      <c r="AD10" s="482"/>
      <c r="AE10" s="482"/>
      <c r="AF10" s="482"/>
      <c r="AG10" s="483" t="s">
        <v>643</v>
      </c>
      <c r="AH10" s="481">
        <f>AH9*$B$6*44/12</f>
        <v>9.5300127281056538E-2</v>
      </c>
    </row>
    <row r="11" spans="1:34" s="33" customFormat="1">
      <c r="B11" s="2"/>
      <c r="J11" s="245"/>
      <c r="L11" s="464"/>
      <c r="M11" s="464"/>
      <c r="N11" s="464"/>
      <c r="O11" s="464"/>
      <c r="P11" s="464"/>
      <c r="Q11" s="464"/>
      <c r="R11" s="464"/>
      <c r="S11" s="464"/>
      <c r="T11" s="538"/>
      <c r="U11" s="464"/>
      <c r="V11" s="464"/>
      <c r="W11" s="464"/>
      <c r="X11" s="464"/>
      <c r="Y11" s="464"/>
      <c r="Z11" s="464"/>
      <c r="AA11" s="270"/>
      <c r="AB11" s="538"/>
      <c r="AC11" s="464"/>
      <c r="AD11" s="464"/>
      <c r="AE11" s="464"/>
      <c r="AF11" s="464"/>
      <c r="AG11" s="464"/>
      <c r="AH11" s="464"/>
    </row>
    <row r="12" spans="1:34" s="33" customFormat="1">
      <c r="B12" s="2"/>
      <c r="C12" s="2"/>
      <c r="J12" s="242"/>
      <c r="L12" s="464"/>
      <c r="M12" s="464"/>
      <c r="N12" s="464"/>
      <c r="O12" s="464"/>
      <c r="P12" s="464"/>
      <c r="Q12" s="464"/>
      <c r="R12" s="464"/>
      <c r="S12" s="464"/>
      <c r="T12" s="538"/>
      <c r="U12" s="464"/>
      <c r="V12" s="464"/>
      <c r="W12" s="464"/>
      <c r="X12" s="464"/>
      <c r="Y12" s="464"/>
      <c r="Z12" s="476"/>
      <c r="AA12" s="270"/>
      <c r="AB12" s="538"/>
      <c r="AC12" s="464"/>
      <c r="AD12" s="464"/>
      <c r="AE12" s="464"/>
      <c r="AF12" s="464"/>
      <c r="AG12" s="464"/>
      <c r="AH12" s="464"/>
    </row>
    <row r="13" spans="1:34">
      <c r="A13" s="232"/>
      <c r="B13" s="233" t="s">
        <v>480</v>
      </c>
      <c r="C13" s="2" t="s">
        <v>321</v>
      </c>
      <c r="D13" s="2" t="s">
        <v>378</v>
      </c>
      <c r="E13" s="2" t="s">
        <v>337</v>
      </c>
      <c r="F13" s="234" t="s">
        <v>337</v>
      </c>
      <c r="H13" s="188" t="s">
        <v>597</v>
      </c>
      <c r="J13" s="242"/>
      <c r="K13" s="290"/>
      <c r="L13" s="463" t="s">
        <v>782</v>
      </c>
      <c r="M13" s="463" t="s">
        <v>786</v>
      </c>
      <c r="N13" s="192" t="s">
        <v>321</v>
      </c>
      <c r="O13" s="192" t="s">
        <v>378</v>
      </c>
      <c r="P13" s="192" t="s">
        <v>337</v>
      </c>
      <c r="Q13" s="732" t="s">
        <v>337</v>
      </c>
      <c r="R13" s="462"/>
      <c r="U13" s="463" t="s">
        <v>782</v>
      </c>
      <c r="V13" s="463" t="s">
        <v>786</v>
      </c>
      <c r="W13" s="192" t="s">
        <v>321</v>
      </c>
      <c r="X13" s="192" t="s">
        <v>321</v>
      </c>
      <c r="Y13" s="192" t="s">
        <v>337</v>
      </c>
      <c r="Z13" s="732" t="s">
        <v>337</v>
      </c>
      <c r="AA13" s="271"/>
      <c r="AC13" s="463" t="s">
        <v>782</v>
      </c>
      <c r="AD13" s="463" t="s">
        <v>786</v>
      </c>
      <c r="AE13" s="192" t="s">
        <v>321</v>
      </c>
      <c r="AF13" s="192" t="s">
        <v>321</v>
      </c>
      <c r="AG13" s="192" t="s">
        <v>337</v>
      </c>
      <c r="AH13" s="428" t="s">
        <v>337</v>
      </c>
    </row>
    <row r="14" spans="1:34" ht="15">
      <c r="A14" s="234" t="s">
        <v>438</v>
      </c>
      <c r="B14" s="234" t="s">
        <v>439</v>
      </c>
      <c r="C14" s="2" t="s">
        <v>634</v>
      </c>
      <c r="D14" s="2" t="s">
        <v>635</v>
      </c>
      <c r="E14" s="2" t="s">
        <v>634</v>
      </c>
      <c r="F14" s="234" t="s">
        <v>636</v>
      </c>
      <c r="H14" s="188" t="s">
        <v>635</v>
      </c>
      <c r="J14" s="242"/>
      <c r="K14" s="428"/>
      <c r="L14" s="463"/>
      <c r="M14" s="463" t="s">
        <v>781</v>
      </c>
      <c r="N14" s="192" t="s">
        <v>634</v>
      </c>
      <c r="O14" s="192" t="s">
        <v>635</v>
      </c>
      <c r="P14" s="192" t="s">
        <v>634</v>
      </c>
      <c r="Q14" s="732" t="s">
        <v>636</v>
      </c>
      <c r="R14" s="463"/>
      <c r="S14" s="463"/>
      <c r="T14" s="540"/>
      <c r="U14" s="463"/>
      <c r="V14" s="463" t="s">
        <v>781</v>
      </c>
      <c r="W14" s="192" t="s">
        <v>634</v>
      </c>
      <c r="X14" s="192" t="s">
        <v>635</v>
      </c>
      <c r="Y14" s="192" t="s">
        <v>634</v>
      </c>
      <c r="Z14" s="732" t="s">
        <v>636</v>
      </c>
      <c r="AA14" s="271"/>
      <c r="AB14" s="540"/>
      <c r="AC14" s="463"/>
      <c r="AD14" s="463" t="s">
        <v>781</v>
      </c>
      <c r="AE14" s="192" t="s">
        <v>634</v>
      </c>
      <c r="AF14" s="192" t="s">
        <v>635</v>
      </c>
      <c r="AG14" s="192" t="s">
        <v>634</v>
      </c>
      <c r="AH14" s="428" t="s">
        <v>636</v>
      </c>
    </row>
    <row r="15" spans="1:34" s="42" customFormat="1" ht="15">
      <c r="A15" s="235" t="s">
        <v>487</v>
      </c>
      <c r="B15" s="235" t="s">
        <v>488</v>
      </c>
      <c r="C15" s="29" t="s">
        <v>591</v>
      </c>
      <c r="D15" s="29" t="s">
        <v>591</v>
      </c>
      <c r="E15" s="29" t="s">
        <v>338</v>
      </c>
      <c r="F15" s="235" t="s">
        <v>584</v>
      </c>
      <c r="H15" s="250" t="s">
        <v>592</v>
      </c>
      <c r="J15" s="246"/>
      <c r="K15" s="471"/>
      <c r="L15" s="466" t="s">
        <v>176</v>
      </c>
      <c r="M15" s="466" t="s">
        <v>785</v>
      </c>
      <c r="N15" s="29" t="s">
        <v>591</v>
      </c>
      <c r="O15" s="29" t="s">
        <v>591</v>
      </c>
      <c r="P15" s="29" t="s">
        <v>338</v>
      </c>
      <c r="Q15" s="733" t="s">
        <v>584</v>
      </c>
      <c r="R15" s="466"/>
      <c r="S15" s="466"/>
      <c r="T15" s="541"/>
      <c r="U15" s="466" t="s">
        <v>176</v>
      </c>
      <c r="V15" s="466" t="s">
        <v>785</v>
      </c>
      <c r="W15" s="29" t="s">
        <v>591</v>
      </c>
      <c r="X15" s="29" t="s">
        <v>591</v>
      </c>
      <c r="Y15" s="29" t="s">
        <v>333</v>
      </c>
      <c r="Z15" s="733" t="s">
        <v>584</v>
      </c>
      <c r="AA15" s="272"/>
      <c r="AB15" s="541"/>
      <c r="AC15" s="466" t="s">
        <v>176</v>
      </c>
      <c r="AD15" s="466" t="s">
        <v>785</v>
      </c>
      <c r="AE15" s="29" t="s">
        <v>591</v>
      </c>
      <c r="AF15" s="29" t="s">
        <v>591</v>
      </c>
      <c r="AG15" s="29" t="s">
        <v>333</v>
      </c>
      <c r="AH15" s="471" t="s">
        <v>584</v>
      </c>
    </row>
    <row r="16" spans="1:34">
      <c r="A16" s="234">
        <v>0</v>
      </c>
      <c r="B16" s="235">
        <v>0</v>
      </c>
      <c r="C16" s="55">
        <f t="shared" ref="C16:C46" si="0">0.048*(B16^2.68)/1000</f>
        <v>0</v>
      </c>
      <c r="D16" s="44">
        <f t="shared" ref="D16:D46" si="1">C16*(1+$B$7)</f>
        <v>0</v>
      </c>
      <c r="E16" s="51">
        <f>C16</f>
        <v>0</v>
      </c>
      <c r="F16" s="237">
        <f t="shared" ref="F16:F46" si="2">E16*(1+$B$7)</f>
        <v>0</v>
      </c>
      <c r="H16" s="40">
        <v>0</v>
      </c>
      <c r="J16" s="242"/>
      <c r="K16" s="428"/>
      <c r="L16" s="463">
        <v>0</v>
      </c>
      <c r="M16" s="472">
        <f>L16*$M$3</f>
        <v>0</v>
      </c>
      <c r="N16" s="111">
        <f t="shared" ref="N16" si="3">0.048*(M16^2.68)/1000</f>
        <v>0</v>
      </c>
      <c r="O16" s="111">
        <f t="shared" ref="O16" si="4">N16*(1+$B$7)</f>
        <v>0</v>
      </c>
      <c r="P16" s="111">
        <f>N16</f>
        <v>0</v>
      </c>
      <c r="Q16" s="481">
        <f t="shared" ref="Q16" si="5">P16*(1+$B$7)</f>
        <v>0</v>
      </c>
      <c r="R16" s="463"/>
      <c r="S16" s="463"/>
      <c r="T16" s="540"/>
      <c r="U16" s="463">
        <v>0</v>
      </c>
      <c r="V16" s="472">
        <f>U16*$M$3</f>
        <v>0</v>
      </c>
      <c r="W16" s="111">
        <f t="shared" ref="W16:W46" si="6">0.048*(V16^2.68)/1000</f>
        <v>0</v>
      </c>
      <c r="X16" s="111">
        <f t="shared" ref="X16:X46" si="7">W16*(1+$B$7)</f>
        <v>0</v>
      </c>
      <c r="Y16" s="111">
        <f>W16</f>
        <v>0</v>
      </c>
      <c r="Z16" s="481">
        <f t="shared" ref="Z16:Z46" si="8">Y16*(1+$B$7)</f>
        <v>0</v>
      </c>
      <c r="AA16" s="275"/>
      <c r="AB16" s="540"/>
      <c r="AC16" s="463">
        <v>0</v>
      </c>
      <c r="AD16" s="472">
        <f>AC16*$AD$3</f>
        <v>0</v>
      </c>
      <c r="AE16" s="111">
        <f t="shared" ref="AE16:AE46" si="9">0.048*(AD16^2.68)/1000</f>
        <v>0</v>
      </c>
      <c r="AF16" s="111">
        <f t="shared" ref="AF16:AF46" si="10">AE16*(1+$B$7)</f>
        <v>0</v>
      </c>
      <c r="AG16" s="111">
        <f>AE16</f>
        <v>0</v>
      </c>
      <c r="AH16" s="481">
        <f t="shared" ref="AH16:AH46" si="11">AG16*(1+$B$7)</f>
        <v>0</v>
      </c>
    </row>
    <row r="17" spans="1:34">
      <c r="A17" s="234">
        <v>1</v>
      </c>
      <c r="B17" s="235">
        <f t="shared" ref="B17:B31" si="12">B16+$B$3</f>
        <v>1.25</v>
      </c>
      <c r="C17" s="55">
        <f t="shared" si="0"/>
        <v>8.7289111364627464E-5</v>
      </c>
      <c r="D17" s="44">
        <f t="shared" si="1"/>
        <v>1.0474693363755296E-4</v>
      </c>
      <c r="E17" s="51">
        <f>C17-C16</f>
        <v>8.7289111364627464E-5</v>
      </c>
      <c r="F17" s="237">
        <f t="shared" si="2"/>
        <v>1.0474693363755296E-4</v>
      </c>
      <c r="H17" s="111">
        <f t="shared" ref="H17:H45" si="13">0.0232*A17-0.0232</f>
        <v>0</v>
      </c>
      <c r="J17" s="242"/>
      <c r="K17" s="428"/>
      <c r="L17" s="463">
        <v>1</v>
      </c>
      <c r="M17" s="472">
        <f t="shared" ref="M17:M31" si="14">L17*$M$3</f>
        <v>1.845</v>
      </c>
      <c r="N17" s="111">
        <f t="shared" ref="N17:N46" si="15">0.048*(M17^2.68)/1000</f>
        <v>2.4780582470477266E-4</v>
      </c>
      <c r="O17" s="111">
        <f t="shared" ref="O17:O46" si="16">N17*(1+$B$7)</f>
        <v>2.9736698964572716E-4</v>
      </c>
      <c r="P17" s="111">
        <f>N17-N16</f>
        <v>2.4780582470477266E-4</v>
      </c>
      <c r="Q17" s="481">
        <f t="shared" ref="Q17:Q46" si="17">P17*(1+$B$7)</f>
        <v>2.9736698964572716E-4</v>
      </c>
      <c r="R17" s="463"/>
      <c r="S17" s="463"/>
      <c r="T17" s="540"/>
      <c r="U17" s="463">
        <v>1</v>
      </c>
      <c r="V17" s="472">
        <f>U17*$V$3</f>
        <v>1.7887999999999999</v>
      </c>
      <c r="W17" s="111">
        <f t="shared" si="6"/>
        <v>2.2809030419521388E-4</v>
      </c>
      <c r="X17" s="111">
        <f t="shared" si="7"/>
        <v>2.7370836503425662E-4</v>
      </c>
      <c r="Y17" s="111">
        <f>W17-W16</f>
        <v>2.2809030419521388E-4</v>
      </c>
      <c r="Z17" s="481">
        <f t="shared" si="8"/>
        <v>2.7370836503425662E-4</v>
      </c>
      <c r="AA17" s="275"/>
      <c r="AB17" s="540"/>
      <c r="AC17" s="463">
        <v>1</v>
      </c>
      <c r="AD17" s="472">
        <f t="shared" ref="AD17:AD31" si="18">AC17*$AD$3</f>
        <v>1.69</v>
      </c>
      <c r="AE17" s="111">
        <f t="shared" si="9"/>
        <v>1.9587436688943278E-4</v>
      </c>
      <c r="AF17" s="111">
        <f t="shared" si="10"/>
        <v>2.3504924026731931E-4</v>
      </c>
      <c r="AG17" s="111">
        <f>AE17-AE16</f>
        <v>1.9587436688943278E-4</v>
      </c>
      <c r="AH17" s="481">
        <f t="shared" si="11"/>
        <v>2.3504924026731931E-4</v>
      </c>
    </row>
    <row r="18" spans="1:34">
      <c r="A18" s="234">
        <f t="shared" ref="A18:A46" si="19">A17+1</f>
        <v>2</v>
      </c>
      <c r="B18" s="235">
        <f t="shared" si="12"/>
        <v>2.5</v>
      </c>
      <c r="C18" s="55">
        <f t="shared" si="0"/>
        <v>5.5939742204615226E-4</v>
      </c>
      <c r="D18" s="44">
        <f t="shared" si="1"/>
        <v>6.7127690645538271E-4</v>
      </c>
      <c r="E18" s="111">
        <f t="shared" ref="E18:E46" si="20">C18-C17</f>
        <v>4.7210831068152478E-4</v>
      </c>
      <c r="F18" s="237">
        <f t="shared" si="2"/>
        <v>5.6652997281782973E-4</v>
      </c>
      <c r="H18" s="111">
        <f t="shared" si="13"/>
        <v>2.3199999999999998E-2</v>
      </c>
      <c r="J18" s="242"/>
      <c r="K18" s="428"/>
      <c r="L18" s="463">
        <f t="shared" ref="L18:L46" si="21">L17+1</f>
        <v>2</v>
      </c>
      <c r="M18" s="472">
        <f t="shared" si="14"/>
        <v>3.69</v>
      </c>
      <c r="N18" s="111">
        <f t="shared" si="15"/>
        <v>1.5880782532979802E-3</v>
      </c>
      <c r="O18" s="111">
        <f t="shared" si="16"/>
        <v>1.9056939039575761E-3</v>
      </c>
      <c r="P18" s="111">
        <f t="shared" ref="P18:P46" si="22">N18-N17</f>
        <v>1.3402724285932076E-3</v>
      </c>
      <c r="Q18" s="481">
        <f t="shared" si="17"/>
        <v>1.6083269143118491E-3</v>
      </c>
      <c r="R18" s="463"/>
      <c r="S18" s="463"/>
      <c r="T18" s="540"/>
      <c r="U18" s="463">
        <f t="shared" ref="U18:U46" si="23">U17+1</f>
        <v>2</v>
      </c>
      <c r="V18" s="472">
        <f t="shared" ref="V18:V31" si="24">U18*$V$3</f>
        <v>3.5775999999999999</v>
      </c>
      <c r="W18" s="111">
        <f t="shared" si="6"/>
        <v>1.4617301764883175E-3</v>
      </c>
      <c r="X18" s="111">
        <f t="shared" si="7"/>
        <v>1.7540762117859809E-3</v>
      </c>
      <c r="Y18" s="111">
        <f t="shared" ref="Y18:Y46" si="25">W18-W17</f>
        <v>1.2336398722931036E-3</v>
      </c>
      <c r="Z18" s="481">
        <f t="shared" si="8"/>
        <v>1.4803678467517243E-3</v>
      </c>
      <c r="AA18" s="275"/>
      <c r="AB18" s="540"/>
      <c r="AC18" s="463">
        <f t="shared" ref="AC18:AC46" si="26">AC17+1</f>
        <v>2</v>
      </c>
      <c r="AD18" s="472">
        <f t="shared" si="18"/>
        <v>3.38</v>
      </c>
      <c r="AE18" s="111">
        <f t="shared" si="9"/>
        <v>1.2552724408565012E-3</v>
      </c>
      <c r="AF18" s="111">
        <f t="shared" si="10"/>
        <v>1.5063269290278014E-3</v>
      </c>
      <c r="AG18" s="111">
        <f t="shared" ref="AG18:AG46" si="27">AE18-AE17</f>
        <v>1.0593980739670684E-3</v>
      </c>
      <c r="AH18" s="481">
        <f t="shared" si="11"/>
        <v>1.2712776887604819E-3</v>
      </c>
    </row>
    <row r="19" spans="1:34">
      <c r="A19" s="234">
        <f t="shared" si="19"/>
        <v>3</v>
      </c>
      <c r="B19" s="235">
        <f t="shared" si="12"/>
        <v>3.75</v>
      </c>
      <c r="C19" s="55">
        <f t="shared" si="0"/>
        <v>1.6582310192067727E-3</v>
      </c>
      <c r="D19" s="44">
        <f t="shared" si="1"/>
        <v>1.989877223048127E-3</v>
      </c>
      <c r="E19" s="111">
        <f t="shared" si="20"/>
        <v>1.0988335971606204E-3</v>
      </c>
      <c r="F19" s="237">
        <f t="shared" si="2"/>
        <v>1.3186003165927445E-3</v>
      </c>
      <c r="H19" s="111">
        <f t="shared" si="13"/>
        <v>4.6399999999999997E-2</v>
      </c>
      <c r="J19" s="242"/>
      <c r="K19" s="428"/>
      <c r="L19" s="463">
        <f t="shared" si="21"/>
        <v>3</v>
      </c>
      <c r="M19" s="472">
        <f t="shared" si="14"/>
        <v>5.5350000000000001</v>
      </c>
      <c r="N19" s="111">
        <f t="shared" si="15"/>
        <v>4.7075666007076406E-3</v>
      </c>
      <c r="O19" s="111">
        <f t="shared" si="16"/>
        <v>5.6490799208491682E-3</v>
      </c>
      <c r="P19" s="111">
        <f t="shared" si="22"/>
        <v>3.1194883474096602E-3</v>
      </c>
      <c r="Q19" s="481">
        <f t="shared" si="17"/>
        <v>3.7433860168915919E-3</v>
      </c>
      <c r="R19" s="463"/>
      <c r="S19" s="463"/>
      <c r="T19" s="540"/>
      <c r="U19" s="463">
        <f t="shared" si="23"/>
        <v>3</v>
      </c>
      <c r="V19" s="472">
        <f t="shared" si="24"/>
        <v>5.3663999999999996</v>
      </c>
      <c r="W19" s="111">
        <f t="shared" si="6"/>
        <v>4.3330309093979639E-3</v>
      </c>
      <c r="X19" s="111">
        <f t="shared" si="7"/>
        <v>5.1996370912775567E-3</v>
      </c>
      <c r="Y19" s="111">
        <f t="shared" si="25"/>
        <v>2.8713007329096464E-3</v>
      </c>
      <c r="Z19" s="481">
        <f t="shared" si="8"/>
        <v>3.4455608794915758E-3</v>
      </c>
      <c r="AA19" s="275"/>
      <c r="AB19" s="540"/>
      <c r="AC19" s="463">
        <f t="shared" si="26"/>
        <v>3</v>
      </c>
      <c r="AD19" s="472">
        <f t="shared" si="18"/>
        <v>5.07</v>
      </c>
      <c r="AE19" s="111">
        <f t="shared" si="9"/>
        <v>3.7210248330603064E-3</v>
      </c>
      <c r="AF19" s="111">
        <f t="shared" si="10"/>
        <v>4.4652297996723676E-3</v>
      </c>
      <c r="AG19" s="111">
        <f t="shared" si="27"/>
        <v>2.4657523922038049E-3</v>
      </c>
      <c r="AH19" s="481">
        <f t="shared" si="11"/>
        <v>2.9589028706445658E-3</v>
      </c>
    </row>
    <row r="20" spans="1:34">
      <c r="A20" s="234">
        <f t="shared" si="19"/>
        <v>4</v>
      </c>
      <c r="B20" s="235">
        <f t="shared" si="12"/>
        <v>5</v>
      </c>
      <c r="C20" s="55">
        <f t="shared" si="0"/>
        <v>3.5849313952196881E-3</v>
      </c>
      <c r="D20" s="44">
        <f t="shared" si="1"/>
        <v>4.3019176742636256E-3</v>
      </c>
      <c r="E20" s="111">
        <f t="shared" si="20"/>
        <v>1.9267003760129154E-3</v>
      </c>
      <c r="F20" s="237">
        <f t="shared" si="2"/>
        <v>2.3120404512154986E-3</v>
      </c>
      <c r="H20" s="111">
        <f t="shared" si="13"/>
        <v>6.9599999999999995E-2</v>
      </c>
      <c r="J20" s="242"/>
      <c r="K20" s="428"/>
      <c r="L20" s="463">
        <f t="shared" si="21"/>
        <v>4</v>
      </c>
      <c r="M20" s="472">
        <f t="shared" si="14"/>
        <v>7.38</v>
      </c>
      <c r="N20" s="111">
        <f t="shared" si="15"/>
        <v>1.0177293215777237E-2</v>
      </c>
      <c r="O20" s="111">
        <f t="shared" si="16"/>
        <v>1.2212751858932685E-2</v>
      </c>
      <c r="P20" s="111">
        <f t="shared" si="22"/>
        <v>5.4697266150695962E-3</v>
      </c>
      <c r="Q20" s="481">
        <f t="shared" si="17"/>
        <v>6.5636719380835155E-3</v>
      </c>
      <c r="R20" s="463"/>
      <c r="S20" s="463"/>
      <c r="T20" s="540"/>
      <c r="U20" s="463">
        <f t="shared" si="23"/>
        <v>4</v>
      </c>
      <c r="V20" s="472">
        <f t="shared" si="24"/>
        <v>7.1551999999999998</v>
      </c>
      <c r="W20" s="111">
        <f t="shared" si="6"/>
        <v>9.3675841083884232E-3</v>
      </c>
      <c r="X20" s="111">
        <f t="shared" si="7"/>
        <v>1.1241100930066108E-2</v>
      </c>
      <c r="Y20" s="111">
        <f t="shared" si="25"/>
        <v>5.0345531989904593E-3</v>
      </c>
      <c r="Z20" s="481">
        <f t="shared" si="8"/>
        <v>6.0414638387885512E-3</v>
      </c>
      <c r="AA20" s="275"/>
      <c r="AB20" s="540"/>
      <c r="AC20" s="463">
        <f t="shared" si="26"/>
        <v>4</v>
      </c>
      <c r="AD20" s="472">
        <f t="shared" si="18"/>
        <v>6.76</v>
      </c>
      <c r="AE20" s="111">
        <f t="shared" si="9"/>
        <v>8.0444875243083497E-3</v>
      </c>
      <c r="AF20" s="111">
        <f t="shared" si="10"/>
        <v>9.6533850291700193E-3</v>
      </c>
      <c r="AG20" s="111">
        <f t="shared" si="27"/>
        <v>4.3234626912480433E-3</v>
      </c>
      <c r="AH20" s="481">
        <f t="shared" si="11"/>
        <v>5.1881552294976516E-3</v>
      </c>
    </row>
    <row r="21" spans="1:34">
      <c r="A21" s="234">
        <f t="shared" si="19"/>
        <v>5</v>
      </c>
      <c r="B21" s="235">
        <f t="shared" si="12"/>
        <v>6.25</v>
      </c>
      <c r="C21" s="55">
        <f t="shared" si="0"/>
        <v>6.5192807456641872E-3</v>
      </c>
      <c r="D21" s="44">
        <f t="shared" si="1"/>
        <v>7.8231368947970243E-3</v>
      </c>
      <c r="E21" s="111">
        <f t="shared" si="20"/>
        <v>2.9343493504444991E-3</v>
      </c>
      <c r="F21" s="237">
        <f t="shared" si="2"/>
        <v>3.5212192205333987E-3</v>
      </c>
      <c r="H21" s="111">
        <f t="shared" si="13"/>
        <v>9.2799999999999994E-2</v>
      </c>
      <c r="J21" s="242"/>
      <c r="K21" s="428"/>
      <c r="L21" s="463">
        <f t="shared" si="21"/>
        <v>5</v>
      </c>
      <c r="M21" s="472">
        <f t="shared" si="14"/>
        <v>9.2249999999999996</v>
      </c>
      <c r="N21" s="111">
        <f t="shared" si="15"/>
        <v>1.8507643352134295E-2</v>
      </c>
      <c r="O21" s="111">
        <f t="shared" si="16"/>
        <v>2.2209172022561154E-2</v>
      </c>
      <c r="P21" s="111">
        <f t="shared" si="22"/>
        <v>8.3303501363570578E-3</v>
      </c>
      <c r="Q21" s="481">
        <f t="shared" si="17"/>
        <v>9.9964201636284691E-3</v>
      </c>
      <c r="R21" s="463"/>
      <c r="S21" s="463"/>
      <c r="T21" s="540"/>
      <c r="U21" s="463">
        <f t="shared" si="23"/>
        <v>5</v>
      </c>
      <c r="V21" s="472">
        <f t="shared" si="24"/>
        <v>8.9439999999999991</v>
      </c>
      <c r="W21" s="111">
        <f t="shared" si="6"/>
        <v>1.703516859280484E-2</v>
      </c>
      <c r="X21" s="111">
        <f t="shared" si="7"/>
        <v>2.0442202311365808E-2</v>
      </c>
      <c r="Y21" s="111">
        <f t="shared" si="25"/>
        <v>7.6675844844164166E-3</v>
      </c>
      <c r="Z21" s="481">
        <f t="shared" si="8"/>
        <v>9.2011013812996999E-3</v>
      </c>
      <c r="AA21" s="275"/>
      <c r="AB21" s="540"/>
      <c r="AC21" s="463">
        <f t="shared" si="26"/>
        <v>5</v>
      </c>
      <c r="AD21" s="472">
        <f t="shared" si="18"/>
        <v>8.4499999999999993</v>
      </c>
      <c r="AE21" s="111">
        <f t="shared" si="9"/>
        <v>1.4629086820431405E-2</v>
      </c>
      <c r="AF21" s="111">
        <f t="shared" si="10"/>
        <v>1.7554904184517686E-2</v>
      </c>
      <c r="AG21" s="111">
        <f t="shared" si="27"/>
        <v>6.5845992961230549E-3</v>
      </c>
      <c r="AH21" s="481">
        <f t="shared" si="11"/>
        <v>7.9015191553476662E-3</v>
      </c>
    </row>
    <row r="22" spans="1:34">
      <c r="A22" s="234">
        <f t="shared" si="19"/>
        <v>6</v>
      </c>
      <c r="B22" s="235">
        <f t="shared" si="12"/>
        <v>7.5</v>
      </c>
      <c r="C22" s="55">
        <f t="shared" si="0"/>
        <v>1.0626871356570261E-2</v>
      </c>
      <c r="D22" s="44">
        <f t="shared" si="1"/>
        <v>1.2752245627884313E-2</v>
      </c>
      <c r="E22" s="111">
        <f t="shared" si="20"/>
        <v>4.1075906109060735E-3</v>
      </c>
      <c r="F22" s="237">
        <f t="shared" si="2"/>
        <v>4.9291087330872877E-3</v>
      </c>
      <c r="H22" s="111">
        <f t="shared" si="13"/>
        <v>0.11599999999999999</v>
      </c>
      <c r="J22" s="242"/>
      <c r="K22" s="428"/>
      <c r="L22" s="463">
        <f t="shared" si="21"/>
        <v>6</v>
      </c>
      <c r="M22" s="472">
        <f t="shared" si="14"/>
        <v>11.07</v>
      </c>
      <c r="N22" s="111">
        <f t="shared" si="15"/>
        <v>3.0168718404590903E-2</v>
      </c>
      <c r="O22" s="111">
        <f t="shared" si="16"/>
        <v>3.6202462085509084E-2</v>
      </c>
      <c r="P22" s="111">
        <f t="shared" si="22"/>
        <v>1.1661075052456608E-2</v>
      </c>
      <c r="Q22" s="481">
        <f t="shared" si="17"/>
        <v>1.399329006294793E-2</v>
      </c>
      <c r="R22" s="463"/>
      <c r="S22" s="463"/>
      <c r="T22" s="540"/>
      <c r="U22" s="463">
        <f t="shared" si="23"/>
        <v>6</v>
      </c>
      <c r="V22" s="472">
        <f t="shared" si="24"/>
        <v>10.732799999999999</v>
      </c>
      <c r="W22" s="111">
        <f t="shared" si="6"/>
        <v>2.7768484321467821E-2</v>
      </c>
      <c r="X22" s="111">
        <f t="shared" si="7"/>
        <v>3.3322181185761385E-2</v>
      </c>
      <c r="Y22" s="111">
        <f t="shared" si="25"/>
        <v>1.0733315728662981E-2</v>
      </c>
      <c r="Z22" s="481">
        <f t="shared" si="8"/>
        <v>1.2879978874395577E-2</v>
      </c>
      <c r="AA22" s="275"/>
      <c r="AB22" s="540"/>
      <c r="AC22" s="463">
        <f t="shared" si="26"/>
        <v>6</v>
      </c>
      <c r="AD22" s="472">
        <f t="shared" si="18"/>
        <v>10.14</v>
      </c>
      <c r="AE22" s="111">
        <f t="shared" si="9"/>
        <v>2.3846407260220505E-2</v>
      </c>
      <c r="AF22" s="111">
        <f t="shared" si="10"/>
        <v>2.8615688712264605E-2</v>
      </c>
      <c r="AG22" s="111">
        <f t="shared" si="27"/>
        <v>9.2173204397891003E-3</v>
      </c>
      <c r="AH22" s="481">
        <f t="shared" si="11"/>
        <v>1.106078452774692E-2</v>
      </c>
    </row>
    <row r="23" spans="1:34">
      <c r="A23" s="234">
        <f t="shared" si="19"/>
        <v>7</v>
      </c>
      <c r="B23" s="235">
        <f t="shared" si="12"/>
        <v>8.75</v>
      </c>
      <c r="C23" s="55">
        <f t="shared" si="0"/>
        <v>1.6062857977050461E-2</v>
      </c>
      <c r="D23" s="44">
        <f t="shared" si="1"/>
        <v>1.9275429572460551E-2</v>
      </c>
      <c r="E23" s="111">
        <f t="shared" si="20"/>
        <v>5.4359866204802005E-3</v>
      </c>
      <c r="F23" s="237">
        <f t="shared" si="2"/>
        <v>6.5231839445762402E-3</v>
      </c>
      <c r="H23" s="111">
        <f t="shared" si="13"/>
        <v>0.13919999999999999</v>
      </c>
      <c r="J23" s="242"/>
      <c r="K23" s="428"/>
      <c r="L23" s="463">
        <f t="shared" si="21"/>
        <v>7</v>
      </c>
      <c r="M23" s="472">
        <f t="shared" si="14"/>
        <v>12.914999999999999</v>
      </c>
      <c r="N23" s="111">
        <f t="shared" si="15"/>
        <v>4.5600988552756017E-2</v>
      </c>
      <c r="O23" s="111">
        <f t="shared" si="16"/>
        <v>5.4721186263307221E-2</v>
      </c>
      <c r="P23" s="111">
        <f t="shared" si="22"/>
        <v>1.5432270148165114E-2</v>
      </c>
      <c r="Q23" s="481">
        <f t="shared" si="17"/>
        <v>1.8518724177798134E-2</v>
      </c>
      <c r="R23" s="463"/>
      <c r="S23" s="463"/>
      <c r="T23" s="540"/>
      <c r="U23" s="463">
        <f t="shared" si="23"/>
        <v>7</v>
      </c>
      <c r="V23" s="472">
        <f t="shared" si="24"/>
        <v>12.521599999999999</v>
      </c>
      <c r="W23" s="111">
        <f t="shared" si="6"/>
        <v>4.1972957508130265E-2</v>
      </c>
      <c r="X23" s="111">
        <f t="shared" si="7"/>
        <v>5.0367549009756318E-2</v>
      </c>
      <c r="Y23" s="111">
        <f t="shared" si="25"/>
        <v>1.4204473186662445E-2</v>
      </c>
      <c r="Z23" s="481">
        <f t="shared" si="8"/>
        <v>1.7045367823994934E-2</v>
      </c>
      <c r="AA23" s="275"/>
      <c r="AB23" s="540"/>
      <c r="AC23" s="463">
        <f t="shared" si="26"/>
        <v>7</v>
      </c>
      <c r="AD23" s="472">
        <f t="shared" si="18"/>
        <v>11.83</v>
      </c>
      <c r="AE23" s="111">
        <f t="shared" si="9"/>
        <v>3.6044611836484178E-2</v>
      </c>
      <c r="AF23" s="111">
        <f t="shared" si="10"/>
        <v>4.3253534203781009E-2</v>
      </c>
      <c r="AG23" s="111">
        <f t="shared" si="27"/>
        <v>1.2198204576263673E-2</v>
      </c>
      <c r="AH23" s="481">
        <f t="shared" si="11"/>
        <v>1.4637845491516407E-2</v>
      </c>
    </row>
    <row r="24" spans="1:34">
      <c r="A24" s="234">
        <f t="shared" si="19"/>
        <v>8</v>
      </c>
      <c r="B24" s="235">
        <f t="shared" si="12"/>
        <v>10</v>
      </c>
      <c r="C24" s="55">
        <f t="shared" si="0"/>
        <v>2.2974244431486667E-2</v>
      </c>
      <c r="D24" s="44">
        <f t="shared" si="1"/>
        <v>2.7569093317784E-2</v>
      </c>
      <c r="E24" s="111">
        <f t="shared" si="20"/>
        <v>6.9113864544362059E-3</v>
      </c>
      <c r="F24" s="237">
        <f t="shared" si="2"/>
        <v>8.2936637453234468E-3</v>
      </c>
      <c r="H24" s="111">
        <f t="shared" si="13"/>
        <v>0.16239999999999999</v>
      </c>
      <c r="J24" s="242"/>
      <c r="K24" s="428"/>
      <c r="L24" s="463">
        <f t="shared" si="21"/>
        <v>8</v>
      </c>
      <c r="M24" s="472">
        <f t="shared" si="14"/>
        <v>14.76</v>
      </c>
      <c r="N24" s="111">
        <f t="shared" si="15"/>
        <v>6.5221784244450867E-2</v>
      </c>
      <c r="O24" s="111">
        <f t="shared" si="16"/>
        <v>7.8266141093341041E-2</v>
      </c>
      <c r="P24" s="111">
        <f t="shared" si="22"/>
        <v>1.9620795691694851E-2</v>
      </c>
      <c r="Q24" s="481">
        <f t="shared" si="17"/>
        <v>2.3544954830033819E-2</v>
      </c>
      <c r="R24" s="463"/>
      <c r="S24" s="463"/>
      <c r="T24" s="540"/>
      <c r="U24" s="463">
        <f t="shared" si="23"/>
        <v>8</v>
      </c>
      <c r="V24" s="472">
        <f t="shared" si="24"/>
        <v>14.3104</v>
      </c>
      <c r="W24" s="111">
        <f t="shared" si="6"/>
        <v>6.0032715640137596E-2</v>
      </c>
      <c r="X24" s="111">
        <f t="shared" si="7"/>
        <v>7.203925876816511E-2</v>
      </c>
      <c r="Y24" s="111">
        <f t="shared" si="25"/>
        <v>1.8059758132007331E-2</v>
      </c>
      <c r="Z24" s="481">
        <f t="shared" si="8"/>
        <v>2.1671709758408795E-2</v>
      </c>
      <c r="AA24" s="275"/>
      <c r="AB24" s="540"/>
      <c r="AC24" s="463">
        <f t="shared" si="26"/>
        <v>8</v>
      </c>
      <c r="AD24" s="472">
        <f t="shared" si="18"/>
        <v>13.52</v>
      </c>
      <c r="AE24" s="111">
        <f t="shared" si="9"/>
        <v>5.1553573090951439E-2</v>
      </c>
      <c r="AF24" s="111">
        <f t="shared" si="10"/>
        <v>6.1864287709141721E-2</v>
      </c>
      <c r="AG24" s="111">
        <f t="shared" si="27"/>
        <v>1.5508961254467261E-2</v>
      </c>
      <c r="AH24" s="481">
        <f t="shared" si="11"/>
        <v>1.8610753505360712E-2</v>
      </c>
    </row>
    <row r="25" spans="1:34">
      <c r="A25" s="234">
        <f t="shared" si="19"/>
        <v>9</v>
      </c>
      <c r="B25" s="235">
        <f t="shared" si="12"/>
        <v>11.25</v>
      </c>
      <c r="C25" s="55">
        <f t="shared" si="0"/>
        <v>3.1501410314205759E-2</v>
      </c>
      <c r="D25" s="44">
        <f t="shared" si="1"/>
        <v>3.7801692377046912E-2</v>
      </c>
      <c r="E25" s="111">
        <f t="shared" si="20"/>
        <v>8.527165882719092E-3</v>
      </c>
      <c r="F25" s="237">
        <f t="shared" si="2"/>
        <v>1.0232599059262911E-2</v>
      </c>
      <c r="H25" s="111">
        <f t="shared" si="13"/>
        <v>0.18559999999999999</v>
      </c>
      <c r="J25" s="242"/>
      <c r="K25" s="428"/>
      <c r="L25" s="463">
        <f t="shared" si="21"/>
        <v>9</v>
      </c>
      <c r="M25" s="472">
        <f t="shared" si="14"/>
        <v>16.605</v>
      </c>
      <c r="N25" s="111">
        <f t="shared" si="15"/>
        <v>8.9429630342628755E-2</v>
      </c>
      <c r="O25" s="111">
        <f t="shared" si="16"/>
        <v>0.10731555641115451</v>
      </c>
      <c r="P25" s="111">
        <f t="shared" si="22"/>
        <v>2.4207846098177888E-2</v>
      </c>
      <c r="Q25" s="481">
        <f t="shared" si="17"/>
        <v>2.9049415317813465E-2</v>
      </c>
      <c r="R25" s="463"/>
      <c r="S25" s="463"/>
      <c r="T25" s="540"/>
      <c r="U25" s="463">
        <f t="shared" si="23"/>
        <v>9</v>
      </c>
      <c r="V25" s="472">
        <f t="shared" si="24"/>
        <v>16.0992</v>
      </c>
      <c r="W25" s="111">
        <f t="shared" si="6"/>
        <v>8.2314576799061304E-2</v>
      </c>
      <c r="X25" s="111">
        <f t="shared" si="7"/>
        <v>9.8777492158873562E-2</v>
      </c>
      <c r="Y25" s="111">
        <f t="shared" si="25"/>
        <v>2.2281861158923708E-2</v>
      </c>
      <c r="Z25" s="481">
        <f t="shared" si="8"/>
        <v>2.6738233390708448E-2</v>
      </c>
      <c r="AA25" s="275"/>
      <c r="AB25" s="540"/>
      <c r="AC25" s="463">
        <f t="shared" si="26"/>
        <v>9</v>
      </c>
      <c r="AD25" s="472">
        <f t="shared" si="18"/>
        <v>15.209999999999999</v>
      </c>
      <c r="AE25" s="111">
        <f t="shared" si="9"/>
        <v>7.068829897516539E-2</v>
      </c>
      <c r="AF25" s="111">
        <f t="shared" si="10"/>
        <v>8.4825958770198467E-2</v>
      </c>
      <c r="AG25" s="111">
        <f t="shared" si="27"/>
        <v>1.913472588421395E-2</v>
      </c>
      <c r="AH25" s="481">
        <f t="shared" si="11"/>
        <v>2.2961671061056739E-2</v>
      </c>
    </row>
    <row r="26" spans="1:34">
      <c r="A26" s="234">
        <f t="shared" si="19"/>
        <v>10</v>
      </c>
      <c r="B26" s="235">
        <f t="shared" si="12"/>
        <v>12.5</v>
      </c>
      <c r="C26" s="55">
        <f t="shared" si="0"/>
        <v>4.1779195431212758E-2</v>
      </c>
      <c r="D26" s="44">
        <f t="shared" si="1"/>
        <v>5.013503451745531E-2</v>
      </c>
      <c r="E26" s="111">
        <f t="shared" si="20"/>
        <v>1.0277785117006999E-2</v>
      </c>
      <c r="F26" s="237">
        <f t="shared" si="2"/>
        <v>1.2333342140408399E-2</v>
      </c>
      <c r="H26" s="111">
        <f t="shared" si="13"/>
        <v>0.20879999999999999</v>
      </c>
      <c r="J26" s="242"/>
      <c r="K26" s="428"/>
      <c r="L26" s="463">
        <f t="shared" si="21"/>
        <v>10</v>
      </c>
      <c r="M26" s="472">
        <f t="shared" si="14"/>
        <v>18.45</v>
      </c>
      <c r="N26" s="111">
        <f t="shared" si="15"/>
        <v>0.11860732475653289</v>
      </c>
      <c r="O26" s="111">
        <f t="shared" si="16"/>
        <v>0.14232878970783946</v>
      </c>
      <c r="P26" s="111">
        <f t="shared" si="22"/>
        <v>2.9177694413904137E-2</v>
      </c>
      <c r="Q26" s="481">
        <f t="shared" si="17"/>
        <v>3.5013233296684966E-2</v>
      </c>
      <c r="R26" s="463"/>
      <c r="S26" s="463"/>
      <c r="T26" s="540"/>
      <c r="U26" s="463">
        <f t="shared" si="23"/>
        <v>10</v>
      </c>
      <c r="V26" s="472">
        <f t="shared" si="24"/>
        <v>17.887999999999998</v>
      </c>
      <c r="W26" s="111">
        <f t="shared" si="6"/>
        <v>0.10917088335485384</v>
      </c>
      <c r="X26" s="111">
        <f t="shared" si="7"/>
        <v>0.1310050600258246</v>
      </c>
      <c r="Y26" s="111">
        <f t="shared" si="25"/>
        <v>2.6856306555792533E-2</v>
      </c>
      <c r="Z26" s="481">
        <f t="shared" si="8"/>
        <v>3.2227567866951037E-2</v>
      </c>
      <c r="AA26" s="275"/>
      <c r="AB26" s="540"/>
      <c r="AC26" s="463">
        <f t="shared" si="26"/>
        <v>10</v>
      </c>
      <c r="AD26" s="472">
        <f t="shared" si="18"/>
        <v>16.899999999999999</v>
      </c>
      <c r="AE26" s="111">
        <f t="shared" si="9"/>
        <v>9.3751366307927561E-2</v>
      </c>
      <c r="AF26" s="111">
        <f t="shared" si="10"/>
        <v>0.11250163956951306</v>
      </c>
      <c r="AG26" s="111">
        <f t="shared" si="27"/>
        <v>2.3063067332762172E-2</v>
      </c>
      <c r="AH26" s="481">
        <f t="shared" si="11"/>
        <v>2.7675680799314605E-2</v>
      </c>
    </row>
    <row r="27" spans="1:34">
      <c r="A27" s="234">
        <f t="shared" si="19"/>
        <v>11</v>
      </c>
      <c r="B27" s="235">
        <f t="shared" si="12"/>
        <v>13.75</v>
      </c>
      <c r="C27" s="55">
        <f t="shared" si="0"/>
        <v>5.3937705594166795E-2</v>
      </c>
      <c r="D27" s="44">
        <f t="shared" si="1"/>
        <v>6.4725246713000145E-2</v>
      </c>
      <c r="E27" s="111">
        <f t="shared" si="20"/>
        <v>1.2158510162954037E-2</v>
      </c>
      <c r="F27" s="237">
        <f t="shared" si="2"/>
        <v>1.4590212195544842E-2</v>
      </c>
      <c r="H27" s="111">
        <f t="shared" si="13"/>
        <v>0.23199999999999998</v>
      </c>
      <c r="J27" s="242"/>
      <c r="K27" s="428"/>
      <c r="L27" s="463">
        <f t="shared" si="21"/>
        <v>11</v>
      </c>
      <c r="M27" s="472">
        <f t="shared" si="14"/>
        <v>20.294999999999998</v>
      </c>
      <c r="N27" s="111">
        <f t="shared" si="15"/>
        <v>0.1531242260172912</v>
      </c>
      <c r="O27" s="111">
        <f t="shared" si="16"/>
        <v>0.18374907122074943</v>
      </c>
      <c r="P27" s="111">
        <f t="shared" si="22"/>
        <v>3.4516901260758306E-2</v>
      </c>
      <c r="Q27" s="481">
        <f t="shared" si="17"/>
        <v>4.1420281512909968E-2</v>
      </c>
      <c r="R27" s="463"/>
      <c r="S27" s="463"/>
      <c r="T27" s="540"/>
      <c r="U27" s="463">
        <f t="shared" si="23"/>
        <v>11</v>
      </c>
      <c r="V27" s="472">
        <f t="shared" si="24"/>
        <v>19.6768</v>
      </c>
      <c r="W27" s="111">
        <f t="shared" si="6"/>
        <v>0.14094160754110802</v>
      </c>
      <c r="X27" s="111">
        <f t="shared" si="7"/>
        <v>0.16912992904932961</v>
      </c>
      <c r="Y27" s="111">
        <f t="shared" si="25"/>
        <v>3.1770724186254179E-2</v>
      </c>
      <c r="Z27" s="481">
        <f t="shared" si="8"/>
        <v>3.8124869023505016E-2</v>
      </c>
      <c r="AA27" s="275"/>
      <c r="AB27" s="540"/>
      <c r="AC27" s="463">
        <f t="shared" si="26"/>
        <v>11</v>
      </c>
      <c r="AD27" s="472">
        <f t="shared" si="18"/>
        <v>18.59</v>
      </c>
      <c r="AE27" s="111">
        <f t="shared" si="9"/>
        <v>0.12103472895483433</v>
      </c>
      <c r="AF27" s="111">
        <f t="shared" si="10"/>
        <v>0.14524167474580119</v>
      </c>
      <c r="AG27" s="111">
        <f t="shared" si="27"/>
        <v>2.728336264690677E-2</v>
      </c>
      <c r="AH27" s="481">
        <f t="shared" si="11"/>
        <v>3.2740035176288124E-2</v>
      </c>
    </row>
    <row r="28" spans="1:34">
      <c r="A28" s="234">
        <f t="shared" si="19"/>
        <v>12</v>
      </c>
      <c r="B28" s="235">
        <f t="shared" si="12"/>
        <v>15</v>
      </c>
      <c r="C28" s="55">
        <f t="shared" si="0"/>
        <v>6.8102932294147239E-2</v>
      </c>
      <c r="D28" s="44">
        <f t="shared" si="1"/>
        <v>8.172351875297669E-2</v>
      </c>
      <c r="E28" s="111">
        <f t="shared" si="20"/>
        <v>1.4165226699980445E-2</v>
      </c>
      <c r="F28" s="237">
        <f t="shared" si="2"/>
        <v>1.6998272039976534E-2</v>
      </c>
      <c r="H28" s="111">
        <f t="shared" si="13"/>
        <v>0.25519999999999998</v>
      </c>
      <c r="J28" s="242"/>
      <c r="K28" s="428"/>
      <c r="L28" s="463">
        <f t="shared" si="21"/>
        <v>12</v>
      </c>
      <c r="M28" s="472">
        <f t="shared" si="14"/>
        <v>22.14</v>
      </c>
      <c r="N28" s="111">
        <f t="shared" si="15"/>
        <v>0.19333801247521107</v>
      </c>
      <c r="O28" s="111">
        <f t="shared" si="16"/>
        <v>0.23200561497025327</v>
      </c>
      <c r="P28" s="111">
        <f t="shared" si="22"/>
        <v>4.021378645791987E-2</v>
      </c>
      <c r="Q28" s="481">
        <f t="shared" si="17"/>
        <v>4.825654374950384E-2</v>
      </c>
      <c r="R28" s="463"/>
      <c r="S28" s="463"/>
      <c r="T28" s="540"/>
      <c r="U28" s="463">
        <f t="shared" si="23"/>
        <v>12</v>
      </c>
      <c r="V28" s="472">
        <f t="shared" si="24"/>
        <v>21.465599999999998</v>
      </c>
      <c r="W28" s="111">
        <f t="shared" si="6"/>
        <v>0.17795597068998048</v>
      </c>
      <c r="X28" s="111">
        <f t="shared" si="7"/>
        <v>0.21354716482797656</v>
      </c>
      <c r="Y28" s="111">
        <f t="shared" si="25"/>
        <v>3.7014363148872464E-2</v>
      </c>
      <c r="Z28" s="481">
        <f t="shared" si="8"/>
        <v>4.4417235778646959E-2</v>
      </c>
      <c r="AA28" s="275"/>
      <c r="AB28" s="540"/>
      <c r="AC28" s="463">
        <f t="shared" si="26"/>
        <v>12</v>
      </c>
      <c r="AD28" s="472">
        <f t="shared" si="18"/>
        <v>20.28</v>
      </c>
      <c r="AE28" s="111">
        <f t="shared" si="9"/>
        <v>0.152821108359177</v>
      </c>
      <c r="AF28" s="111">
        <f t="shared" si="10"/>
        <v>0.1833853300310124</v>
      </c>
      <c r="AG28" s="111">
        <f t="shared" si="27"/>
        <v>3.1786379404342674E-2</v>
      </c>
      <c r="AH28" s="481">
        <f t="shared" si="11"/>
        <v>3.8143655285211207E-2</v>
      </c>
    </row>
    <row r="29" spans="1:34">
      <c r="A29" s="234">
        <f t="shared" si="19"/>
        <v>13</v>
      </c>
      <c r="B29" s="235">
        <f t="shared" si="12"/>
        <v>16.25</v>
      </c>
      <c r="C29" s="55">
        <f t="shared" si="0"/>
        <v>8.4397242346188242E-2</v>
      </c>
      <c r="D29" s="44">
        <f t="shared" si="1"/>
        <v>0.10127669081542588</v>
      </c>
      <c r="E29" s="111">
        <f t="shared" si="20"/>
        <v>1.6294310052041003E-2</v>
      </c>
      <c r="F29" s="237">
        <f t="shared" si="2"/>
        <v>1.9553172062449203E-2</v>
      </c>
      <c r="H29" s="111">
        <f t="shared" si="13"/>
        <v>0.27839999999999998</v>
      </c>
      <c r="J29" s="242"/>
      <c r="K29" s="428"/>
      <c r="L29" s="463">
        <f t="shared" si="21"/>
        <v>13</v>
      </c>
      <c r="M29" s="472">
        <f t="shared" si="14"/>
        <v>23.984999999999999</v>
      </c>
      <c r="N29" s="111">
        <f t="shared" si="15"/>
        <v>0.23959607235594854</v>
      </c>
      <c r="O29" s="111">
        <f t="shared" si="16"/>
        <v>0.28751528682713823</v>
      </c>
      <c r="P29" s="111">
        <f t="shared" si="22"/>
        <v>4.6258059880737473E-2</v>
      </c>
      <c r="Q29" s="481">
        <f t="shared" si="17"/>
        <v>5.5509671856884969E-2</v>
      </c>
      <c r="R29" s="463"/>
      <c r="S29" s="463"/>
      <c r="T29" s="540"/>
      <c r="U29" s="463">
        <f t="shared" si="23"/>
        <v>13</v>
      </c>
      <c r="V29" s="472">
        <f t="shared" si="24"/>
        <v>23.2544</v>
      </c>
      <c r="W29" s="111">
        <f t="shared" si="6"/>
        <v>0.22053372269499472</v>
      </c>
      <c r="X29" s="111">
        <f t="shared" si="7"/>
        <v>0.26464046723399365</v>
      </c>
      <c r="Y29" s="111">
        <f t="shared" si="25"/>
        <v>4.2577752005014236E-2</v>
      </c>
      <c r="Z29" s="481">
        <f t="shared" si="8"/>
        <v>5.1093302406017081E-2</v>
      </c>
      <c r="AA29" s="275"/>
      <c r="AB29" s="540"/>
      <c r="AC29" s="463">
        <f t="shared" si="26"/>
        <v>13</v>
      </c>
      <c r="AD29" s="472">
        <f t="shared" si="18"/>
        <v>21.97</v>
      </c>
      <c r="AE29" s="111">
        <f t="shared" si="9"/>
        <v>0.18938509229082004</v>
      </c>
      <c r="AF29" s="111">
        <f t="shared" si="10"/>
        <v>0.22726211074898403</v>
      </c>
      <c r="AG29" s="111">
        <f t="shared" si="27"/>
        <v>3.6563983931643035E-2</v>
      </c>
      <c r="AH29" s="481">
        <f t="shared" si="11"/>
        <v>4.3876780717971638E-2</v>
      </c>
    </row>
    <row r="30" spans="1:34">
      <c r="A30" s="234">
        <f t="shared" si="19"/>
        <v>14</v>
      </c>
      <c r="B30" s="235">
        <f t="shared" si="12"/>
        <v>17.5</v>
      </c>
      <c r="C30" s="55">
        <f t="shared" si="0"/>
        <v>0.10293977338732246</v>
      </c>
      <c r="D30" s="44">
        <f t="shared" si="1"/>
        <v>0.12352772806478696</v>
      </c>
      <c r="E30" s="111">
        <f t="shared" si="20"/>
        <v>1.8542531041134222E-2</v>
      </c>
      <c r="F30" s="237">
        <f t="shared" si="2"/>
        <v>2.2251037249361064E-2</v>
      </c>
      <c r="H30" s="111">
        <f t="shared" si="13"/>
        <v>0.30159999999999998</v>
      </c>
      <c r="J30" s="242"/>
      <c r="K30" s="428"/>
      <c r="L30" s="463">
        <f t="shared" si="21"/>
        <v>14</v>
      </c>
      <c r="M30" s="472">
        <f t="shared" si="14"/>
        <v>25.83</v>
      </c>
      <c r="N30" s="111">
        <f t="shared" si="15"/>
        <v>0.29223662654337657</v>
      </c>
      <c r="O30" s="111">
        <f t="shared" si="16"/>
        <v>0.35068395185205187</v>
      </c>
      <c r="P30" s="111">
        <f t="shared" si="22"/>
        <v>5.2640554187428024E-2</v>
      </c>
      <c r="Q30" s="481">
        <f t="shared" si="17"/>
        <v>6.3168665024913626E-2</v>
      </c>
      <c r="R30" s="463"/>
      <c r="S30" s="463"/>
      <c r="T30" s="540"/>
      <c r="U30" s="463">
        <f t="shared" si="23"/>
        <v>14</v>
      </c>
      <c r="V30" s="472">
        <f t="shared" si="24"/>
        <v>25.043199999999999</v>
      </c>
      <c r="W30" s="111">
        <f t="shared" si="6"/>
        <v>0.26898617546489823</v>
      </c>
      <c r="X30" s="111">
        <f t="shared" si="7"/>
        <v>0.32278341055787785</v>
      </c>
      <c r="Y30" s="111">
        <f t="shared" si="25"/>
        <v>4.8452452769903509E-2</v>
      </c>
      <c r="Z30" s="481">
        <f t="shared" si="8"/>
        <v>5.8142943323884207E-2</v>
      </c>
      <c r="AA30" s="275"/>
      <c r="AB30" s="540"/>
      <c r="AC30" s="463">
        <f t="shared" si="26"/>
        <v>14</v>
      </c>
      <c r="AD30" s="472">
        <f t="shared" si="18"/>
        <v>23.66</v>
      </c>
      <c r="AE30" s="111">
        <f t="shared" si="9"/>
        <v>0.23099402233294211</v>
      </c>
      <c r="AF30" s="111">
        <f t="shared" si="10"/>
        <v>0.2771928267995305</v>
      </c>
      <c r="AG30" s="111">
        <f t="shared" si="27"/>
        <v>4.1608930042122072E-2</v>
      </c>
      <c r="AH30" s="481">
        <f t="shared" si="11"/>
        <v>4.9930716050546484E-2</v>
      </c>
    </row>
    <row r="31" spans="1:34">
      <c r="A31" s="234">
        <f t="shared" si="19"/>
        <v>15</v>
      </c>
      <c r="B31" s="235">
        <f t="shared" si="12"/>
        <v>18.75</v>
      </c>
      <c r="C31" s="55">
        <f t="shared" si="0"/>
        <v>0.12384675919336464</v>
      </c>
      <c r="D31" s="44">
        <f t="shared" si="1"/>
        <v>0.14861611103203756</v>
      </c>
      <c r="E31" s="111">
        <f t="shared" si="20"/>
        <v>2.090698580604218E-2</v>
      </c>
      <c r="F31" s="237">
        <f t="shared" si="2"/>
        <v>2.5088382967250616E-2</v>
      </c>
      <c r="H31" s="111">
        <f t="shared" si="13"/>
        <v>0.32479999999999998</v>
      </c>
      <c r="J31" s="242"/>
      <c r="K31" s="428"/>
      <c r="L31" s="463">
        <f t="shared" si="21"/>
        <v>15</v>
      </c>
      <c r="M31" s="472">
        <f t="shared" si="14"/>
        <v>27.675000000000001</v>
      </c>
      <c r="N31" s="111">
        <f t="shared" si="15"/>
        <v>0.35158965212425936</v>
      </c>
      <c r="O31" s="111">
        <f t="shared" si="16"/>
        <v>0.4219075825491112</v>
      </c>
      <c r="P31" s="111">
        <f t="shared" si="22"/>
        <v>5.935302558088279E-2</v>
      </c>
      <c r="Q31" s="481">
        <f t="shared" si="17"/>
        <v>7.1223630697059351E-2</v>
      </c>
      <c r="R31" s="463"/>
      <c r="S31" s="463"/>
      <c r="T31" s="540"/>
      <c r="U31" s="463">
        <f t="shared" si="23"/>
        <v>15</v>
      </c>
      <c r="V31" s="472">
        <f t="shared" si="24"/>
        <v>26.832000000000001</v>
      </c>
      <c r="W31" s="111">
        <f t="shared" si="6"/>
        <v>0.3236170529907938</v>
      </c>
      <c r="X31" s="111">
        <f t="shared" si="7"/>
        <v>0.38834046358895252</v>
      </c>
      <c r="Y31" s="111">
        <f t="shared" si="25"/>
        <v>5.4630877525895571E-2</v>
      </c>
      <c r="Z31" s="481">
        <f t="shared" si="8"/>
        <v>6.5557053031074689E-2</v>
      </c>
      <c r="AA31" s="275"/>
      <c r="AB31" s="540"/>
      <c r="AC31" s="463">
        <f t="shared" si="26"/>
        <v>15</v>
      </c>
      <c r="AD31" s="472">
        <f t="shared" si="18"/>
        <v>25.349999999999998</v>
      </c>
      <c r="AE31" s="111">
        <f t="shared" si="9"/>
        <v>0.27790872388395821</v>
      </c>
      <c r="AF31" s="111">
        <f t="shared" si="10"/>
        <v>0.33349046866074983</v>
      </c>
      <c r="AG31" s="111">
        <f t="shared" si="27"/>
        <v>4.6914701551016097E-2</v>
      </c>
      <c r="AH31" s="481">
        <f t="shared" si="11"/>
        <v>5.6297641861219314E-2</v>
      </c>
    </row>
    <row r="32" spans="1:34">
      <c r="A32" s="234">
        <f t="shared" si="19"/>
        <v>16</v>
      </c>
      <c r="B32" s="235">
        <f t="shared" ref="B32:B46" si="28">B31+$B$4</f>
        <v>19.75</v>
      </c>
      <c r="C32" s="55">
        <f t="shared" si="0"/>
        <v>0.14235117795283456</v>
      </c>
      <c r="D32" s="44">
        <f t="shared" si="1"/>
        <v>0.17082141354340147</v>
      </c>
      <c r="E32" s="111">
        <f t="shared" si="20"/>
        <v>1.8504418759469912E-2</v>
      </c>
      <c r="F32" s="237">
        <f t="shared" si="2"/>
        <v>2.2205302511363895E-2</v>
      </c>
      <c r="H32" s="111">
        <f t="shared" si="13"/>
        <v>0.34799999999999998</v>
      </c>
      <c r="J32" s="242"/>
      <c r="K32" s="428"/>
      <c r="L32" s="463">
        <f t="shared" si="21"/>
        <v>16</v>
      </c>
      <c r="M32" s="472">
        <f t="shared" ref="M32:M46" si="29">M31+$M$6</f>
        <v>29.151</v>
      </c>
      <c r="N32" s="111">
        <f t="shared" si="15"/>
        <v>0.4041220090206214</v>
      </c>
      <c r="O32" s="111">
        <f t="shared" si="16"/>
        <v>0.48494641082474566</v>
      </c>
      <c r="P32" s="111">
        <f t="shared" si="22"/>
        <v>5.2532356896362042E-2</v>
      </c>
      <c r="Q32" s="267">
        <f t="shared" si="17"/>
        <v>6.3038828275634451E-2</v>
      </c>
      <c r="R32" s="463"/>
      <c r="S32" s="463"/>
      <c r="T32" s="540"/>
      <c r="U32" s="463">
        <f t="shared" si="23"/>
        <v>16</v>
      </c>
      <c r="V32" s="472">
        <f>V31+$V$6</f>
        <v>28.308</v>
      </c>
      <c r="W32" s="111">
        <f t="shared" si="6"/>
        <v>0.37355784241949619</v>
      </c>
      <c r="X32" s="111">
        <f t="shared" si="7"/>
        <v>0.44826941090339539</v>
      </c>
      <c r="Y32" s="111">
        <f t="shared" si="25"/>
        <v>4.9940789428702392E-2</v>
      </c>
      <c r="Z32" s="267">
        <f t="shared" si="8"/>
        <v>5.9928947314442871E-2</v>
      </c>
      <c r="AA32" s="275"/>
      <c r="AB32" s="540"/>
      <c r="AC32" s="463">
        <f t="shared" si="26"/>
        <v>16</v>
      </c>
      <c r="AD32" s="472">
        <f>AD31+$AD$6</f>
        <v>26.701999999999998</v>
      </c>
      <c r="AE32" s="111">
        <f t="shared" si="9"/>
        <v>0.31943213101348589</v>
      </c>
      <c r="AF32" s="111">
        <f t="shared" si="10"/>
        <v>0.38331855721618308</v>
      </c>
      <c r="AG32" s="111">
        <f t="shared" si="27"/>
        <v>4.1523407129527679E-2</v>
      </c>
      <c r="AH32" s="267">
        <f t="shared" si="11"/>
        <v>4.9828088555433213E-2</v>
      </c>
    </row>
    <row r="33" spans="1:34">
      <c r="A33" s="234">
        <f t="shared" si="19"/>
        <v>17</v>
      </c>
      <c r="B33" s="235">
        <f t="shared" si="28"/>
        <v>20.75</v>
      </c>
      <c r="C33" s="55">
        <f t="shared" si="0"/>
        <v>0.16249864658368621</v>
      </c>
      <c r="D33" s="44">
        <f t="shared" si="1"/>
        <v>0.19499837590042343</v>
      </c>
      <c r="E33" s="111">
        <f t="shared" si="20"/>
        <v>2.014746863085165E-2</v>
      </c>
      <c r="F33" s="237">
        <f t="shared" si="2"/>
        <v>2.4176962357021981E-2</v>
      </c>
      <c r="H33" s="111">
        <f t="shared" si="13"/>
        <v>0.37119999999999997</v>
      </c>
      <c r="J33" s="242"/>
      <c r="K33" s="428"/>
      <c r="L33" s="463">
        <f t="shared" si="21"/>
        <v>17</v>
      </c>
      <c r="M33" s="472">
        <f t="shared" si="29"/>
        <v>30.626999999999999</v>
      </c>
      <c r="N33" s="111">
        <f t="shared" si="15"/>
        <v>0.4613188346238305</v>
      </c>
      <c r="O33" s="111">
        <f t="shared" si="16"/>
        <v>0.55358260154859662</v>
      </c>
      <c r="P33" s="111">
        <f t="shared" si="22"/>
        <v>5.71968256032091E-2</v>
      </c>
      <c r="Q33" s="267">
        <f t="shared" si="17"/>
        <v>6.8636190723850923E-2</v>
      </c>
      <c r="R33" s="463"/>
      <c r="S33" s="463"/>
      <c r="T33" s="540"/>
      <c r="U33" s="463">
        <f t="shared" si="23"/>
        <v>17</v>
      </c>
      <c r="V33" s="472">
        <f>V32+$V$6</f>
        <v>29.783999999999999</v>
      </c>
      <c r="W33" s="111">
        <f t="shared" si="6"/>
        <v>0.42807093333225843</v>
      </c>
      <c r="X33" s="111">
        <f t="shared" si="7"/>
        <v>0.51368511999871014</v>
      </c>
      <c r="Y33" s="111">
        <f t="shared" si="25"/>
        <v>5.4513090912762241E-2</v>
      </c>
      <c r="Z33" s="267">
        <f t="shared" si="8"/>
        <v>6.5415709095314689E-2</v>
      </c>
      <c r="AA33" s="275"/>
      <c r="AB33" s="540"/>
      <c r="AC33" s="463">
        <f t="shared" si="26"/>
        <v>17</v>
      </c>
      <c r="AD33" s="472">
        <f t="shared" ref="AD33:AD46" si="30">AD32+$AD$6</f>
        <v>28.053999999999998</v>
      </c>
      <c r="AE33" s="111">
        <f t="shared" si="9"/>
        <v>0.36464249689758577</v>
      </c>
      <c r="AF33" s="111">
        <f t="shared" si="10"/>
        <v>0.43757099627710289</v>
      </c>
      <c r="AG33" s="111">
        <f t="shared" si="27"/>
        <v>4.5210365884099879E-2</v>
      </c>
      <c r="AH33" s="267">
        <f t="shared" si="11"/>
        <v>5.4252439060919852E-2</v>
      </c>
    </row>
    <row r="34" spans="1:34">
      <c r="A34" s="234">
        <f t="shared" si="19"/>
        <v>18</v>
      </c>
      <c r="B34" s="235">
        <f t="shared" si="28"/>
        <v>21.75</v>
      </c>
      <c r="C34" s="55">
        <f t="shared" si="0"/>
        <v>0.18434529497584407</v>
      </c>
      <c r="D34" s="44">
        <f t="shared" si="1"/>
        <v>0.22121435397101288</v>
      </c>
      <c r="E34" s="111">
        <f t="shared" si="20"/>
        <v>2.1846648392157858E-2</v>
      </c>
      <c r="F34" s="237">
        <f t="shared" si="2"/>
        <v>2.6215978070589428E-2</v>
      </c>
      <c r="H34" s="111">
        <f t="shared" si="13"/>
        <v>0.39439999999999997</v>
      </c>
      <c r="J34" s="242"/>
      <c r="K34" s="428"/>
      <c r="L34" s="463">
        <f t="shared" si="21"/>
        <v>18</v>
      </c>
      <c r="M34" s="472">
        <f t="shared" si="29"/>
        <v>32.103000000000002</v>
      </c>
      <c r="N34" s="111">
        <f t="shared" si="15"/>
        <v>0.52333947657124968</v>
      </c>
      <c r="O34" s="111">
        <f t="shared" si="16"/>
        <v>0.6280073718854996</v>
      </c>
      <c r="P34" s="111">
        <f t="shared" si="22"/>
        <v>6.2020641947419186E-2</v>
      </c>
      <c r="Q34" s="267">
        <f t="shared" si="17"/>
        <v>7.4424770336903021E-2</v>
      </c>
      <c r="R34" s="463"/>
      <c r="S34" s="463"/>
      <c r="T34" s="540"/>
      <c r="U34" s="463">
        <f t="shared" si="23"/>
        <v>18</v>
      </c>
      <c r="V34" s="472">
        <f t="shared" ref="V34:V46" si="31">V33+$V$6</f>
        <v>31.259999999999998</v>
      </c>
      <c r="W34" s="111">
        <f t="shared" si="6"/>
        <v>0.48731714013280203</v>
      </c>
      <c r="X34" s="111">
        <f t="shared" si="7"/>
        <v>0.58478056815936241</v>
      </c>
      <c r="Y34" s="111">
        <f t="shared" si="25"/>
        <v>5.9246206800543599E-2</v>
      </c>
      <c r="Z34" s="267">
        <f t="shared" si="8"/>
        <v>7.1095448160652316E-2</v>
      </c>
      <c r="AA34" s="275"/>
      <c r="AB34" s="540"/>
      <c r="AC34" s="463">
        <f t="shared" si="26"/>
        <v>18</v>
      </c>
      <c r="AD34" s="472">
        <f t="shared" si="30"/>
        <v>29.405999999999999</v>
      </c>
      <c r="AE34" s="111">
        <f t="shared" si="9"/>
        <v>0.41366577546660216</v>
      </c>
      <c r="AF34" s="111">
        <f t="shared" si="10"/>
        <v>0.49639893055992257</v>
      </c>
      <c r="AG34" s="111">
        <f t="shared" si="27"/>
        <v>4.9023278569016393E-2</v>
      </c>
      <c r="AH34" s="267">
        <f t="shared" si="11"/>
        <v>5.8827934282819669E-2</v>
      </c>
    </row>
    <row r="35" spans="1:34">
      <c r="A35" s="234">
        <f t="shared" si="19"/>
        <v>19</v>
      </c>
      <c r="B35" s="235">
        <f t="shared" si="28"/>
        <v>22.75</v>
      </c>
      <c r="C35" s="55">
        <f t="shared" si="0"/>
        <v>0.20794639322185174</v>
      </c>
      <c r="D35" s="44">
        <f t="shared" si="1"/>
        <v>0.24953567186622208</v>
      </c>
      <c r="E35" s="111">
        <f t="shared" si="20"/>
        <v>2.3601098246007673E-2</v>
      </c>
      <c r="F35" s="237">
        <f t="shared" si="2"/>
        <v>2.8321317895209207E-2</v>
      </c>
      <c r="H35" s="111">
        <f t="shared" si="13"/>
        <v>0.41759999999999997</v>
      </c>
      <c r="J35" s="242"/>
      <c r="K35" s="428"/>
      <c r="L35" s="463">
        <f t="shared" si="21"/>
        <v>19</v>
      </c>
      <c r="M35" s="472">
        <f t="shared" si="29"/>
        <v>33.579000000000001</v>
      </c>
      <c r="N35" s="111">
        <f t="shared" si="15"/>
        <v>0.59034084161390277</v>
      </c>
      <c r="O35" s="111">
        <f t="shared" si="16"/>
        <v>0.70840900993668332</v>
      </c>
      <c r="P35" s="111">
        <f t="shared" si="22"/>
        <v>6.7001365042653083E-2</v>
      </c>
      <c r="Q35" s="267">
        <f t="shared" si="17"/>
        <v>8.0401638051183694E-2</v>
      </c>
      <c r="R35" s="463"/>
      <c r="S35" s="463"/>
      <c r="T35" s="540"/>
      <c r="U35" s="463">
        <f t="shared" si="23"/>
        <v>19</v>
      </c>
      <c r="V35" s="472">
        <f t="shared" si="31"/>
        <v>32.735999999999997</v>
      </c>
      <c r="W35" s="111">
        <f t="shared" si="6"/>
        <v>0.55145474456115906</v>
      </c>
      <c r="X35" s="111">
        <f t="shared" si="7"/>
        <v>0.66174569347339085</v>
      </c>
      <c r="Y35" s="111">
        <f t="shared" si="25"/>
        <v>6.4137604428357031E-2</v>
      </c>
      <c r="Z35" s="267">
        <f t="shared" si="8"/>
        <v>7.6965125314028437E-2</v>
      </c>
      <c r="AA35" s="275"/>
      <c r="AB35" s="540"/>
      <c r="AC35" s="463">
        <f t="shared" si="26"/>
        <v>19</v>
      </c>
      <c r="AD35" s="472">
        <f t="shared" si="30"/>
        <v>30.757999999999999</v>
      </c>
      <c r="AE35" s="111">
        <f t="shared" si="9"/>
        <v>0.46662599128918314</v>
      </c>
      <c r="AF35" s="111">
        <f t="shared" si="10"/>
        <v>0.55995118954701972</v>
      </c>
      <c r="AG35" s="111">
        <f t="shared" si="27"/>
        <v>5.296021582258098E-2</v>
      </c>
      <c r="AH35" s="267">
        <f t="shared" si="11"/>
        <v>6.3552258987097168E-2</v>
      </c>
    </row>
    <row r="36" spans="1:34">
      <c r="A36" s="234">
        <f t="shared" si="19"/>
        <v>20</v>
      </c>
      <c r="B36" s="235">
        <f t="shared" si="28"/>
        <v>23.75</v>
      </c>
      <c r="C36" s="55">
        <f t="shared" si="0"/>
        <v>0.23335640349609696</v>
      </c>
      <c r="D36" s="44">
        <f t="shared" si="1"/>
        <v>0.28002768419531632</v>
      </c>
      <c r="E36" s="111">
        <f t="shared" si="20"/>
        <v>2.5410010274245221E-2</v>
      </c>
      <c r="F36" s="237">
        <f t="shared" si="2"/>
        <v>3.0492012329094265E-2</v>
      </c>
      <c r="H36" s="111">
        <f t="shared" si="13"/>
        <v>0.44079999999999997</v>
      </c>
      <c r="J36" s="242"/>
      <c r="K36" s="428"/>
      <c r="L36" s="463">
        <f t="shared" si="21"/>
        <v>20</v>
      </c>
      <c r="M36" s="472">
        <f t="shared" si="29"/>
        <v>35.055</v>
      </c>
      <c r="N36" s="111">
        <f t="shared" si="15"/>
        <v>0.66247754289687333</v>
      </c>
      <c r="O36" s="111">
        <f t="shared" si="16"/>
        <v>0.79497305147624797</v>
      </c>
      <c r="P36" s="111">
        <f t="shared" si="22"/>
        <v>7.2136701282970561E-2</v>
      </c>
      <c r="Q36" s="267">
        <f t="shared" si="17"/>
        <v>8.6564041539564665E-2</v>
      </c>
      <c r="R36" s="463"/>
      <c r="S36" s="463"/>
      <c r="T36" s="540"/>
      <c r="U36" s="463">
        <f t="shared" si="23"/>
        <v>20</v>
      </c>
      <c r="V36" s="472">
        <f t="shared" si="31"/>
        <v>34.211999999999996</v>
      </c>
      <c r="W36" s="111">
        <f t="shared" si="6"/>
        <v>0.62063965261533471</v>
      </c>
      <c r="X36" s="111">
        <f t="shared" si="7"/>
        <v>0.74476758313840163</v>
      </c>
      <c r="Y36" s="111">
        <f t="shared" si="25"/>
        <v>6.9184908054175653E-2</v>
      </c>
      <c r="Z36" s="267">
        <f t="shared" si="8"/>
        <v>8.3021889665010784E-2</v>
      </c>
      <c r="AA36" s="275"/>
      <c r="AB36" s="540"/>
      <c r="AC36" s="463">
        <f t="shared" si="26"/>
        <v>20</v>
      </c>
      <c r="AD36" s="472">
        <f t="shared" si="30"/>
        <v>32.11</v>
      </c>
      <c r="AE36" s="111">
        <f t="shared" si="9"/>
        <v>0.52364535598784456</v>
      </c>
      <c r="AF36" s="111">
        <f t="shared" si="10"/>
        <v>0.62837442718541348</v>
      </c>
      <c r="AG36" s="111">
        <f t="shared" si="27"/>
        <v>5.7019364698661423E-2</v>
      </c>
      <c r="AH36" s="267">
        <f t="shared" si="11"/>
        <v>6.8423237638393711E-2</v>
      </c>
    </row>
    <row r="37" spans="1:34">
      <c r="A37" s="234">
        <f t="shared" si="19"/>
        <v>21</v>
      </c>
      <c r="B37" s="235">
        <f t="shared" si="28"/>
        <v>24.75</v>
      </c>
      <c r="C37" s="55">
        <f t="shared" si="0"/>
        <v>0.26062902666965515</v>
      </c>
      <c r="D37" s="44">
        <f t="shared" si="1"/>
        <v>0.31275483200358617</v>
      </c>
      <c r="E37" s="111">
        <f t="shared" si="20"/>
        <v>2.7272623173558191E-2</v>
      </c>
      <c r="F37" s="237">
        <f t="shared" si="2"/>
        <v>3.2727147808269831E-2</v>
      </c>
      <c r="H37" s="111">
        <f t="shared" si="13"/>
        <v>0.46399999999999997</v>
      </c>
      <c r="J37" s="242"/>
      <c r="K37" s="428"/>
      <c r="L37" s="463">
        <f t="shared" si="21"/>
        <v>21</v>
      </c>
      <c r="M37" s="472">
        <f t="shared" si="29"/>
        <v>36.530999999999999</v>
      </c>
      <c r="N37" s="111">
        <f t="shared" si="15"/>
        <v>0.73990203229458262</v>
      </c>
      <c r="O37" s="111">
        <f t="shared" si="16"/>
        <v>0.88788243875349915</v>
      </c>
      <c r="P37" s="111">
        <f t="shared" si="22"/>
        <v>7.7424489397709295E-2</v>
      </c>
      <c r="Q37" s="267">
        <f t="shared" si="17"/>
        <v>9.2909387277251149E-2</v>
      </c>
      <c r="R37" s="463"/>
      <c r="S37" s="463"/>
      <c r="T37" s="540"/>
      <c r="U37" s="463">
        <f t="shared" si="23"/>
        <v>21</v>
      </c>
      <c r="V37" s="472">
        <f t="shared" si="31"/>
        <v>35.687999999999995</v>
      </c>
      <c r="W37" s="111">
        <f t="shared" si="6"/>
        <v>0.69502553514059284</v>
      </c>
      <c r="X37" s="111">
        <f t="shared" si="7"/>
        <v>0.83403064216871137</v>
      </c>
      <c r="Y37" s="111">
        <f t="shared" si="25"/>
        <v>7.4385882525258129E-2</v>
      </c>
      <c r="Z37" s="267">
        <f t="shared" si="8"/>
        <v>8.9263059030309747E-2</v>
      </c>
      <c r="AA37" s="275"/>
      <c r="AB37" s="540"/>
      <c r="AC37" s="463">
        <f t="shared" si="26"/>
        <v>21</v>
      </c>
      <c r="AD37" s="472">
        <f t="shared" si="30"/>
        <v>33.461999999999996</v>
      </c>
      <c r="AE37" s="111">
        <f t="shared" si="9"/>
        <v>0.58484437284138924</v>
      </c>
      <c r="AF37" s="111">
        <f t="shared" si="10"/>
        <v>0.70181324740966711</v>
      </c>
      <c r="AG37" s="111">
        <f t="shared" si="27"/>
        <v>6.1199016853544674E-2</v>
      </c>
      <c r="AH37" s="267">
        <f t="shared" si="11"/>
        <v>7.3438820224253604E-2</v>
      </c>
    </row>
    <row r="38" spans="1:34">
      <c r="A38" s="234">
        <f t="shared" si="19"/>
        <v>22</v>
      </c>
      <c r="B38" s="235">
        <f t="shared" si="28"/>
        <v>25.75</v>
      </c>
      <c r="C38" s="55">
        <f t="shared" si="0"/>
        <v>0.28981724439355416</v>
      </c>
      <c r="D38" s="44">
        <f t="shared" si="1"/>
        <v>0.34778069327226496</v>
      </c>
      <c r="E38" s="111">
        <f t="shared" si="20"/>
        <v>2.9188217723899013E-2</v>
      </c>
      <c r="F38" s="237">
        <f t="shared" si="2"/>
        <v>3.5025861268678814E-2</v>
      </c>
      <c r="H38" s="111">
        <f t="shared" si="13"/>
        <v>0.48719999999999997</v>
      </c>
      <c r="J38" s="242"/>
      <c r="K38" s="428"/>
      <c r="L38" s="463">
        <f t="shared" si="21"/>
        <v>22</v>
      </c>
      <c r="M38" s="472">
        <f t="shared" si="29"/>
        <v>38.006999999999998</v>
      </c>
      <c r="N38" s="111">
        <f t="shared" si="15"/>
        <v>0.82276471988134525</v>
      </c>
      <c r="O38" s="111">
        <f t="shared" si="16"/>
        <v>0.98731766385761421</v>
      </c>
      <c r="P38" s="111">
        <f t="shared" si="22"/>
        <v>8.2862687586762629E-2</v>
      </c>
      <c r="Q38" s="267">
        <f t="shared" si="17"/>
        <v>9.9435225104115149E-2</v>
      </c>
      <c r="R38" s="463"/>
      <c r="S38" s="463"/>
      <c r="T38" s="540"/>
      <c r="U38" s="463">
        <f t="shared" si="23"/>
        <v>22</v>
      </c>
      <c r="V38" s="472">
        <f t="shared" si="31"/>
        <v>37.163999999999994</v>
      </c>
      <c r="W38" s="111">
        <f t="shared" si="6"/>
        <v>0.77476395441582147</v>
      </c>
      <c r="X38" s="111">
        <f t="shared" si="7"/>
        <v>0.92971674529898574</v>
      </c>
      <c r="Y38" s="111">
        <f t="shared" si="25"/>
        <v>7.9738419275228622E-2</v>
      </c>
      <c r="Z38" s="267">
        <f t="shared" si="8"/>
        <v>9.5686103130274341E-2</v>
      </c>
      <c r="AA38" s="275"/>
      <c r="AB38" s="540"/>
      <c r="AC38" s="463">
        <f t="shared" si="26"/>
        <v>22</v>
      </c>
      <c r="AD38" s="472">
        <f t="shared" si="30"/>
        <v>34.813999999999993</v>
      </c>
      <c r="AE38" s="111">
        <f t="shared" si="9"/>
        <v>0.65034193121860229</v>
      </c>
      <c r="AF38" s="111">
        <f t="shared" si="10"/>
        <v>0.7804103174623227</v>
      </c>
      <c r="AG38" s="111">
        <f t="shared" si="27"/>
        <v>6.549755837721305E-2</v>
      </c>
      <c r="AH38" s="267">
        <f t="shared" si="11"/>
        <v>7.8597070052655663E-2</v>
      </c>
    </row>
    <row r="39" spans="1:34">
      <c r="A39" s="234">
        <f t="shared" si="19"/>
        <v>23</v>
      </c>
      <c r="B39" s="235">
        <f t="shared" si="28"/>
        <v>26.75</v>
      </c>
      <c r="C39" s="55">
        <f t="shared" si="0"/>
        <v>0.3209733572558256</v>
      </c>
      <c r="D39" s="44">
        <f t="shared" si="1"/>
        <v>0.38516802870699068</v>
      </c>
      <c r="E39" s="111">
        <f t="shared" si="20"/>
        <v>3.1156112862271435E-2</v>
      </c>
      <c r="F39" s="237">
        <f t="shared" si="2"/>
        <v>3.7387335434725721E-2</v>
      </c>
      <c r="H39" s="111">
        <f t="shared" si="13"/>
        <v>0.51039999999999996</v>
      </c>
      <c r="J39" s="242"/>
      <c r="K39" s="428"/>
      <c r="L39" s="463">
        <f t="shared" si="21"/>
        <v>23</v>
      </c>
      <c r="M39" s="472">
        <f t="shared" si="29"/>
        <v>39.482999999999997</v>
      </c>
      <c r="N39" s="111">
        <f t="shared" si="15"/>
        <v>0.91121408225575484</v>
      </c>
      <c r="O39" s="111">
        <f t="shared" si="16"/>
        <v>1.0934568987069058</v>
      </c>
      <c r="P39" s="111">
        <f t="shared" si="22"/>
        <v>8.844936237440959E-2</v>
      </c>
      <c r="Q39" s="267">
        <f t="shared" si="17"/>
        <v>0.10613923484929151</v>
      </c>
      <c r="R39" s="463"/>
      <c r="S39" s="463"/>
      <c r="T39" s="540"/>
      <c r="U39" s="463">
        <f t="shared" si="23"/>
        <v>23</v>
      </c>
      <c r="V39" s="472">
        <f t="shared" si="31"/>
        <v>38.639999999999993</v>
      </c>
      <c r="W39" s="111">
        <f t="shared" si="6"/>
        <v>0.86000447865169738</v>
      </c>
      <c r="X39" s="111">
        <f t="shared" si="7"/>
        <v>1.0320053743820368</v>
      </c>
      <c r="Y39" s="111">
        <f t="shared" si="25"/>
        <v>8.5240524235875914E-2</v>
      </c>
      <c r="Z39" s="267">
        <f t="shared" si="8"/>
        <v>0.1022886290830511</v>
      </c>
      <c r="AA39" s="275"/>
      <c r="AB39" s="540"/>
      <c r="AC39" s="463">
        <f t="shared" si="26"/>
        <v>23</v>
      </c>
      <c r="AD39" s="472">
        <f t="shared" si="30"/>
        <v>36.16599999999999</v>
      </c>
      <c r="AE39" s="111">
        <f t="shared" si="9"/>
        <v>0.72025539220161949</v>
      </c>
      <c r="AF39" s="111">
        <f t="shared" si="10"/>
        <v>0.86430647064194333</v>
      </c>
      <c r="AG39" s="111">
        <f t="shared" si="27"/>
        <v>6.9913460983017206E-2</v>
      </c>
      <c r="AH39" s="267">
        <f t="shared" si="11"/>
        <v>8.3896153179620639E-2</v>
      </c>
    </row>
    <row r="40" spans="1:34">
      <c r="A40" s="234">
        <f t="shared" si="19"/>
        <v>24</v>
      </c>
      <c r="B40" s="235">
        <f t="shared" si="28"/>
        <v>27.75</v>
      </c>
      <c r="C40" s="55">
        <f t="shared" si="0"/>
        <v>0.35414901951649613</v>
      </c>
      <c r="D40" s="44">
        <f t="shared" si="1"/>
        <v>0.42497882341979537</v>
      </c>
      <c r="E40" s="111">
        <f t="shared" si="20"/>
        <v>3.3175662260670535E-2</v>
      </c>
      <c r="F40" s="237">
        <f t="shared" si="2"/>
        <v>3.9810794712804638E-2</v>
      </c>
      <c r="H40" s="111">
        <f t="shared" si="13"/>
        <v>0.53359999999999996</v>
      </c>
      <c r="J40" s="242"/>
      <c r="K40" s="428"/>
      <c r="L40" s="463">
        <f t="shared" si="21"/>
        <v>24</v>
      </c>
      <c r="M40" s="472">
        <f t="shared" si="29"/>
        <v>40.958999999999996</v>
      </c>
      <c r="N40" s="111">
        <f t="shared" si="15"/>
        <v>1.0053967611501575</v>
      </c>
      <c r="O40" s="111">
        <f t="shared" si="16"/>
        <v>1.2064761133801889</v>
      </c>
      <c r="P40" s="111">
        <f t="shared" si="22"/>
        <v>9.4182678894402683E-2</v>
      </c>
      <c r="Q40" s="267">
        <f t="shared" si="17"/>
        <v>0.11301921467328321</v>
      </c>
      <c r="R40" s="463"/>
      <c r="S40" s="463"/>
      <c r="T40" s="540"/>
      <c r="U40" s="463">
        <f t="shared" si="23"/>
        <v>24</v>
      </c>
      <c r="V40" s="472">
        <f t="shared" si="31"/>
        <v>40.115999999999993</v>
      </c>
      <c r="W40" s="111">
        <f t="shared" si="6"/>
        <v>0.95089478598800314</v>
      </c>
      <c r="X40" s="111">
        <f t="shared" si="7"/>
        <v>1.1410737431856037</v>
      </c>
      <c r="Y40" s="111">
        <f t="shared" si="25"/>
        <v>9.0890307336305765E-2</v>
      </c>
      <c r="Z40" s="267">
        <f t="shared" si="8"/>
        <v>0.10906836880356692</v>
      </c>
      <c r="AA40" s="275"/>
      <c r="AB40" s="540"/>
      <c r="AC40" s="463">
        <f t="shared" si="26"/>
        <v>24</v>
      </c>
      <c r="AD40" s="472">
        <f t="shared" si="30"/>
        <v>37.517999999999986</v>
      </c>
      <c r="AE40" s="111">
        <f t="shared" si="9"/>
        <v>0.79470066653029925</v>
      </c>
      <c r="AF40" s="111">
        <f t="shared" si="10"/>
        <v>0.95364079983635908</v>
      </c>
      <c r="AG40" s="111">
        <f t="shared" si="27"/>
        <v>7.4445274328679756E-2</v>
      </c>
      <c r="AH40" s="267">
        <f t="shared" si="11"/>
        <v>8.933432919441571E-2</v>
      </c>
    </row>
    <row r="41" spans="1:34">
      <c r="A41" s="234">
        <f t="shared" si="19"/>
        <v>25</v>
      </c>
      <c r="B41" s="235">
        <f t="shared" si="28"/>
        <v>28.75</v>
      </c>
      <c r="C41" s="55">
        <f t="shared" si="0"/>
        <v>0.38939527084354214</v>
      </c>
      <c r="D41" s="44">
        <f t="shared" si="1"/>
        <v>0.46727432501225052</v>
      </c>
      <c r="E41" s="111">
        <f t="shared" si="20"/>
        <v>3.5246251327046008E-2</v>
      </c>
      <c r="F41" s="237">
        <f t="shared" si="2"/>
        <v>4.2295501592455209E-2</v>
      </c>
      <c r="H41" s="111">
        <f t="shared" si="13"/>
        <v>0.55679999999999996</v>
      </c>
      <c r="J41" s="242"/>
      <c r="K41" s="428"/>
      <c r="L41" s="463">
        <f t="shared" si="21"/>
        <v>25</v>
      </c>
      <c r="M41" s="472">
        <f t="shared" si="29"/>
        <v>42.434999999999995</v>
      </c>
      <c r="N41" s="111">
        <f t="shared" si="15"/>
        <v>1.1054576535261307</v>
      </c>
      <c r="O41" s="111">
        <f t="shared" si="16"/>
        <v>1.3265491842313568</v>
      </c>
      <c r="P41" s="111">
        <f t="shared" si="22"/>
        <v>0.10006089237597315</v>
      </c>
      <c r="Q41" s="267">
        <f t="shared" si="17"/>
        <v>0.12007307085116778</v>
      </c>
      <c r="R41" s="463"/>
      <c r="S41" s="463"/>
      <c r="T41" s="540"/>
      <c r="U41" s="463">
        <f t="shared" si="23"/>
        <v>25</v>
      </c>
      <c r="V41" s="472">
        <f t="shared" si="31"/>
        <v>41.591999999999992</v>
      </c>
      <c r="W41" s="111">
        <f t="shared" si="6"/>
        <v>1.0475807593164643</v>
      </c>
      <c r="X41" s="111">
        <f t="shared" si="7"/>
        <v>1.2570969111797572</v>
      </c>
      <c r="Y41" s="111">
        <f t="shared" si="25"/>
        <v>9.6685973328461183E-2</v>
      </c>
      <c r="Z41" s="267">
        <f t="shared" si="8"/>
        <v>0.11602316799415341</v>
      </c>
      <c r="AA41" s="275"/>
      <c r="AB41" s="540"/>
      <c r="AC41" s="463">
        <f t="shared" si="26"/>
        <v>25</v>
      </c>
      <c r="AD41" s="472">
        <f t="shared" si="30"/>
        <v>38.869999999999983</v>
      </c>
      <c r="AE41" s="111">
        <f t="shared" si="9"/>
        <v>0.87379228581683299</v>
      </c>
      <c r="AF41" s="111">
        <f t="shared" si="10"/>
        <v>1.0485507429801995</v>
      </c>
      <c r="AG41" s="111">
        <f t="shared" si="27"/>
        <v>7.9091619286533743E-2</v>
      </c>
      <c r="AH41" s="267">
        <f t="shared" si="11"/>
        <v>9.4909943143840492E-2</v>
      </c>
    </row>
    <row r="42" spans="1:34">
      <c r="A42" s="234">
        <f t="shared" si="19"/>
        <v>26</v>
      </c>
      <c r="B42" s="235">
        <f t="shared" si="28"/>
        <v>29.75</v>
      </c>
      <c r="C42" s="55">
        <f t="shared" si="0"/>
        <v>0.42676256540720547</v>
      </c>
      <c r="D42" s="44">
        <f t="shared" si="1"/>
        <v>0.51211507848864657</v>
      </c>
      <c r="E42" s="111">
        <f t="shared" si="20"/>
        <v>3.7367294563663334E-2</v>
      </c>
      <c r="F42" s="237">
        <f t="shared" si="2"/>
        <v>4.4840753476395996E-2</v>
      </c>
      <c r="H42" s="111">
        <f t="shared" si="13"/>
        <v>0.57999999999999996</v>
      </c>
      <c r="J42" s="242"/>
      <c r="K42" s="428"/>
      <c r="L42" s="463">
        <f t="shared" si="21"/>
        <v>26</v>
      </c>
      <c r="M42" s="472">
        <f t="shared" si="29"/>
        <v>43.910999999999994</v>
      </c>
      <c r="N42" s="111">
        <f t="shared" si="15"/>
        <v>1.2115399941705942</v>
      </c>
      <c r="O42" s="111">
        <f t="shared" si="16"/>
        <v>1.453847993004713</v>
      </c>
      <c r="P42" s="111">
        <f t="shared" si="22"/>
        <v>0.10608234064446354</v>
      </c>
      <c r="Q42" s="267">
        <f t="shared" si="17"/>
        <v>0.12729880877335623</v>
      </c>
      <c r="R42" s="463"/>
      <c r="S42" s="463"/>
      <c r="T42" s="540"/>
      <c r="U42" s="463">
        <f t="shared" si="23"/>
        <v>26</v>
      </c>
      <c r="V42" s="472">
        <f t="shared" si="31"/>
        <v>43.067999999999991</v>
      </c>
      <c r="W42" s="111">
        <f t="shared" si="6"/>
        <v>1.1502065730453293</v>
      </c>
      <c r="X42" s="111">
        <f t="shared" si="7"/>
        <v>1.3802478876543951</v>
      </c>
      <c r="Y42" s="111">
        <f t="shared" si="25"/>
        <v>0.10262581372886492</v>
      </c>
      <c r="Z42" s="267">
        <f t="shared" si="8"/>
        <v>0.12315097647463791</v>
      </c>
      <c r="AA42" s="275"/>
      <c r="AB42" s="540"/>
      <c r="AC42" s="463">
        <f t="shared" si="26"/>
        <v>26</v>
      </c>
      <c r="AD42" s="472">
        <f t="shared" si="30"/>
        <v>40.22199999999998</v>
      </c>
      <c r="AE42" s="111">
        <f t="shared" si="9"/>
        <v>0.95764346783258514</v>
      </c>
      <c r="AF42" s="111">
        <f t="shared" si="10"/>
        <v>1.1491721613991022</v>
      </c>
      <c r="AG42" s="111">
        <f t="shared" si="27"/>
        <v>8.3851182015752146E-2</v>
      </c>
      <c r="AH42" s="267">
        <f t="shared" si="11"/>
        <v>0.10062141841890257</v>
      </c>
    </row>
    <row r="43" spans="1:34">
      <c r="A43" s="234">
        <f t="shared" si="19"/>
        <v>27</v>
      </c>
      <c r="B43" s="235">
        <f t="shared" si="28"/>
        <v>30.75</v>
      </c>
      <c r="C43" s="55">
        <f t="shared" si="0"/>
        <v>0.46630079863654134</v>
      </c>
      <c r="D43" s="44">
        <f t="shared" si="1"/>
        <v>0.55956095836384956</v>
      </c>
      <c r="E43" s="111">
        <f t="shared" si="20"/>
        <v>3.9538233229335862E-2</v>
      </c>
      <c r="F43" s="237">
        <f t="shared" si="2"/>
        <v>4.7445879875203031E-2</v>
      </c>
      <c r="H43" s="111">
        <f t="shared" si="13"/>
        <v>0.60319999999999996</v>
      </c>
      <c r="J43" s="242"/>
      <c r="K43" s="428"/>
      <c r="L43" s="463">
        <f t="shared" si="21"/>
        <v>27</v>
      </c>
      <c r="M43" s="472">
        <f t="shared" si="29"/>
        <v>45.386999999999993</v>
      </c>
      <c r="N43" s="111">
        <f t="shared" si="15"/>
        <v>1.3237854316551994</v>
      </c>
      <c r="O43" s="111">
        <f t="shared" si="16"/>
        <v>1.5885425179862391</v>
      </c>
      <c r="P43" s="111">
        <f t="shared" si="22"/>
        <v>0.11224543748460514</v>
      </c>
      <c r="Q43" s="267">
        <f t="shared" si="17"/>
        <v>0.13469452498152615</v>
      </c>
      <c r="R43" s="463"/>
      <c r="S43" s="463"/>
      <c r="T43" s="540"/>
      <c r="U43" s="463">
        <f t="shared" si="23"/>
        <v>27</v>
      </c>
      <c r="V43" s="472">
        <f t="shared" si="31"/>
        <v>44.54399999999999</v>
      </c>
      <c r="W43" s="111">
        <f t="shared" si="6"/>
        <v>1.2589147727514234</v>
      </c>
      <c r="X43" s="111">
        <f t="shared" si="7"/>
        <v>1.5106977273017079</v>
      </c>
      <c r="Y43" s="111">
        <f t="shared" si="25"/>
        <v>0.10870819970609413</v>
      </c>
      <c r="Z43" s="267">
        <f t="shared" si="8"/>
        <v>0.13044983964731297</v>
      </c>
      <c r="AA43" s="275"/>
      <c r="AB43" s="540"/>
      <c r="AC43" s="463">
        <f t="shared" si="26"/>
        <v>27</v>
      </c>
      <c r="AD43" s="472">
        <f t="shared" si="30"/>
        <v>41.573999999999977</v>
      </c>
      <c r="AE43" s="111">
        <f t="shared" si="9"/>
        <v>1.0463661765490482</v>
      </c>
      <c r="AF43" s="111">
        <f t="shared" si="10"/>
        <v>1.2556394118588579</v>
      </c>
      <c r="AG43" s="111">
        <f t="shared" si="27"/>
        <v>8.8722708716463039E-2</v>
      </c>
      <c r="AH43" s="267">
        <f t="shared" si="11"/>
        <v>0.10646725045975565</v>
      </c>
    </row>
    <row r="44" spans="1:34">
      <c r="A44" s="234">
        <f t="shared" si="19"/>
        <v>28</v>
      </c>
      <c r="B44" s="235">
        <f t="shared" si="28"/>
        <v>31.75</v>
      </c>
      <c r="C44" s="55">
        <f t="shared" si="0"/>
        <v>0.50805933189810215</v>
      </c>
      <c r="D44" s="44">
        <f t="shared" si="1"/>
        <v>0.60967119827772254</v>
      </c>
      <c r="E44" s="111">
        <f t="shared" si="20"/>
        <v>4.1758533261560815E-2</v>
      </c>
      <c r="F44" s="237">
        <f t="shared" si="2"/>
        <v>5.0110239913872978E-2</v>
      </c>
      <c r="H44" s="111">
        <f t="shared" si="13"/>
        <v>0.62639999999999996</v>
      </c>
      <c r="J44" s="242"/>
      <c r="K44" s="428"/>
      <c r="L44" s="463">
        <f t="shared" si="21"/>
        <v>28</v>
      </c>
      <c r="M44" s="472">
        <f t="shared" si="29"/>
        <v>46.862999999999992</v>
      </c>
      <c r="N44" s="111">
        <f t="shared" si="15"/>
        <v>1.4423340983968809</v>
      </c>
      <c r="O44" s="111">
        <f t="shared" si="16"/>
        <v>1.7308009180762569</v>
      </c>
      <c r="P44" s="111">
        <f t="shared" si="22"/>
        <v>0.11854866674168152</v>
      </c>
      <c r="Q44" s="267">
        <f t="shared" si="17"/>
        <v>0.14225840009001781</v>
      </c>
      <c r="R44" s="463"/>
      <c r="S44" s="463"/>
      <c r="T44" s="540"/>
      <c r="U44" s="463">
        <f t="shared" si="23"/>
        <v>28</v>
      </c>
      <c r="V44" s="472">
        <f t="shared" si="31"/>
        <v>46.019999999999989</v>
      </c>
      <c r="W44" s="111">
        <f t="shared" si="6"/>
        <v>1.3738463485258681</v>
      </c>
      <c r="X44" s="111">
        <f t="shared" si="7"/>
        <v>1.6486156182310416</v>
      </c>
      <c r="Y44" s="111">
        <f t="shared" si="25"/>
        <v>0.11493157577444468</v>
      </c>
      <c r="Z44" s="267">
        <f t="shared" si="8"/>
        <v>0.13791789092933363</v>
      </c>
      <c r="AA44" s="275"/>
      <c r="AB44" s="540"/>
      <c r="AC44" s="463">
        <f t="shared" si="26"/>
        <v>28</v>
      </c>
      <c r="AD44" s="472">
        <f t="shared" si="30"/>
        <v>42.925999999999974</v>
      </c>
      <c r="AE44" s="111">
        <f t="shared" si="9"/>
        <v>1.1400711775161461</v>
      </c>
      <c r="AF44" s="111">
        <f t="shared" si="10"/>
        <v>1.3680854130193751</v>
      </c>
      <c r="AG44" s="111">
        <f t="shared" si="27"/>
        <v>9.3705000967097885E-2</v>
      </c>
      <c r="AH44" s="267">
        <f t="shared" si="11"/>
        <v>0.11244600116051745</v>
      </c>
    </row>
    <row r="45" spans="1:34">
      <c r="A45" s="234">
        <f t="shared" si="19"/>
        <v>29</v>
      </c>
      <c r="B45" s="235">
        <f t="shared" si="28"/>
        <v>32.75</v>
      </c>
      <c r="C45" s="55">
        <f t="shared" si="0"/>
        <v>0.55208701532026661</v>
      </c>
      <c r="D45" s="44">
        <f t="shared" si="1"/>
        <v>0.66250441838431995</v>
      </c>
      <c r="E45" s="111">
        <f t="shared" si="20"/>
        <v>4.4027683422164454E-2</v>
      </c>
      <c r="F45" s="237">
        <f t="shared" si="2"/>
        <v>5.2833220106597342E-2</v>
      </c>
      <c r="H45" s="111">
        <f t="shared" si="13"/>
        <v>0.64959999999999996</v>
      </c>
      <c r="J45" s="242"/>
      <c r="K45" s="428"/>
      <c r="L45" s="463">
        <f t="shared" si="21"/>
        <v>29</v>
      </c>
      <c r="M45" s="472">
        <f t="shared" si="29"/>
        <v>48.338999999999992</v>
      </c>
      <c r="N45" s="111">
        <f t="shared" si="15"/>
        <v>1.5673246754540249</v>
      </c>
      <c r="O45" s="111">
        <f t="shared" si="16"/>
        <v>1.8807896105448298</v>
      </c>
      <c r="P45" s="111">
        <f t="shared" si="22"/>
        <v>0.124990577057144</v>
      </c>
      <c r="Q45" s="267">
        <f t="shared" si="17"/>
        <v>0.1499886924685728</v>
      </c>
      <c r="R45" s="463"/>
      <c r="S45" s="463"/>
      <c r="T45" s="540"/>
      <c r="U45" s="463">
        <f t="shared" si="23"/>
        <v>29</v>
      </c>
      <c r="V45" s="472">
        <f t="shared" si="31"/>
        <v>47.495999999999988</v>
      </c>
      <c r="W45" s="111">
        <f t="shared" si="6"/>
        <v>1.4951408027045856</v>
      </c>
      <c r="X45" s="111">
        <f t="shared" si="7"/>
        <v>1.7941689632455027</v>
      </c>
      <c r="Y45" s="111">
        <f t="shared" si="25"/>
        <v>0.12129445417871754</v>
      </c>
      <c r="Z45" s="267">
        <f t="shared" si="8"/>
        <v>0.14555334501446104</v>
      </c>
      <c r="AA45" s="275"/>
      <c r="AB45" s="540"/>
      <c r="AC45" s="463">
        <f t="shared" si="26"/>
        <v>29</v>
      </c>
      <c r="AD45" s="472">
        <f t="shared" si="30"/>
        <v>44.27799999999997</v>
      </c>
      <c r="AE45" s="111">
        <f t="shared" si="9"/>
        <v>1.2388680890793851</v>
      </c>
      <c r="AF45" s="111">
        <f t="shared" si="10"/>
        <v>1.486641706895262</v>
      </c>
      <c r="AG45" s="111">
        <f t="shared" si="27"/>
        <v>9.8796911563238998E-2</v>
      </c>
      <c r="AH45" s="267">
        <f t="shared" si="11"/>
        <v>0.11855629387588679</v>
      </c>
    </row>
    <row r="46" spans="1:34">
      <c r="A46" s="234">
        <f t="shared" si="19"/>
        <v>30</v>
      </c>
      <c r="B46" s="235">
        <f t="shared" si="28"/>
        <v>33.75</v>
      </c>
      <c r="C46" s="55">
        <f t="shared" si="0"/>
        <v>0.59843220895641047</v>
      </c>
      <c r="D46" s="44">
        <f t="shared" si="1"/>
        <v>0.71811865074769254</v>
      </c>
      <c r="E46" s="111">
        <f t="shared" si="20"/>
        <v>4.6345193636143867E-2</v>
      </c>
      <c r="F46" s="237">
        <f t="shared" si="2"/>
        <v>5.5614232363372637E-2</v>
      </c>
      <c r="H46" s="81">
        <f>F9*30</f>
        <v>0.69495353298163787</v>
      </c>
      <c r="J46" s="242"/>
      <c r="K46" s="428"/>
      <c r="L46" s="463">
        <f t="shared" si="21"/>
        <v>30</v>
      </c>
      <c r="M46" s="472">
        <f t="shared" si="29"/>
        <v>49.814999999999991</v>
      </c>
      <c r="N46" s="111">
        <f t="shared" si="15"/>
        <v>1.6988944526067906</v>
      </c>
      <c r="O46" s="111">
        <f t="shared" si="16"/>
        <v>2.0386733431281487</v>
      </c>
      <c r="P46" s="111">
        <f t="shared" si="22"/>
        <v>0.13156977715276574</v>
      </c>
      <c r="Q46" s="267">
        <f t="shared" si="17"/>
        <v>0.15788373258331889</v>
      </c>
      <c r="R46" s="463"/>
      <c r="S46" s="463"/>
      <c r="T46" s="540"/>
      <c r="U46" s="463">
        <f t="shared" si="23"/>
        <v>30</v>
      </c>
      <c r="V46" s="472">
        <f t="shared" si="31"/>
        <v>48.971999999999987</v>
      </c>
      <c r="W46" s="111">
        <f t="shared" si="6"/>
        <v>1.6229362125793656</v>
      </c>
      <c r="X46" s="111">
        <f t="shared" si="7"/>
        <v>1.9475234550952387</v>
      </c>
      <c r="Y46" s="111">
        <f t="shared" si="25"/>
        <v>0.12779540987478</v>
      </c>
      <c r="Z46" s="267">
        <f t="shared" si="8"/>
        <v>0.15335449184973599</v>
      </c>
      <c r="AA46" s="275"/>
      <c r="AB46" s="540"/>
      <c r="AC46" s="463">
        <f t="shared" si="26"/>
        <v>30</v>
      </c>
      <c r="AD46" s="472">
        <f t="shared" si="30"/>
        <v>45.629999999999967</v>
      </c>
      <c r="AE46" s="111">
        <f t="shared" si="9"/>
        <v>1.3428654298694329</v>
      </c>
      <c r="AF46" s="111">
        <f t="shared" si="10"/>
        <v>1.6114385158433195</v>
      </c>
      <c r="AG46" s="111">
        <f t="shared" si="27"/>
        <v>0.10399734079004785</v>
      </c>
      <c r="AH46" s="267">
        <f t="shared" si="11"/>
        <v>0.12479680894805742</v>
      </c>
    </row>
    <row r="47" spans="1:34" ht="15">
      <c r="A47" s="29"/>
      <c r="B47" s="36"/>
      <c r="C47" s="36"/>
      <c r="E47" s="36"/>
      <c r="J47" s="242"/>
      <c r="M47" s="462"/>
      <c r="N47" s="462"/>
      <c r="Q47" s="462"/>
      <c r="Y47" s="278"/>
      <c r="Z47" s="279" t="s">
        <v>787</v>
      </c>
      <c r="AA47" s="275"/>
      <c r="AC47" s="464"/>
      <c r="AD47" s="464"/>
      <c r="AE47" s="464"/>
      <c r="AG47" s="278"/>
      <c r="AH47" s="279" t="s">
        <v>787</v>
      </c>
    </row>
    <row r="48" spans="1:34">
      <c r="G48" s="39"/>
      <c r="I48" s="46"/>
      <c r="J48" s="245"/>
      <c r="K48" s="46"/>
      <c r="L48" s="467"/>
      <c r="M48" s="467"/>
      <c r="N48" s="467"/>
      <c r="O48" s="467"/>
      <c r="P48" s="467"/>
      <c r="Q48" s="467"/>
      <c r="R48" s="467"/>
      <c r="S48" s="467"/>
      <c r="T48" s="542"/>
      <c r="U48" s="467"/>
      <c r="V48" s="467"/>
      <c r="W48" s="467"/>
      <c r="X48" s="467"/>
      <c r="Y48" s="275"/>
      <c r="AB48" s="542"/>
      <c r="AC48" s="467"/>
      <c r="AD48" s="467"/>
      <c r="AE48" s="467"/>
      <c r="AF48" s="467"/>
      <c r="AG48" s="275"/>
      <c r="AH48" s="270"/>
    </row>
    <row r="49" spans="1:49">
      <c r="G49" s="36"/>
      <c r="H49" s="36"/>
      <c r="I49" s="36"/>
      <c r="J49" s="244"/>
      <c r="K49" s="36"/>
      <c r="L49" s="468"/>
      <c r="M49" s="468"/>
      <c r="N49" s="468"/>
      <c r="O49" s="468"/>
      <c r="P49" s="468"/>
      <c r="Q49" s="468"/>
      <c r="R49" s="468"/>
      <c r="S49" s="468"/>
      <c r="T49" s="543"/>
      <c r="U49" s="468"/>
      <c r="V49" s="468"/>
      <c r="W49" s="468"/>
      <c r="X49" s="468"/>
      <c r="Y49" s="274"/>
      <c r="AB49" s="543"/>
      <c r="AC49" s="468"/>
      <c r="AD49" s="468"/>
      <c r="AE49" s="468"/>
      <c r="AF49" s="468"/>
      <c r="AG49" s="274"/>
      <c r="AH49" s="270"/>
    </row>
    <row r="50" spans="1:49" ht="16">
      <c r="J50" s="244"/>
      <c r="K50" s="36"/>
      <c r="AA50" s="280" t="s">
        <v>788</v>
      </c>
      <c r="AC50" s="464"/>
      <c r="AD50" s="464"/>
      <c r="AE50" s="464"/>
      <c r="AG50" s="270"/>
      <c r="AH50" s="270"/>
    </row>
    <row r="51" spans="1:49" ht="15">
      <c r="A51" s="29"/>
      <c r="B51" s="36"/>
      <c r="C51" s="36"/>
      <c r="D51" s="36"/>
      <c r="E51" s="36"/>
      <c r="F51" s="36"/>
      <c r="G51" s="36"/>
      <c r="H51" s="36"/>
      <c r="I51" s="36"/>
      <c r="J51" s="244"/>
      <c r="K51" s="36"/>
      <c r="AA51" s="279" t="s">
        <v>622</v>
      </c>
      <c r="AC51" s="464"/>
      <c r="AD51" s="464"/>
      <c r="AE51" s="464"/>
      <c r="AG51" s="270"/>
      <c r="AH51" s="270"/>
    </row>
    <row r="52" spans="1:49">
      <c r="A52" s="29"/>
      <c r="B52" s="36"/>
      <c r="C52" s="36"/>
      <c r="D52" s="36"/>
      <c r="E52" s="36"/>
      <c r="F52" s="36"/>
      <c r="G52" s="36"/>
      <c r="H52" s="36"/>
      <c r="I52" s="36"/>
      <c r="J52" s="244"/>
      <c r="K52" s="36"/>
      <c r="L52" s="468"/>
      <c r="M52" s="468"/>
      <c r="N52" s="468"/>
      <c r="O52" s="468"/>
      <c r="P52" s="468"/>
      <c r="Q52" s="468"/>
      <c r="R52" s="468"/>
      <c r="S52" s="468"/>
      <c r="T52" s="543"/>
      <c r="U52" s="468"/>
      <c r="V52" s="468"/>
      <c r="W52" s="468"/>
      <c r="X52" s="468"/>
      <c r="Y52" s="274"/>
      <c r="AB52" s="543"/>
      <c r="AC52" s="468"/>
      <c r="AD52" s="468"/>
      <c r="AE52" s="468"/>
      <c r="AF52" s="468"/>
      <c r="AG52" s="274"/>
      <c r="AH52" s="270"/>
    </row>
    <row r="53" spans="1:49">
      <c r="A53" s="58"/>
      <c r="B53" s="33"/>
      <c r="C53" s="36"/>
      <c r="D53" s="36"/>
      <c r="E53" s="36"/>
      <c r="F53" s="36"/>
      <c r="G53" s="36"/>
      <c r="H53" s="36"/>
      <c r="I53" s="36"/>
      <c r="J53" s="244"/>
      <c r="K53" s="36"/>
      <c r="L53" s="468"/>
      <c r="M53" s="468"/>
      <c r="N53" s="468"/>
      <c r="O53" s="468"/>
      <c r="P53" s="468"/>
      <c r="Q53" s="468"/>
      <c r="R53" s="468"/>
      <c r="S53" s="468"/>
      <c r="T53" s="543"/>
      <c r="U53" s="468"/>
      <c r="V53" s="468"/>
      <c r="W53" s="468"/>
      <c r="X53" s="468"/>
      <c r="Y53" s="274"/>
      <c r="Z53" s="274"/>
      <c r="AA53" s="274"/>
      <c r="AB53" s="543"/>
      <c r="AC53" s="468"/>
      <c r="AD53" s="468"/>
      <c r="AE53" s="468"/>
      <c r="AF53" s="468"/>
      <c r="AG53" s="274"/>
      <c r="AH53" s="274"/>
      <c r="AI53" s="35"/>
      <c r="AJ53" s="35"/>
      <c r="AL53" s="35"/>
      <c r="AM53" s="35"/>
      <c r="AN53" s="106"/>
      <c r="AO53" s="106"/>
      <c r="AQ53" s="35"/>
      <c r="AU53" s="2"/>
      <c r="AV53" s="2"/>
      <c r="AW53" s="2"/>
    </row>
    <row r="54" spans="1:49">
      <c r="A54" s="2"/>
      <c r="B54" s="2"/>
      <c r="C54" s="2"/>
      <c r="D54" s="2"/>
      <c r="E54" s="2"/>
      <c r="F54" s="2"/>
      <c r="G54" s="2"/>
      <c r="I54" s="2"/>
      <c r="J54" s="247"/>
      <c r="K54" s="2"/>
      <c r="L54" s="469"/>
      <c r="M54" s="469"/>
      <c r="N54" s="469"/>
      <c r="O54" s="469"/>
      <c r="P54" s="469"/>
      <c r="Q54" s="469"/>
      <c r="R54" s="469"/>
      <c r="S54" s="469"/>
      <c r="T54" s="540"/>
      <c r="U54" s="469"/>
      <c r="V54" s="469"/>
      <c r="W54" s="469"/>
      <c r="X54" s="469"/>
      <c r="Y54" s="271"/>
      <c r="Z54" s="271"/>
      <c r="AA54" s="274"/>
      <c r="AB54" s="540"/>
      <c r="AC54" s="469"/>
      <c r="AD54" s="469"/>
      <c r="AE54" s="469"/>
      <c r="AF54" s="469"/>
      <c r="AG54" s="271"/>
      <c r="AH54" s="271"/>
      <c r="AI54" s="35"/>
      <c r="AK54" s="35"/>
      <c r="AL54" s="35"/>
      <c r="AP54" s="35"/>
      <c r="AT54" s="2"/>
      <c r="AU54" s="2"/>
      <c r="AV54" s="2"/>
    </row>
    <row r="55" spans="1:49">
      <c r="A55" s="29"/>
      <c r="B55" s="29"/>
      <c r="C55" s="2"/>
      <c r="D55" s="2"/>
      <c r="E55" s="2"/>
      <c r="F55" s="2"/>
      <c r="G55" s="2"/>
      <c r="I55" s="2"/>
      <c r="J55" s="247"/>
      <c r="K55" s="2"/>
      <c r="L55" s="469"/>
      <c r="M55" s="469"/>
      <c r="N55" s="469"/>
      <c r="O55" s="469"/>
      <c r="P55" s="469"/>
      <c r="Q55" s="469"/>
      <c r="R55" s="469"/>
      <c r="S55" s="469"/>
      <c r="T55" s="540"/>
      <c r="U55" s="469"/>
      <c r="V55" s="469"/>
      <c r="W55" s="469"/>
      <c r="X55" s="469"/>
      <c r="Y55" s="271"/>
      <c r="Z55" s="271"/>
      <c r="AA55" s="274"/>
      <c r="AB55" s="540"/>
      <c r="AC55" s="469"/>
      <c r="AD55" s="469"/>
      <c r="AE55" s="469"/>
      <c r="AF55" s="469"/>
      <c r="AG55" s="271"/>
      <c r="AH55" s="271"/>
      <c r="AI55" s="35"/>
      <c r="AK55" s="35"/>
      <c r="AL55" s="35"/>
      <c r="AP55" s="35"/>
      <c r="AT55" s="2"/>
      <c r="AU55" s="2"/>
      <c r="AV55" s="2"/>
    </row>
    <row r="56" spans="1:49">
      <c r="A56" s="2"/>
      <c r="B56" s="29"/>
      <c r="C56" s="29"/>
      <c r="D56" s="29"/>
      <c r="E56" s="29"/>
      <c r="F56" s="29"/>
      <c r="G56" s="29"/>
      <c r="H56" s="42"/>
      <c r="I56" s="29"/>
      <c r="J56" s="248"/>
      <c r="K56" s="29"/>
      <c r="L56" s="470"/>
      <c r="M56" s="470"/>
      <c r="N56" s="470"/>
      <c r="O56" s="470"/>
      <c r="P56" s="470"/>
      <c r="Q56" s="470"/>
      <c r="R56" s="470"/>
      <c r="S56" s="470"/>
      <c r="T56" s="541"/>
      <c r="U56" s="470"/>
      <c r="V56" s="470"/>
      <c r="W56" s="470"/>
      <c r="X56" s="470"/>
      <c r="Y56" s="272"/>
      <c r="Z56" s="272"/>
      <c r="AA56" s="274"/>
      <c r="AB56" s="541"/>
      <c r="AC56" s="470"/>
      <c r="AD56" s="470"/>
      <c r="AE56" s="470"/>
      <c r="AF56" s="470"/>
      <c r="AG56" s="272"/>
      <c r="AH56" s="272"/>
      <c r="AI56" s="35"/>
      <c r="AK56" s="35"/>
      <c r="AL56" s="35"/>
      <c r="AP56" s="35"/>
      <c r="AT56" s="2"/>
      <c r="AU56" s="2"/>
      <c r="AV56" s="2"/>
    </row>
    <row r="57" spans="1:49">
      <c r="A57" s="2"/>
      <c r="B57" s="29"/>
      <c r="C57" s="56"/>
      <c r="D57" s="44"/>
      <c r="E57" s="44"/>
      <c r="F57" s="49"/>
      <c r="G57" s="52"/>
      <c r="H57" s="54"/>
      <c r="I57" s="51"/>
      <c r="J57" s="249"/>
      <c r="K57" s="53"/>
      <c r="L57" s="467"/>
      <c r="M57" s="467"/>
      <c r="N57" s="467"/>
      <c r="O57" s="467"/>
      <c r="P57" s="467"/>
      <c r="Q57" s="467"/>
      <c r="R57" s="467"/>
      <c r="S57" s="467"/>
      <c r="T57" s="542"/>
      <c r="U57" s="467"/>
      <c r="V57" s="467"/>
      <c r="W57" s="467"/>
      <c r="X57" s="467"/>
      <c r="Y57" s="275"/>
      <c r="Z57" s="275"/>
      <c r="AA57" s="274"/>
      <c r="AB57" s="542"/>
      <c r="AC57" s="467"/>
      <c r="AD57" s="467"/>
      <c r="AE57" s="467"/>
      <c r="AF57" s="467"/>
      <c r="AG57" s="275"/>
      <c r="AH57" s="275"/>
      <c r="AI57" s="35"/>
      <c r="AK57" s="35"/>
      <c r="AL57" s="35"/>
      <c r="AP57" s="35"/>
      <c r="AT57" s="2"/>
      <c r="AU57" s="2"/>
      <c r="AV57" s="2"/>
    </row>
    <row r="58" spans="1:49">
      <c r="A58" s="2"/>
      <c r="B58" s="29"/>
      <c r="C58" s="56"/>
      <c r="D58" s="44"/>
      <c r="E58" s="44"/>
      <c r="F58" s="49"/>
      <c r="G58" s="52"/>
      <c r="H58" s="36"/>
      <c r="I58" s="51"/>
      <c r="J58" s="249"/>
      <c r="K58" s="53"/>
      <c r="L58" s="467"/>
      <c r="M58" s="467"/>
      <c r="N58" s="467"/>
      <c r="O58" s="467"/>
      <c r="P58" s="467"/>
      <c r="Q58" s="467"/>
      <c r="R58" s="467"/>
      <c r="S58" s="467"/>
      <c r="T58" s="542"/>
      <c r="U58" s="467"/>
      <c r="V58" s="467"/>
      <c r="W58" s="467"/>
      <c r="X58" s="467"/>
      <c r="Y58" s="275"/>
      <c r="Z58" s="275"/>
      <c r="AA58" s="274"/>
      <c r="AB58" s="542"/>
      <c r="AC58" s="467"/>
      <c r="AD58" s="467"/>
      <c r="AE58" s="467"/>
      <c r="AF58" s="467"/>
      <c r="AG58" s="275"/>
      <c r="AH58" s="275"/>
      <c r="AI58" s="35"/>
      <c r="AK58" s="35"/>
      <c r="AL58" s="35"/>
      <c r="AP58" s="35"/>
      <c r="AT58" s="2"/>
      <c r="AU58" s="2"/>
      <c r="AV58" s="2"/>
    </row>
    <row r="59" spans="1:49">
      <c r="A59" s="2"/>
      <c r="B59" s="29"/>
      <c r="C59" s="56"/>
      <c r="D59" s="44"/>
      <c r="E59" s="44"/>
      <c r="F59" s="49"/>
      <c r="G59" s="52"/>
      <c r="H59" s="36"/>
      <c r="I59" s="51"/>
      <c r="J59" s="249"/>
      <c r="K59" s="53"/>
      <c r="L59" s="467"/>
      <c r="M59" s="467"/>
      <c r="N59" s="467"/>
      <c r="O59" s="467"/>
      <c r="P59" s="467"/>
      <c r="Q59" s="467"/>
      <c r="R59" s="467"/>
      <c r="S59" s="467"/>
      <c r="T59" s="542"/>
      <c r="U59" s="467"/>
      <c r="V59" s="467"/>
      <c r="W59" s="467"/>
      <c r="X59" s="467"/>
      <c r="Y59" s="275"/>
      <c r="Z59" s="275"/>
      <c r="AA59" s="274"/>
      <c r="AB59" s="542"/>
      <c r="AC59" s="467"/>
      <c r="AD59" s="467"/>
      <c r="AE59" s="467"/>
      <c r="AF59" s="467"/>
      <c r="AG59" s="275"/>
      <c r="AH59" s="275"/>
      <c r="AI59" s="35"/>
      <c r="AK59" s="35"/>
      <c r="AL59" s="35"/>
      <c r="AP59" s="35"/>
      <c r="AT59" s="2"/>
      <c r="AU59" s="2"/>
      <c r="AV59" s="2"/>
    </row>
    <row r="60" spans="1:49">
      <c r="A60" s="2"/>
      <c r="B60" s="29"/>
      <c r="C60" s="56"/>
      <c r="D60" s="44"/>
      <c r="E60" s="44"/>
      <c r="F60" s="49"/>
      <c r="G60" s="52"/>
      <c r="H60" s="36"/>
      <c r="I60" s="51"/>
      <c r="J60" s="249"/>
      <c r="K60" s="53"/>
      <c r="L60" s="467"/>
      <c r="M60" s="467"/>
      <c r="N60" s="467"/>
      <c r="O60" s="467"/>
      <c r="P60" s="467"/>
      <c r="Q60" s="467"/>
      <c r="R60" s="467"/>
      <c r="S60" s="467"/>
      <c r="T60" s="542"/>
      <c r="U60" s="467"/>
      <c r="V60" s="467"/>
      <c r="W60" s="467"/>
      <c r="X60" s="467"/>
      <c r="Y60" s="275"/>
      <c r="Z60" s="275"/>
      <c r="AA60" s="274"/>
      <c r="AB60" s="542"/>
      <c r="AC60" s="467"/>
      <c r="AD60" s="467"/>
      <c r="AE60" s="467"/>
      <c r="AF60" s="467"/>
      <c r="AG60" s="275"/>
      <c r="AH60" s="275"/>
      <c r="AI60" s="35"/>
      <c r="AK60" s="35"/>
      <c r="AL60" s="35"/>
      <c r="AP60" s="35"/>
      <c r="AT60" s="2"/>
      <c r="AU60" s="2"/>
      <c r="AV60" s="2"/>
    </row>
    <row r="61" spans="1:49">
      <c r="A61" s="2"/>
      <c r="B61" s="29"/>
      <c r="C61" s="56"/>
      <c r="D61" s="44"/>
      <c r="E61" s="44"/>
      <c r="F61" s="49"/>
      <c r="G61" s="52"/>
      <c r="H61" s="36"/>
      <c r="I61" s="51"/>
      <c r="J61" s="249"/>
      <c r="K61" s="53"/>
      <c r="L61" s="467"/>
      <c r="M61" s="467"/>
      <c r="N61" s="467"/>
      <c r="O61" s="467"/>
      <c r="P61" s="467"/>
      <c r="Q61" s="467"/>
      <c r="R61" s="467"/>
      <c r="S61" s="467"/>
      <c r="T61" s="542"/>
      <c r="U61" s="467"/>
      <c r="V61" s="467"/>
      <c r="W61" s="467"/>
      <c r="X61" s="467"/>
      <c r="Y61" s="275"/>
      <c r="Z61" s="275"/>
      <c r="AA61" s="274"/>
      <c r="AB61" s="542"/>
      <c r="AC61" s="467"/>
      <c r="AD61" s="467"/>
      <c r="AE61" s="467"/>
      <c r="AF61" s="467"/>
      <c r="AG61" s="275"/>
      <c r="AH61" s="275"/>
      <c r="AI61" s="35"/>
      <c r="AK61" s="35"/>
      <c r="AL61" s="35"/>
      <c r="AP61" s="35"/>
      <c r="AT61" s="2"/>
      <c r="AU61" s="2"/>
      <c r="AV61" s="2"/>
    </row>
    <row r="62" spans="1:49">
      <c r="A62" s="2"/>
      <c r="B62" s="29"/>
      <c r="C62" s="56"/>
      <c r="D62" s="44"/>
      <c r="E62" s="44"/>
      <c r="F62" s="49"/>
      <c r="G62" s="52"/>
      <c r="H62" s="36"/>
      <c r="I62" s="51"/>
      <c r="J62" s="249"/>
      <c r="K62" s="53"/>
      <c r="L62" s="467"/>
      <c r="M62" s="467"/>
      <c r="N62" s="467"/>
      <c r="O62" s="467"/>
      <c r="P62" s="467"/>
      <c r="Q62" s="467"/>
      <c r="R62" s="467"/>
      <c r="S62" s="467"/>
      <c r="T62" s="542"/>
      <c r="U62" s="467"/>
      <c r="V62" s="467"/>
      <c r="W62" s="467"/>
      <c r="X62" s="467"/>
      <c r="Y62" s="275"/>
      <c r="Z62" s="275"/>
      <c r="AA62" s="274"/>
      <c r="AB62" s="542"/>
      <c r="AC62" s="467"/>
      <c r="AD62" s="467"/>
      <c r="AE62" s="467"/>
      <c r="AF62" s="467"/>
      <c r="AG62" s="275"/>
      <c r="AH62" s="275"/>
      <c r="AI62" s="35"/>
      <c r="AK62" s="35"/>
      <c r="AL62" s="35"/>
      <c r="AP62" s="35"/>
      <c r="AT62" s="2"/>
      <c r="AU62" s="2"/>
      <c r="AV62" s="2"/>
    </row>
    <row r="63" spans="1:49">
      <c r="A63" s="2"/>
      <c r="B63" s="29"/>
      <c r="C63" s="56"/>
      <c r="D63" s="44"/>
      <c r="E63" s="44"/>
      <c r="F63" s="49"/>
      <c r="G63" s="52"/>
      <c r="H63" s="36"/>
      <c r="I63" s="51"/>
      <c r="J63" s="249"/>
      <c r="K63" s="53"/>
      <c r="L63" s="467"/>
      <c r="M63" s="467"/>
      <c r="N63" s="467"/>
      <c r="O63" s="467"/>
      <c r="P63" s="467"/>
      <c r="Q63" s="467"/>
      <c r="R63" s="467"/>
      <c r="S63" s="467"/>
      <c r="T63" s="542"/>
      <c r="U63" s="467"/>
      <c r="V63" s="467"/>
      <c r="W63" s="467"/>
      <c r="X63" s="467"/>
      <c r="Y63" s="275"/>
      <c r="Z63" s="275"/>
      <c r="AA63" s="274"/>
      <c r="AB63" s="542"/>
      <c r="AC63" s="467"/>
      <c r="AD63" s="467"/>
      <c r="AE63" s="467"/>
      <c r="AF63" s="467"/>
      <c r="AG63" s="275"/>
      <c r="AH63" s="275"/>
      <c r="AI63" s="35"/>
      <c r="AK63" s="35"/>
      <c r="AL63" s="35"/>
      <c r="AP63" s="35"/>
      <c r="AT63" s="2"/>
      <c r="AU63" s="2"/>
      <c r="AV63" s="2"/>
    </row>
    <row r="64" spans="1:49">
      <c r="A64" s="2"/>
      <c r="B64" s="29"/>
      <c r="C64" s="56"/>
      <c r="D64" s="44"/>
      <c r="E64" s="44"/>
      <c r="F64" s="49"/>
      <c r="G64" s="52"/>
      <c r="H64" s="36"/>
      <c r="I64" s="51"/>
      <c r="J64" s="249"/>
      <c r="K64" s="53"/>
      <c r="L64" s="467"/>
      <c r="M64" s="467"/>
      <c r="N64" s="467"/>
      <c r="O64" s="467"/>
      <c r="P64" s="467"/>
      <c r="Q64" s="467"/>
      <c r="R64" s="467"/>
      <c r="S64" s="467"/>
      <c r="T64" s="542"/>
      <c r="U64" s="467"/>
      <c r="V64" s="467"/>
      <c r="W64" s="467"/>
      <c r="X64" s="467"/>
      <c r="Y64" s="275"/>
      <c r="Z64" s="275"/>
      <c r="AA64" s="274"/>
      <c r="AB64" s="542"/>
      <c r="AC64" s="467"/>
      <c r="AD64" s="467"/>
      <c r="AE64" s="467"/>
      <c r="AF64" s="467"/>
      <c r="AG64" s="275"/>
      <c r="AH64" s="275"/>
      <c r="AI64" s="35"/>
      <c r="AK64" s="35"/>
      <c r="AL64" s="35"/>
      <c r="AP64" s="35"/>
      <c r="AT64" s="2"/>
      <c r="AU64" s="2"/>
      <c r="AV64" s="2"/>
    </row>
    <row r="65" spans="1:48">
      <c r="A65" s="2"/>
      <c r="B65" s="29"/>
      <c r="C65" s="56"/>
      <c r="D65" s="44"/>
      <c r="E65" s="44"/>
      <c r="F65" s="49"/>
      <c r="G65" s="52"/>
      <c r="H65" s="36"/>
      <c r="I65" s="51"/>
      <c r="J65" s="249"/>
      <c r="K65" s="53"/>
      <c r="L65" s="467"/>
      <c r="M65" s="467"/>
      <c r="N65" s="467"/>
      <c r="O65" s="467"/>
      <c r="P65" s="467"/>
      <c r="Q65" s="467"/>
      <c r="R65" s="467"/>
      <c r="S65" s="467"/>
      <c r="T65" s="542"/>
      <c r="U65" s="467"/>
      <c r="V65" s="467"/>
      <c r="W65" s="467"/>
      <c r="X65" s="467"/>
      <c r="Y65" s="275"/>
      <c r="Z65" s="275"/>
      <c r="AA65" s="274"/>
      <c r="AB65" s="542"/>
      <c r="AC65" s="467"/>
      <c r="AD65" s="467"/>
      <c r="AE65" s="467"/>
      <c r="AF65" s="467"/>
      <c r="AG65" s="275"/>
      <c r="AH65" s="275"/>
      <c r="AI65" s="35"/>
      <c r="AK65" s="35"/>
      <c r="AL65" s="35"/>
      <c r="AP65" s="35"/>
      <c r="AT65" s="2"/>
      <c r="AU65" s="2"/>
      <c r="AV65" s="2"/>
    </row>
    <row r="66" spans="1:48">
      <c r="A66" s="2"/>
      <c r="B66" s="29"/>
      <c r="C66" s="56"/>
      <c r="D66" s="44"/>
      <c r="E66" s="44"/>
      <c r="F66" s="49"/>
      <c r="G66" s="52"/>
      <c r="H66" s="36"/>
      <c r="I66" s="51"/>
      <c r="J66" s="249"/>
      <c r="K66" s="53"/>
      <c r="L66" s="467"/>
      <c r="M66" s="467"/>
      <c r="N66" s="467"/>
      <c r="O66" s="467"/>
      <c r="P66" s="467"/>
      <c r="Q66" s="467"/>
      <c r="R66" s="467"/>
      <c r="S66" s="467"/>
      <c r="T66" s="542"/>
      <c r="U66" s="467"/>
      <c r="V66" s="467"/>
      <c r="W66" s="467"/>
      <c r="X66" s="467"/>
      <c r="Y66" s="275"/>
      <c r="Z66" s="275"/>
      <c r="AA66" s="274"/>
      <c r="AB66" s="542"/>
      <c r="AC66" s="467"/>
      <c r="AD66" s="467"/>
      <c r="AE66" s="467"/>
      <c r="AF66" s="467"/>
      <c r="AG66" s="275"/>
      <c r="AH66" s="275"/>
      <c r="AI66" s="35"/>
      <c r="AK66" s="35"/>
      <c r="AL66" s="35"/>
      <c r="AP66" s="35"/>
      <c r="AT66" s="2"/>
      <c r="AU66" s="2"/>
      <c r="AV66" s="2"/>
    </row>
    <row r="67" spans="1:48">
      <c r="A67" s="2"/>
      <c r="B67" s="29"/>
      <c r="C67" s="56"/>
      <c r="D67" s="44"/>
      <c r="E67" s="44"/>
      <c r="F67" s="49"/>
      <c r="G67" s="52"/>
      <c r="H67" s="36"/>
      <c r="I67" s="51"/>
      <c r="J67" s="249"/>
      <c r="K67" s="53"/>
      <c r="L67" s="467"/>
      <c r="M67" s="467"/>
      <c r="N67" s="467"/>
      <c r="O67" s="467"/>
      <c r="P67" s="467"/>
      <c r="Q67" s="467"/>
      <c r="R67" s="467"/>
      <c r="S67" s="467"/>
      <c r="T67" s="542"/>
      <c r="U67" s="467"/>
      <c r="V67" s="467"/>
      <c r="W67" s="467"/>
      <c r="X67" s="467"/>
      <c r="Y67" s="275"/>
      <c r="Z67" s="275"/>
      <c r="AA67" s="274"/>
      <c r="AB67" s="542"/>
      <c r="AC67" s="467"/>
      <c r="AD67" s="467"/>
      <c r="AE67" s="467"/>
      <c r="AF67" s="467"/>
      <c r="AG67" s="275"/>
      <c r="AH67" s="275"/>
      <c r="AI67" s="35"/>
      <c r="AK67" s="35"/>
      <c r="AL67" s="35"/>
      <c r="AP67" s="35"/>
      <c r="AT67" s="2"/>
      <c r="AU67" s="2"/>
      <c r="AV67" s="2"/>
    </row>
    <row r="68" spans="1:48">
      <c r="A68" s="2"/>
      <c r="B68" s="29"/>
      <c r="C68" s="56"/>
      <c r="D68" s="44"/>
      <c r="E68" s="44"/>
      <c r="F68" s="49"/>
      <c r="G68" s="52"/>
      <c r="H68" s="36"/>
      <c r="I68" s="51"/>
      <c r="J68" s="249"/>
      <c r="K68" s="53"/>
      <c r="L68" s="467"/>
      <c r="M68" s="467"/>
      <c r="N68" s="467"/>
      <c r="O68" s="467"/>
      <c r="P68" s="467"/>
      <c r="Q68" s="467"/>
      <c r="R68" s="467"/>
      <c r="S68" s="467"/>
      <c r="T68" s="542"/>
      <c r="U68" s="467"/>
      <c r="V68" s="467"/>
      <c r="W68" s="467"/>
      <c r="X68" s="467"/>
      <c r="Y68" s="275"/>
      <c r="Z68" s="275"/>
      <c r="AA68" s="274"/>
      <c r="AB68" s="542"/>
      <c r="AC68" s="467"/>
      <c r="AD68" s="467"/>
      <c r="AE68" s="467"/>
      <c r="AF68" s="467"/>
      <c r="AG68" s="275"/>
      <c r="AH68" s="275"/>
      <c r="AI68" s="35"/>
      <c r="AK68" s="35"/>
      <c r="AL68" s="35"/>
      <c r="AP68" s="35"/>
      <c r="AT68" s="2"/>
      <c r="AU68" s="2"/>
      <c r="AV68" s="2"/>
    </row>
    <row r="69" spans="1:48">
      <c r="A69" s="2"/>
      <c r="B69" s="29"/>
      <c r="C69" s="56"/>
      <c r="D69" s="44"/>
      <c r="E69" s="44"/>
      <c r="F69" s="49"/>
      <c r="G69" s="52"/>
      <c r="H69" s="36"/>
      <c r="I69" s="51"/>
      <c r="J69" s="249"/>
      <c r="K69" s="53"/>
      <c r="L69" s="467"/>
      <c r="M69" s="467"/>
      <c r="N69" s="467"/>
      <c r="O69" s="467"/>
      <c r="P69" s="467"/>
      <c r="Q69" s="467"/>
      <c r="R69" s="467"/>
      <c r="S69" s="467"/>
      <c r="T69" s="542"/>
      <c r="U69" s="467"/>
      <c r="V69" s="467"/>
      <c r="W69" s="467"/>
      <c r="X69" s="467"/>
      <c r="Y69" s="275"/>
      <c r="Z69" s="275"/>
      <c r="AA69" s="274"/>
      <c r="AB69" s="542"/>
      <c r="AC69" s="467"/>
      <c r="AD69" s="467"/>
      <c r="AE69" s="467"/>
      <c r="AF69" s="467"/>
      <c r="AG69" s="275"/>
      <c r="AH69" s="275"/>
      <c r="AI69" s="35"/>
      <c r="AK69" s="35"/>
      <c r="AL69" s="35"/>
      <c r="AP69" s="35"/>
      <c r="AT69" s="2"/>
      <c r="AU69" s="2"/>
      <c r="AV69" s="2"/>
    </row>
    <row r="70" spans="1:48">
      <c r="A70" s="2"/>
      <c r="B70" s="29"/>
      <c r="C70" s="56"/>
      <c r="D70" s="44"/>
      <c r="E70" s="44"/>
      <c r="F70" s="49"/>
      <c r="G70" s="52"/>
      <c r="H70" s="36"/>
      <c r="I70" s="51"/>
      <c r="J70" s="249"/>
      <c r="K70" s="53"/>
      <c r="L70" s="467"/>
      <c r="M70" s="467"/>
      <c r="N70" s="467"/>
      <c r="O70" s="467"/>
      <c r="P70" s="467"/>
      <c r="Q70" s="467"/>
      <c r="R70" s="467"/>
      <c r="S70" s="467"/>
      <c r="T70" s="542"/>
      <c r="U70" s="467"/>
      <c r="V70" s="467"/>
      <c r="W70" s="467"/>
      <c r="X70" s="467"/>
      <c r="Y70" s="275"/>
      <c r="Z70" s="275"/>
      <c r="AA70" s="274"/>
      <c r="AB70" s="542"/>
      <c r="AC70" s="467"/>
      <c r="AD70" s="467"/>
      <c r="AE70" s="467"/>
      <c r="AF70" s="467"/>
      <c r="AG70" s="275"/>
      <c r="AH70" s="275"/>
      <c r="AI70" s="35"/>
      <c r="AK70" s="35"/>
      <c r="AL70" s="35"/>
      <c r="AP70" s="35"/>
      <c r="AT70" s="2"/>
      <c r="AU70" s="2"/>
      <c r="AV70" s="2"/>
    </row>
    <row r="71" spans="1:48">
      <c r="A71" s="2"/>
      <c r="B71" s="29"/>
      <c r="C71" s="56"/>
      <c r="D71" s="44"/>
      <c r="E71" s="44"/>
      <c r="F71" s="49"/>
      <c r="G71" s="52"/>
      <c r="H71" s="36"/>
      <c r="I71" s="51"/>
      <c r="J71" s="249"/>
      <c r="K71" s="53"/>
      <c r="L71" s="467"/>
      <c r="M71" s="467"/>
      <c r="N71" s="467"/>
      <c r="O71" s="467"/>
      <c r="P71" s="467"/>
      <c r="Q71" s="467"/>
      <c r="R71" s="467"/>
      <c r="S71" s="467"/>
      <c r="T71" s="542"/>
      <c r="U71" s="467"/>
      <c r="V71" s="467"/>
      <c r="W71" s="467"/>
      <c r="X71" s="467"/>
      <c r="Y71" s="275"/>
      <c r="Z71" s="275"/>
      <c r="AA71" s="274"/>
      <c r="AB71" s="542"/>
      <c r="AC71" s="467"/>
      <c r="AD71" s="467"/>
      <c r="AE71" s="467"/>
      <c r="AF71" s="467"/>
      <c r="AG71" s="275"/>
      <c r="AH71" s="275"/>
      <c r="AI71" s="35"/>
      <c r="AK71" s="35"/>
      <c r="AL71" s="35"/>
      <c r="AP71" s="35"/>
      <c r="AT71" s="2"/>
      <c r="AU71" s="2"/>
      <c r="AV71" s="2"/>
    </row>
    <row r="72" spans="1:48">
      <c r="A72" s="2"/>
      <c r="B72" s="29"/>
      <c r="C72" s="56"/>
      <c r="D72" s="44"/>
      <c r="E72" s="44"/>
      <c r="F72" s="49"/>
      <c r="G72" s="52"/>
      <c r="H72" s="36"/>
      <c r="I72" s="51"/>
      <c r="J72" s="249"/>
      <c r="K72" s="53"/>
      <c r="L72" s="467"/>
      <c r="M72" s="467"/>
      <c r="N72" s="467"/>
      <c r="O72" s="467"/>
      <c r="P72" s="467"/>
      <c r="Q72" s="467"/>
      <c r="R72" s="467"/>
      <c r="S72" s="467"/>
      <c r="T72" s="542"/>
      <c r="U72" s="467"/>
      <c r="V72" s="467"/>
      <c r="W72" s="467"/>
      <c r="X72" s="467"/>
      <c r="Y72" s="275"/>
      <c r="Z72" s="275"/>
      <c r="AA72" s="274"/>
      <c r="AB72" s="542"/>
      <c r="AC72" s="467"/>
      <c r="AD72" s="467"/>
      <c r="AE72" s="467"/>
      <c r="AF72" s="467"/>
      <c r="AG72" s="275"/>
      <c r="AH72" s="275"/>
      <c r="AI72" s="35"/>
      <c r="AK72" s="35"/>
      <c r="AL72" s="35"/>
      <c r="AP72" s="35"/>
      <c r="AT72" s="2"/>
      <c r="AU72" s="2"/>
      <c r="AV72" s="2"/>
    </row>
    <row r="73" spans="1:48">
      <c r="A73" s="2"/>
      <c r="B73" s="29"/>
      <c r="C73" s="56"/>
      <c r="D73" s="44"/>
      <c r="E73" s="44"/>
      <c r="F73" s="49"/>
      <c r="G73" s="52"/>
      <c r="H73" s="36"/>
      <c r="I73" s="51"/>
      <c r="J73" s="249"/>
      <c r="K73" s="53"/>
      <c r="L73" s="467"/>
      <c r="M73" s="467"/>
      <c r="N73" s="467"/>
      <c r="O73" s="467"/>
      <c r="P73" s="467"/>
      <c r="Q73" s="467"/>
      <c r="R73" s="467"/>
      <c r="S73" s="467"/>
      <c r="T73" s="542"/>
      <c r="U73" s="467"/>
      <c r="V73" s="467"/>
      <c r="W73" s="467"/>
      <c r="X73" s="467"/>
      <c r="Y73" s="275"/>
      <c r="Z73" s="275"/>
      <c r="AA73" s="274"/>
      <c r="AB73" s="542"/>
      <c r="AC73" s="467"/>
      <c r="AD73" s="467"/>
      <c r="AE73" s="467"/>
      <c r="AF73" s="467"/>
      <c r="AG73" s="275"/>
      <c r="AH73" s="275"/>
      <c r="AI73" s="35"/>
      <c r="AK73" s="35"/>
      <c r="AL73" s="35"/>
      <c r="AP73" s="35"/>
      <c r="AT73" s="2"/>
      <c r="AU73" s="2"/>
      <c r="AV73" s="2"/>
    </row>
    <row r="74" spans="1:48">
      <c r="A74" s="2"/>
      <c r="B74" s="29"/>
      <c r="C74" s="56"/>
      <c r="D74" s="44"/>
      <c r="E74" s="44"/>
      <c r="F74" s="49"/>
      <c r="G74" s="52"/>
      <c r="H74" s="36"/>
      <c r="I74" s="51"/>
      <c r="J74" s="249"/>
      <c r="K74" s="53"/>
      <c r="L74" s="467"/>
      <c r="M74" s="467"/>
      <c r="N74" s="467"/>
      <c r="O74" s="467"/>
      <c r="P74" s="467"/>
      <c r="Q74" s="467"/>
      <c r="R74" s="467"/>
      <c r="S74" s="467"/>
      <c r="T74" s="542"/>
      <c r="U74" s="467"/>
      <c r="V74" s="467"/>
      <c r="W74" s="467"/>
      <c r="X74" s="467"/>
      <c r="Y74" s="275"/>
      <c r="Z74" s="275"/>
      <c r="AA74" s="274"/>
      <c r="AB74" s="542"/>
      <c r="AC74" s="467"/>
      <c r="AD74" s="467"/>
      <c r="AE74" s="467"/>
      <c r="AF74" s="467"/>
      <c r="AG74" s="275"/>
      <c r="AH74" s="275"/>
      <c r="AI74" s="35"/>
      <c r="AK74" s="35"/>
      <c r="AL74" s="35"/>
      <c r="AP74" s="35"/>
      <c r="AT74" s="2"/>
      <c r="AU74" s="2"/>
      <c r="AV74" s="2"/>
    </row>
    <row r="75" spans="1:48">
      <c r="A75" s="2"/>
      <c r="B75" s="29"/>
      <c r="C75" s="56"/>
      <c r="D75" s="44"/>
      <c r="E75" s="44"/>
      <c r="F75" s="49"/>
      <c r="G75" s="52"/>
      <c r="H75" s="36"/>
      <c r="I75" s="51"/>
      <c r="J75" s="249"/>
      <c r="K75" s="53"/>
      <c r="L75" s="467"/>
      <c r="M75" s="467"/>
      <c r="N75" s="467"/>
      <c r="O75" s="467"/>
      <c r="P75" s="467"/>
      <c r="Q75" s="467"/>
      <c r="R75" s="467"/>
      <c r="S75" s="467"/>
      <c r="T75" s="542"/>
      <c r="U75" s="467"/>
      <c r="V75" s="467"/>
      <c r="W75" s="467"/>
      <c r="X75" s="467"/>
      <c r="Y75" s="275"/>
      <c r="Z75" s="275"/>
      <c r="AA75" s="274"/>
      <c r="AB75" s="542"/>
      <c r="AC75" s="467"/>
      <c r="AD75" s="467"/>
      <c r="AE75" s="467"/>
      <c r="AF75" s="467"/>
      <c r="AG75" s="275"/>
      <c r="AH75" s="275"/>
      <c r="AI75" s="35"/>
      <c r="AK75" s="35"/>
      <c r="AL75" s="35"/>
      <c r="AP75" s="35"/>
      <c r="AT75" s="2"/>
      <c r="AU75" s="2"/>
      <c r="AV75" s="2"/>
    </row>
    <row r="76" spans="1:48">
      <c r="A76" s="2"/>
      <c r="B76" s="29"/>
      <c r="C76" s="56"/>
      <c r="D76" s="44"/>
      <c r="E76" s="44"/>
      <c r="F76" s="49"/>
      <c r="G76" s="52"/>
      <c r="H76" s="36"/>
      <c r="I76" s="51"/>
      <c r="J76" s="249"/>
      <c r="K76" s="53"/>
      <c r="L76" s="467"/>
      <c r="M76" s="467"/>
      <c r="N76" s="467"/>
      <c r="O76" s="467"/>
      <c r="P76" s="467"/>
      <c r="Q76" s="467"/>
      <c r="R76" s="467"/>
      <c r="S76" s="467"/>
      <c r="T76" s="542"/>
      <c r="U76" s="467"/>
      <c r="V76" s="467"/>
      <c r="W76" s="467"/>
      <c r="X76" s="467"/>
      <c r="Y76" s="275"/>
      <c r="Z76" s="275"/>
      <c r="AA76" s="274"/>
      <c r="AB76" s="542"/>
      <c r="AC76" s="274"/>
      <c r="AD76" s="274"/>
      <c r="AE76" s="274"/>
      <c r="AF76" s="468"/>
      <c r="AG76" s="36"/>
      <c r="AH76" s="35"/>
      <c r="AI76" s="35"/>
      <c r="AK76" s="35"/>
      <c r="AL76" s="35"/>
      <c r="AT76" s="2"/>
      <c r="AU76" s="2"/>
      <c r="AV76" s="2"/>
    </row>
    <row r="77" spans="1:48">
      <c r="A77" s="2"/>
      <c r="B77" s="29"/>
      <c r="C77" s="56"/>
      <c r="D77" s="44"/>
      <c r="E77" s="44"/>
      <c r="F77" s="49"/>
      <c r="G77" s="52"/>
      <c r="I77" s="51"/>
      <c r="J77" s="249"/>
      <c r="K77" s="53"/>
      <c r="L77" s="467"/>
      <c r="M77" s="467"/>
      <c r="N77" s="467"/>
      <c r="O77" s="467"/>
      <c r="P77" s="467"/>
      <c r="Q77" s="467"/>
      <c r="R77" s="467"/>
      <c r="S77" s="467"/>
      <c r="T77" s="542"/>
      <c r="U77" s="467"/>
      <c r="V77" s="467"/>
      <c r="W77" s="467"/>
      <c r="X77" s="467"/>
      <c r="Y77" s="275"/>
      <c r="Z77" s="275"/>
      <c r="AB77" s="542"/>
    </row>
    <row r="78" spans="1:48">
      <c r="A78" s="2"/>
      <c r="B78" s="29"/>
      <c r="C78" s="56"/>
      <c r="D78" s="44"/>
      <c r="E78" s="44"/>
      <c r="F78" s="49"/>
      <c r="G78" s="52"/>
      <c r="I78" s="51"/>
      <c r="J78" s="249"/>
      <c r="K78" s="53"/>
      <c r="L78" s="467"/>
      <c r="M78" s="467"/>
      <c r="N78" s="467"/>
      <c r="O78" s="467"/>
      <c r="P78" s="467"/>
      <c r="Q78" s="467"/>
      <c r="R78" s="467"/>
      <c r="S78" s="467"/>
      <c r="T78" s="542"/>
      <c r="U78" s="467"/>
      <c r="V78" s="467"/>
      <c r="W78" s="467"/>
      <c r="X78" s="467"/>
      <c r="Y78" s="275"/>
      <c r="Z78" s="275"/>
      <c r="AB78" s="542"/>
    </row>
    <row r="79" spans="1:48">
      <c r="A79" s="2"/>
      <c r="B79" s="29"/>
      <c r="C79" s="56"/>
      <c r="D79" s="44"/>
      <c r="E79" s="44"/>
      <c r="F79" s="49"/>
      <c r="G79" s="52"/>
      <c r="I79" s="51"/>
      <c r="J79" s="249"/>
      <c r="K79" s="53"/>
      <c r="L79" s="467"/>
      <c r="M79" s="467"/>
      <c r="N79" s="467"/>
      <c r="O79" s="467"/>
      <c r="P79" s="467"/>
      <c r="Q79" s="467"/>
      <c r="R79" s="467"/>
      <c r="S79" s="467"/>
      <c r="T79" s="542"/>
      <c r="U79" s="467"/>
      <c r="V79" s="467"/>
      <c r="W79" s="467"/>
      <c r="X79" s="467"/>
      <c r="Y79" s="275"/>
      <c r="Z79" s="275"/>
      <c r="AB79" s="542"/>
    </row>
    <row r="80" spans="1:48">
      <c r="A80" s="2"/>
      <c r="B80" s="29"/>
      <c r="C80" s="56"/>
      <c r="D80" s="44"/>
      <c r="E80" s="44"/>
      <c r="F80" s="49"/>
      <c r="G80" s="52"/>
      <c r="I80" s="51"/>
      <c r="J80" s="106"/>
      <c r="K80" s="53"/>
      <c r="L80" s="467"/>
      <c r="M80" s="467"/>
      <c r="N80" s="467"/>
      <c r="O80" s="467"/>
      <c r="P80" s="467"/>
      <c r="Q80" s="467"/>
      <c r="R80" s="467"/>
      <c r="S80" s="467"/>
      <c r="T80" s="542"/>
      <c r="U80" s="467"/>
      <c r="V80" s="467"/>
      <c r="W80" s="467"/>
      <c r="X80" s="467"/>
      <c r="Y80" s="275"/>
      <c r="Z80" s="275"/>
      <c r="AB80" s="542"/>
    </row>
    <row r="81" spans="1:28">
      <c r="A81" s="2"/>
      <c r="B81" s="29"/>
      <c r="C81" s="56"/>
      <c r="D81" s="44"/>
      <c r="E81" s="44"/>
      <c r="F81" s="49"/>
      <c r="G81" s="52"/>
      <c r="I81" s="51"/>
      <c r="J81" s="106"/>
      <c r="K81" s="53"/>
      <c r="L81" s="467"/>
      <c r="M81" s="467"/>
      <c r="N81" s="467"/>
      <c r="O81" s="467"/>
      <c r="P81" s="467"/>
      <c r="Q81" s="467"/>
      <c r="R81" s="467"/>
      <c r="S81" s="467"/>
      <c r="T81" s="542"/>
      <c r="U81" s="467"/>
      <c r="V81" s="467"/>
      <c r="W81" s="467"/>
      <c r="X81" s="467"/>
      <c r="Y81" s="275"/>
      <c r="Z81" s="275"/>
      <c r="AB81" s="542"/>
    </row>
    <row r="82" spans="1:28">
      <c r="A82" s="2"/>
      <c r="B82" s="29"/>
      <c r="C82" s="56"/>
      <c r="D82" s="44"/>
      <c r="E82" s="44"/>
      <c r="F82" s="49"/>
      <c r="G82" s="52"/>
      <c r="I82" s="51"/>
      <c r="J82" s="106"/>
      <c r="K82" s="53"/>
      <c r="L82" s="467"/>
      <c r="M82" s="467"/>
      <c r="N82" s="467"/>
      <c r="O82" s="467"/>
      <c r="P82" s="467"/>
      <c r="Q82" s="467"/>
      <c r="R82" s="467"/>
      <c r="S82" s="467"/>
      <c r="T82" s="542"/>
      <c r="U82" s="467"/>
      <c r="V82" s="467"/>
      <c r="W82" s="467"/>
      <c r="X82" s="467"/>
      <c r="Y82" s="275"/>
      <c r="Z82" s="275"/>
      <c r="AB82" s="542"/>
    </row>
    <row r="83" spans="1:28">
      <c r="A83" s="2"/>
      <c r="B83" s="29"/>
      <c r="C83" s="56"/>
      <c r="D83" s="44"/>
      <c r="E83" s="44"/>
      <c r="F83" s="49"/>
      <c r="G83" s="52"/>
      <c r="I83" s="51"/>
      <c r="J83" s="106"/>
      <c r="K83" s="53"/>
      <c r="L83" s="467"/>
      <c r="M83" s="467"/>
      <c r="N83" s="467"/>
      <c r="O83" s="467"/>
      <c r="P83" s="467"/>
      <c r="Q83" s="467"/>
      <c r="R83" s="467"/>
      <c r="S83" s="467"/>
      <c r="T83" s="542"/>
      <c r="U83" s="467"/>
      <c r="V83" s="467"/>
      <c r="W83" s="467"/>
      <c r="X83" s="467"/>
      <c r="Y83" s="275"/>
      <c r="Z83" s="275"/>
      <c r="AB83" s="542"/>
    </row>
    <row r="84" spans="1:28">
      <c r="A84" s="2"/>
      <c r="B84" s="29"/>
      <c r="C84" s="56"/>
      <c r="D84" s="44"/>
      <c r="E84" s="44"/>
      <c r="F84" s="49"/>
      <c r="G84" s="52"/>
      <c r="I84" s="51"/>
      <c r="J84" s="106"/>
      <c r="K84" s="53"/>
      <c r="L84" s="467"/>
      <c r="M84" s="467"/>
      <c r="N84" s="467"/>
      <c r="O84" s="467"/>
      <c r="P84" s="467"/>
      <c r="Q84" s="467"/>
      <c r="R84" s="467"/>
      <c r="S84" s="467"/>
      <c r="T84" s="542"/>
      <c r="U84" s="467"/>
      <c r="V84" s="467"/>
      <c r="W84" s="467"/>
      <c r="X84" s="467"/>
      <c r="Y84" s="275"/>
      <c r="Z84" s="275"/>
      <c r="AB84" s="542"/>
    </row>
    <row r="85" spans="1:28">
      <c r="A85" s="2"/>
      <c r="B85" s="29"/>
      <c r="C85" s="56"/>
      <c r="D85" s="44"/>
      <c r="E85" s="44"/>
      <c r="F85" s="49"/>
      <c r="G85" s="52"/>
      <c r="I85" s="51"/>
      <c r="J85" s="106"/>
      <c r="K85" s="53"/>
      <c r="L85" s="467"/>
      <c r="M85" s="467"/>
      <c r="N85" s="467"/>
      <c r="O85" s="467"/>
      <c r="P85" s="467"/>
      <c r="Q85" s="467"/>
      <c r="R85" s="467"/>
      <c r="S85" s="467"/>
      <c r="T85" s="542"/>
      <c r="U85" s="467"/>
      <c r="V85" s="467"/>
      <c r="W85" s="467"/>
      <c r="X85" s="467"/>
      <c r="Y85" s="275"/>
      <c r="Z85" s="275"/>
      <c r="AB85" s="542"/>
    </row>
    <row r="86" spans="1:28">
      <c r="A86" s="2"/>
      <c r="B86" s="29"/>
      <c r="C86" s="56"/>
      <c r="D86" s="44"/>
      <c r="E86" s="44"/>
      <c r="F86" s="49"/>
      <c r="G86" s="52"/>
      <c r="I86" s="51"/>
      <c r="J86" s="106"/>
      <c r="K86" s="53"/>
      <c r="L86" s="467"/>
      <c r="M86" s="467"/>
      <c r="N86" s="467"/>
      <c r="O86" s="467"/>
      <c r="P86" s="467"/>
      <c r="Q86" s="467"/>
      <c r="R86" s="467"/>
      <c r="S86" s="467"/>
      <c r="T86" s="542"/>
      <c r="U86" s="467"/>
      <c r="V86" s="467"/>
      <c r="W86" s="467"/>
      <c r="X86" s="467"/>
      <c r="Y86" s="275"/>
      <c r="Z86" s="275"/>
      <c r="AB86" s="542"/>
    </row>
    <row r="87" spans="1:28">
      <c r="C87" s="56"/>
      <c r="J87" s="47"/>
      <c r="K87" s="53"/>
      <c r="L87" s="467"/>
      <c r="M87" s="467"/>
      <c r="N87" s="467"/>
      <c r="O87" s="467"/>
      <c r="P87" s="467"/>
      <c r="Q87" s="467"/>
      <c r="R87" s="467"/>
      <c r="S87" s="467"/>
      <c r="T87" s="542"/>
      <c r="U87" s="467"/>
      <c r="V87" s="467"/>
      <c r="W87" s="467"/>
      <c r="X87" s="467"/>
      <c r="Y87" s="275"/>
      <c r="Z87" s="275"/>
      <c r="AB87" s="542"/>
    </row>
    <row r="88" spans="1:28">
      <c r="C88" s="33"/>
    </row>
    <row r="89" spans="1:28">
      <c r="C89" s="33"/>
      <c r="I89" s="41"/>
    </row>
    <row r="90" spans="1:28">
      <c r="C90" s="33"/>
      <c r="I90" s="41"/>
    </row>
    <row r="91" spans="1:28">
      <c r="C91" s="33"/>
      <c r="I91" s="47"/>
    </row>
    <row r="92" spans="1:28">
      <c r="C92" s="33"/>
    </row>
    <row r="93" spans="1:28">
      <c r="C93" s="33"/>
    </row>
    <row r="94" spans="1:28">
      <c r="C94" s="33"/>
    </row>
  </sheetData>
  <phoneticPr fontId="6" type="noConversion"/>
  <pageMargins left="0.75" right="0.75" top="1" bottom="1" header="0.5" footer="0.5"/>
  <pageSetup paperSize="9"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f25b3-493e-4851-82b7-4e504def2eba" xsi:nil="true"/>
    <lcf76f155ced4ddcb4097134ff3c332f xmlns="43bed21c-ff7a-4a80-97f4-856fc5de82a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17803376DAB5428D78C1E230564B3C" ma:contentTypeVersion="18" ma:contentTypeDescription="Create a new document." ma:contentTypeScope="" ma:versionID="8d48410affeb271c132ffcbda8e48802">
  <xsd:schema xmlns:xsd="http://www.w3.org/2001/XMLSchema" xmlns:xs="http://www.w3.org/2001/XMLSchema" xmlns:p="http://schemas.microsoft.com/office/2006/metadata/properties" xmlns:ns2="40ff25b3-493e-4851-82b7-4e504def2eba" xmlns:ns3="87d2df8b-a2fd-4f62-8ef6-4a22c6824c33" xmlns:ns4="43bed21c-ff7a-4a80-97f4-856fc5de82a3" targetNamespace="http://schemas.microsoft.com/office/2006/metadata/properties" ma:root="true" ma:fieldsID="489bc3751daeada7a25861021e96acec" ns2:_="" ns3:_="" ns4:_="">
    <xsd:import namespace="40ff25b3-493e-4851-82b7-4e504def2eba"/>
    <xsd:import namespace="87d2df8b-a2fd-4f62-8ef6-4a22c6824c33"/>
    <xsd:import namespace="43bed21c-ff7a-4a80-97f4-856fc5de82a3"/>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3bed21c-ff7a-4a80-97f4-856fc5de82a3"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F859B6-490C-411A-805E-2B4C61EF88D5}">
  <ds:schemaRefs>
    <ds:schemaRef ds:uri="http://schemas.microsoft.com/sharepoint/v3/contenttype/forms"/>
  </ds:schemaRefs>
</ds:datastoreItem>
</file>

<file path=customXml/itemProps2.xml><?xml version="1.0" encoding="utf-8"?>
<ds:datastoreItem xmlns:ds="http://schemas.openxmlformats.org/officeDocument/2006/customXml" ds:itemID="{291CAFC4-BBB3-4FBC-9317-164C8A3C726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27A627D-24A6-45B8-A48F-7F6E8D4277C0}"/>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CO2 Certificates</vt:lpstr>
      <vt:lpstr>CO2 Fixation Summary</vt:lpstr>
      <vt:lpstr>Baseline Carbon Stock</vt:lpstr>
      <vt:lpstr>Other Emissions</vt:lpstr>
      <vt:lpstr>GIS Area Results</vt:lpstr>
      <vt:lpstr>S. Album</vt:lpstr>
      <vt:lpstr>D. Nigra</vt:lpstr>
      <vt:lpstr>S. Foetida</vt:lpstr>
      <vt:lpstr>S. Macro</vt:lpstr>
      <vt:lpstr>E. Uro</vt:lpstr>
      <vt:lpstr>E. Alba</vt:lpstr>
      <vt:lpstr>T. Grandis</vt:lpstr>
      <vt:lpstr>C. Equis</vt:lpstr>
      <vt:lpstr>GC E. Alba</vt:lpstr>
      <vt:lpstr>GC E. Uro</vt:lpstr>
      <vt:lpstr>GC S. Macro</vt:lpstr>
      <vt:lpstr>GC T. Grandis</vt:lpstr>
      <vt:lpstr>GC C. Equis</vt:lpstr>
    </vt:vector>
  </TitlesOfParts>
  <Company>Carbon Planet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Marnie Telfer</dc:creator>
  <cp:lastModifiedBy>Andrew Mahar</cp:lastModifiedBy>
  <cp:lastPrinted>2015-05-25T11:16:46Z</cp:lastPrinted>
  <dcterms:created xsi:type="dcterms:W3CDTF">2014-08-27T00:38:47Z</dcterms:created>
  <dcterms:modified xsi:type="dcterms:W3CDTF">2021-09-20T12:21:16Z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0x010100CF17803376DAB5428D78C1E230564B3C</vt:lpwstr>
  </property>
</Properties>
</file>